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-20" yWindow="0" windowWidth="15160" windowHeight="17540" tabRatio="909" activeTab="1"/>
  </bookViews>
  <sheets>
    <sheet name="Central scenario" sheetId="1" r:id="rId1"/>
    <sheet name="Low scenario" sheetId="2" r:id="rId2"/>
    <sheet name="High scenario" sheetId="3" r:id="rId3"/>
    <sheet name="Graphiques déficit" sheetId="4" r:id="rId4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N7" i="2" l="1"/>
  <c r="C32" i="1"/>
  <c r="I30" i="4"/>
  <c r="BG29" i="2"/>
  <c r="I29" i="4"/>
  <c r="AI121" i="3"/>
  <c r="AI120" i="3"/>
  <c r="AH121" i="3"/>
  <c r="AH120" i="3"/>
  <c r="BK29" i="3"/>
  <c r="BK28" i="3"/>
  <c r="BK27" i="3"/>
  <c r="BK26" i="3"/>
  <c r="BK25" i="3"/>
  <c r="BK24" i="3"/>
  <c r="BK23" i="3"/>
  <c r="BK22" i="3"/>
  <c r="BK21" i="3"/>
  <c r="BK20" i="3"/>
  <c r="BK19" i="3"/>
  <c r="BK18" i="3"/>
  <c r="BK17" i="3"/>
  <c r="BK16" i="3"/>
  <c r="BK15" i="3"/>
  <c r="BK14" i="3"/>
  <c r="BK13" i="3"/>
  <c r="BK12" i="3"/>
  <c r="BK11" i="3"/>
  <c r="BK10" i="3"/>
  <c r="BK9" i="3"/>
  <c r="BK8" i="3"/>
  <c r="BK7" i="3"/>
  <c r="BK6" i="3"/>
  <c r="BK5" i="3"/>
  <c r="BK4" i="3"/>
  <c r="BK3" i="3"/>
  <c r="BJ29" i="2"/>
  <c r="BJ28" i="2"/>
  <c r="BJ27" i="2"/>
  <c r="BJ26" i="2"/>
  <c r="BJ25" i="2"/>
  <c r="BJ24" i="2"/>
  <c r="BJ23" i="2"/>
  <c r="BJ22" i="2"/>
  <c r="BJ21" i="2"/>
  <c r="BJ20" i="2"/>
  <c r="BJ19" i="2"/>
  <c r="BJ18" i="2"/>
  <c r="BJ17" i="2"/>
  <c r="BJ16" i="2"/>
  <c r="BJ15" i="2"/>
  <c r="BJ14" i="2"/>
  <c r="BJ13" i="2"/>
  <c r="BJ12" i="2"/>
  <c r="BJ11" i="2"/>
  <c r="BJ10" i="2"/>
  <c r="BJ9" i="2"/>
  <c r="BJ8" i="2"/>
  <c r="BJ7" i="2"/>
  <c r="BJ6" i="2"/>
  <c r="BJ5" i="2"/>
  <c r="BJ4" i="2"/>
  <c r="BJ3" i="2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6" i="1"/>
  <c r="BL11" i="1"/>
  <c r="S45" i="1"/>
  <c r="AH119" i="3"/>
  <c r="AH119" i="1"/>
  <c r="BB36" i="3"/>
  <c r="BB26" i="3"/>
  <c r="BB27" i="3"/>
  <c r="BB28" i="3"/>
  <c r="BB29" i="3"/>
  <c r="BB30" i="3"/>
  <c r="BB31" i="3"/>
  <c r="BB32" i="3"/>
  <c r="BB33" i="3"/>
  <c r="BB34" i="3"/>
  <c r="BB35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B81" i="3"/>
  <c r="BB82" i="3"/>
  <c r="BB83" i="3"/>
  <c r="BB84" i="3"/>
  <c r="BB85" i="3"/>
  <c r="BB86" i="3"/>
  <c r="BB87" i="3"/>
  <c r="BB88" i="3"/>
  <c r="BB89" i="3"/>
  <c r="BB90" i="3"/>
  <c r="BB91" i="3"/>
  <c r="BB92" i="3"/>
  <c r="BB93" i="3"/>
  <c r="BB94" i="3"/>
  <c r="BB95" i="3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26" i="1"/>
  <c r="AF26" i="1"/>
  <c r="AF27" i="1"/>
  <c r="AG27" i="1"/>
  <c r="AF26" i="3"/>
  <c r="BA26" i="3"/>
  <c r="AX26" i="3"/>
  <c r="AZ26" i="3"/>
  <c r="AF33" i="3"/>
  <c r="AF29" i="3"/>
  <c r="AH33" i="3"/>
  <c r="AF37" i="3"/>
  <c r="AH37" i="3"/>
  <c r="AF41" i="3"/>
  <c r="AH41" i="3"/>
  <c r="AF45" i="3"/>
  <c r="AH45" i="3"/>
  <c r="AF49" i="3"/>
  <c r="AH49" i="3"/>
  <c r="AF53" i="3"/>
  <c r="AH53" i="3"/>
  <c r="AF57" i="3"/>
  <c r="AH57" i="3"/>
  <c r="AF61" i="3"/>
  <c r="AH61" i="3"/>
  <c r="AF65" i="3"/>
  <c r="AH65" i="3"/>
  <c r="AF69" i="3"/>
  <c r="AH69" i="3"/>
  <c r="AF73" i="3"/>
  <c r="AH73" i="3"/>
  <c r="AF77" i="3"/>
  <c r="AH77" i="3"/>
  <c r="AF81" i="3"/>
  <c r="AH81" i="3"/>
  <c r="AF85" i="3"/>
  <c r="AH85" i="3"/>
  <c r="AF89" i="3"/>
  <c r="AH89" i="3"/>
  <c r="AF93" i="3"/>
  <c r="AH93" i="3"/>
  <c r="AF97" i="3"/>
  <c r="AH97" i="3"/>
  <c r="AF101" i="3"/>
  <c r="AH101" i="3"/>
  <c r="AF105" i="3"/>
  <c r="AH105" i="3"/>
  <c r="AF109" i="3"/>
  <c r="AH109" i="3"/>
  <c r="AF113" i="3"/>
  <c r="AH113" i="3"/>
  <c r="AF117" i="3"/>
  <c r="AH117" i="3"/>
  <c r="AF116" i="3"/>
  <c r="AG117" i="3"/>
  <c r="AF115" i="3"/>
  <c r="AG116" i="3"/>
  <c r="AF114" i="3"/>
  <c r="AG115" i="3"/>
  <c r="AG114" i="3"/>
  <c r="AF112" i="3"/>
  <c r="AG113" i="3"/>
  <c r="AF111" i="3"/>
  <c r="AG112" i="3"/>
  <c r="AF110" i="3"/>
  <c r="AG111" i="3"/>
  <c r="AG110" i="3"/>
  <c r="AF108" i="3"/>
  <c r="AG109" i="3"/>
  <c r="AF107" i="3"/>
  <c r="AG108" i="3"/>
  <c r="AF106" i="3"/>
  <c r="AG107" i="3"/>
  <c r="AG106" i="3"/>
  <c r="AF104" i="3"/>
  <c r="AG105" i="3"/>
  <c r="AF103" i="3"/>
  <c r="AG104" i="3"/>
  <c r="AF102" i="3"/>
  <c r="AG103" i="3"/>
  <c r="AG102" i="3"/>
  <c r="AF100" i="3"/>
  <c r="AG101" i="3"/>
  <c r="AF99" i="3"/>
  <c r="AG100" i="3"/>
  <c r="AF98" i="3"/>
  <c r="AG99" i="3"/>
  <c r="AG98" i="3"/>
  <c r="AF96" i="3"/>
  <c r="AG97" i="3"/>
  <c r="AF95" i="3"/>
  <c r="AG96" i="3"/>
  <c r="AF94" i="3"/>
  <c r="AG95" i="3"/>
  <c r="AG94" i="3"/>
  <c r="AF92" i="3"/>
  <c r="AG93" i="3"/>
  <c r="AF91" i="3"/>
  <c r="AG92" i="3"/>
  <c r="AF90" i="3"/>
  <c r="AG91" i="3"/>
  <c r="AG90" i="3"/>
  <c r="AF88" i="3"/>
  <c r="AG89" i="3"/>
  <c r="AF87" i="3"/>
  <c r="AG88" i="3"/>
  <c r="AF86" i="3"/>
  <c r="AG87" i="3"/>
  <c r="AG86" i="3"/>
  <c r="AF84" i="3"/>
  <c r="AG85" i="3"/>
  <c r="AF83" i="3"/>
  <c r="AG84" i="3"/>
  <c r="AF82" i="3"/>
  <c r="AG83" i="3"/>
  <c r="AG82" i="3"/>
  <c r="AF80" i="3"/>
  <c r="AG81" i="3"/>
  <c r="AF79" i="3"/>
  <c r="AG80" i="3"/>
  <c r="AF78" i="3"/>
  <c r="AG79" i="3"/>
  <c r="AG78" i="3"/>
  <c r="AF76" i="3"/>
  <c r="AG77" i="3"/>
  <c r="AF75" i="3"/>
  <c r="AG76" i="3"/>
  <c r="AF74" i="3"/>
  <c r="AG75" i="3"/>
  <c r="AG74" i="3"/>
  <c r="AF72" i="3"/>
  <c r="AG73" i="3"/>
  <c r="AF71" i="3"/>
  <c r="AG72" i="3"/>
  <c r="AF70" i="3"/>
  <c r="AG71" i="3"/>
  <c r="AG70" i="3"/>
  <c r="AF68" i="3"/>
  <c r="AG69" i="3"/>
  <c r="AF67" i="3"/>
  <c r="AG68" i="3"/>
  <c r="AF66" i="3"/>
  <c r="AG67" i="3"/>
  <c r="AG66" i="3"/>
  <c r="AF64" i="3"/>
  <c r="AG65" i="3"/>
  <c r="AF63" i="3"/>
  <c r="AG64" i="3"/>
  <c r="AF62" i="3"/>
  <c r="AG63" i="3"/>
  <c r="AG62" i="3"/>
  <c r="AF60" i="3"/>
  <c r="AG61" i="3"/>
  <c r="AF59" i="3"/>
  <c r="AG60" i="3"/>
  <c r="AF58" i="3"/>
  <c r="AG59" i="3"/>
  <c r="AG58" i="3"/>
  <c r="AF56" i="3"/>
  <c r="AG57" i="3"/>
  <c r="AF55" i="3"/>
  <c r="AG56" i="3"/>
  <c r="AF54" i="3"/>
  <c r="AG55" i="3"/>
  <c r="AG54" i="3"/>
  <c r="AF52" i="3"/>
  <c r="AG53" i="3"/>
  <c r="AF51" i="3"/>
  <c r="AG52" i="3"/>
  <c r="AF50" i="3"/>
  <c r="AG51" i="3"/>
  <c r="AG50" i="3"/>
  <c r="AF48" i="3"/>
  <c r="AG49" i="3"/>
  <c r="AF47" i="3"/>
  <c r="AG48" i="3"/>
  <c r="AF46" i="3"/>
  <c r="AG47" i="3"/>
  <c r="AG46" i="3"/>
  <c r="AF44" i="3"/>
  <c r="AG45" i="3"/>
  <c r="AF43" i="3"/>
  <c r="AG44" i="3"/>
  <c r="AF42" i="3"/>
  <c r="AG43" i="3"/>
  <c r="AG42" i="3"/>
  <c r="AF40" i="3"/>
  <c r="AG41" i="3"/>
  <c r="AF39" i="3"/>
  <c r="AG40" i="3"/>
  <c r="AF38" i="3"/>
  <c r="AG39" i="3"/>
  <c r="AG38" i="3"/>
  <c r="AF36" i="3"/>
  <c r="AG37" i="3"/>
  <c r="AF35" i="3"/>
  <c r="AG36" i="3"/>
  <c r="AF34" i="3"/>
  <c r="AG35" i="3"/>
  <c r="AG34" i="3"/>
  <c r="AF32" i="3"/>
  <c r="AG33" i="3"/>
  <c r="AF31" i="3"/>
  <c r="AG32" i="3"/>
  <c r="AF30" i="3"/>
  <c r="AG31" i="3"/>
  <c r="AG30" i="3"/>
  <c r="AF28" i="3"/>
  <c r="AG29" i="3"/>
  <c r="AF27" i="3"/>
  <c r="AG28" i="3"/>
  <c r="AG27" i="3"/>
  <c r="AG26" i="3"/>
  <c r="AF33" i="2"/>
  <c r="AF29" i="2"/>
  <c r="AH33" i="2"/>
  <c r="AF37" i="2"/>
  <c r="AH37" i="2"/>
  <c r="AF41" i="2"/>
  <c r="AH41" i="2"/>
  <c r="AF45" i="2"/>
  <c r="AH45" i="2"/>
  <c r="AF49" i="2"/>
  <c r="AH49" i="2"/>
  <c r="AF53" i="2"/>
  <c r="AH53" i="2"/>
  <c r="AF57" i="2"/>
  <c r="AH57" i="2"/>
  <c r="AF61" i="2"/>
  <c r="AH61" i="2"/>
  <c r="AF65" i="2"/>
  <c r="AH65" i="2"/>
  <c r="AF69" i="2"/>
  <c r="AH69" i="2"/>
  <c r="AF73" i="2"/>
  <c r="AH73" i="2"/>
  <c r="AF77" i="2"/>
  <c r="AH77" i="2"/>
  <c r="AF81" i="2"/>
  <c r="AH81" i="2"/>
  <c r="AF85" i="2"/>
  <c r="AH85" i="2"/>
  <c r="AF89" i="2"/>
  <c r="AH89" i="2"/>
  <c r="AF93" i="2"/>
  <c r="AH93" i="2"/>
  <c r="AF97" i="2"/>
  <c r="AH97" i="2"/>
  <c r="AF101" i="2"/>
  <c r="AH101" i="2"/>
  <c r="AF105" i="2"/>
  <c r="AH105" i="2"/>
  <c r="AF109" i="2"/>
  <c r="AH109" i="2"/>
  <c r="AF113" i="2"/>
  <c r="AH113" i="2"/>
  <c r="AF117" i="2"/>
  <c r="AH117" i="2"/>
  <c r="AH119" i="2"/>
  <c r="AF116" i="2"/>
  <c r="AG117" i="2"/>
  <c r="AF115" i="2"/>
  <c r="AG116" i="2"/>
  <c r="AF114" i="2"/>
  <c r="AG115" i="2"/>
  <c r="AG114" i="2"/>
  <c r="AF112" i="2"/>
  <c r="AG113" i="2"/>
  <c r="AF111" i="2"/>
  <c r="AG112" i="2"/>
  <c r="AF110" i="2"/>
  <c r="AG111" i="2"/>
  <c r="AG110" i="2"/>
  <c r="AF108" i="2"/>
  <c r="AG109" i="2"/>
  <c r="AF107" i="2"/>
  <c r="AG108" i="2"/>
  <c r="AF106" i="2"/>
  <c r="AG107" i="2"/>
  <c r="AG106" i="2"/>
  <c r="AF104" i="2"/>
  <c r="AG105" i="2"/>
  <c r="AF103" i="2"/>
  <c r="AG104" i="2"/>
  <c r="AF102" i="2"/>
  <c r="AG103" i="2"/>
  <c r="AG102" i="2"/>
  <c r="AF100" i="2"/>
  <c r="AG101" i="2"/>
  <c r="AF99" i="2"/>
  <c r="AG100" i="2"/>
  <c r="AF98" i="2"/>
  <c r="AG99" i="2"/>
  <c r="AG98" i="2"/>
  <c r="AF96" i="2"/>
  <c r="AG97" i="2"/>
  <c r="AF95" i="2"/>
  <c r="AG96" i="2"/>
  <c r="AF94" i="2"/>
  <c r="AG95" i="2"/>
  <c r="AG94" i="2"/>
  <c r="AF92" i="2"/>
  <c r="AG93" i="2"/>
  <c r="AF91" i="2"/>
  <c r="AG92" i="2"/>
  <c r="AF90" i="2"/>
  <c r="AG91" i="2"/>
  <c r="AG90" i="2"/>
  <c r="AF88" i="2"/>
  <c r="AG89" i="2"/>
  <c r="AF87" i="2"/>
  <c r="AG88" i="2"/>
  <c r="AF86" i="2"/>
  <c r="AG87" i="2"/>
  <c r="AG86" i="2"/>
  <c r="AF84" i="2"/>
  <c r="AG85" i="2"/>
  <c r="AF83" i="2"/>
  <c r="AG84" i="2"/>
  <c r="AF82" i="2"/>
  <c r="AG83" i="2"/>
  <c r="AG82" i="2"/>
  <c r="AF80" i="2"/>
  <c r="AG81" i="2"/>
  <c r="AF79" i="2"/>
  <c r="AG80" i="2"/>
  <c r="AF78" i="2"/>
  <c r="AG79" i="2"/>
  <c r="AG78" i="2"/>
  <c r="AF76" i="2"/>
  <c r="AG77" i="2"/>
  <c r="AF75" i="2"/>
  <c r="AG76" i="2"/>
  <c r="AF74" i="2"/>
  <c r="AG75" i="2"/>
  <c r="AG74" i="2"/>
  <c r="AF72" i="2"/>
  <c r="AG73" i="2"/>
  <c r="AF71" i="2"/>
  <c r="AG72" i="2"/>
  <c r="AF70" i="2"/>
  <c r="AG71" i="2"/>
  <c r="AG70" i="2"/>
  <c r="AF68" i="2"/>
  <c r="AG69" i="2"/>
  <c r="AF67" i="2"/>
  <c r="AG68" i="2"/>
  <c r="AF66" i="2"/>
  <c r="AG67" i="2"/>
  <c r="AG66" i="2"/>
  <c r="AF64" i="2"/>
  <c r="AG65" i="2"/>
  <c r="AF63" i="2"/>
  <c r="AG64" i="2"/>
  <c r="AF62" i="2"/>
  <c r="AG63" i="2"/>
  <c r="AG62" i="2"/>
  <c r="AF60" i="2"/>
  <c r="AG61" i="2"/>
  <c r="AF59" i="2"/>
  <c r="AG60" i="2"/>
  <c r="AF58" i="2"/>
  <c r="AG59" i="2"/>
  <c r="AG58" i="2"/>
  <c r="AF56" i="2"/>
  <c r="AG57" i="2"/>
  <c r="AF55" i="2"/>
  <c r="AG56" i="2"/>
  <c r="AF54" i="2"/>
  <c r="AG55" i="2"/>
  <c r="AG54" i="2"/>
  <c r="AF52" i="2"/>
  <c r="AG53" i="2"/>
  <c r="AF51" i="2"/>
  <c r="AG52" i="2"/>
  <c r="AF50" i="2"/>
  <c r="AG51" i="2"/>
  <c r="AG50" i="2"/>
  <c r="AF48" i="2"/>
  <c r="AG49" i="2"/>
  <c r="AF47" i="2"/>
  <c r="AG48" i="2"/>
  <c r="AF46" i="2"/>
  <c r="AG47" i="2"/>
  <c r="AG46" i="2"/>
  <c r="AF44" i="2"/>
  <c r="AG45" i="2"/>
  <c r="AF43" i="2"/>
  <c r="AG44" i="2"/>
  <c r="AF42" i="2"/>
  <c r="AG43" i="2"/>
  <c r="AG42" i="2"/>
  <c r="AF40" i="2"/>
  <c r="AG41" i="2"/>
  <c r="AF39" i="2"/>
  <c r="AG40" i="2"/>
  <c r="AF38" i="2"/>
  <c r="AG39" i="2"/>
  <c r="AG38" i="2"/>
  <c r="AF36" i="2"/>
  <c r="AG37" i="2"/>
  <c r="AF35" i="2"/>
  <c r="AG36" i="2"/>
  <c r="AF34" i="2"/>
  <c r="AG35" i="2"/>
  <c r="AG34" i="2"/>
  <c r="AF32" i="2"/>
  <c r="AG33" i="2"/>
  <c r="AF31" i="2"/>
  <c r="AG32" i="2"/>
  <c r="AF30" i="2"/>
  <c r="AG31" i="2"/>
  <c r="AG30" i="2"/>
  <c r="AF28" i="2"/>
  <c r="AG29" i="2"/>
  <c r="AF27" i="2"/>
  <c r="AG28" i="2"/>
  <c r="AF26" i="2"/>
  <c r="AG27" i="2"/>
  <c r="AG26" i="2"/>
  <c r="AZ26" i="1"/>
  <c r="AZ27" i="1"/>
  <c r="AZ28" i="1"/>
  <c r="AZ29" i="1"/>
  <c r="AZ30" i="1"/>
  <c r="AZ31" i="1"/>
  <c r="AZ32" i="1"/>
  <c r="AZ33" i="1"/>
  <c r="AX33" i="1"/>
  <c r="AF33" i="1"/>
  <c r="AX29" i="1"/>
  <c r="AF29" i="1"/>
  <c r="AH33" i="1"/>
  <c r="AZ34" i="1"/>
  <c r="AZ35" i="1"/>
  <c r="AZ36" i="1"/>
  <c r="AZ37" i="1"/>
  <c r="AX37" i="1"/>
  <c r="AF37" i="1"/>
  <c r="AH37" i="1"/>
  <c r="AZ38" i="1"/>
  <c r="AZ39" i="1"/>
  <c r="AZ40" i="1"/>
  <c r="AZ41" i="1"/>
  <c r="AX41" i="1"/>
  <c r="AF41" i="1"/>
  <c r="AH41" i="1"/>
  <c r="AZ42" i="1"/>
  <c r="AZ43" i="1"/>
  <c r="AZ44" i="1"/>
  <c r="AZ45" i="1"/>
  <c r="AX45" i="1"/>
  <c r="AF45" i="1"/>
  <c r="AH45" i="1"/>
  <c r="AZ46" i="1"/>
  <c r="AZ47" i="1"/>
  <c r="AZ48" i="1"/>
  <c r="AZ49" i="1"/>
  <c r="AX49" i="1"/>
  <c r="AF49" i="1"/>
  <c r="AH49" i="1"/>
  <c r="AZ50" i="1"/>
  <c r="AZ51" i="1"/>
  <c r="AZ52" i="1"/>
  <c r="AZ53" i="1"/>
  <c r="AX53" i="1"/>
  <c r="AF53" i="1"/>
  <c r="AH53" i="1"/>
  <c r="AZ54" i="1"/>
  <c r="AZ55" i="1"/>
  <c r="AZ56" i="1"/>
  <c r="AZ57" i="1"/>
  <c r="AX57" i="1"/>
  <c r="AF57" i="1"/>
  <c r="AH57" i="1"/>
  <c r="AZ58" i="1"/>
  <c r="AZ59" i="1"/>
  <c r="AZ60" i="1"/>
  <c r="AZ61" i="1"/>
  <c r="AX61" i="1"/>
  <c r="AF61" i="1"/>
  <c r="AH61" i="1"/>
  <c r="AZ62" i="1"/>
  <c r="AZ63" i="1"/>
  <c r="AZ64" i="1"/>
  <c r="AZ65" i="1"/>
  <c r="AX65" i="1"/>
  <c r="AF65" i="1"/>
  <c r="AH65" i="1"/>
  <c r="AZ66" i="1"/>
  <c r="AZ67" i="1"/>
  <c r="AZ68" i="1"/>
  <c r="AZ69" i="1"/>
  <c r="AX69" i="1"/>
  <c r="AF69" i="1"/>
  <c r="AH69" i="1"/>
  <c r="AZ70" i="1"/>
  <c r="AZ71" i="1"/>
  <c r="AZ72" i="1"/>
  <c r="AZ73" i="1"/>
  <c r="AX73" i="1"/>
  <c r="AF73" i="1"/>
  <c r="AH73" i="1"/>
  <c r="AZ74" i="1"/>
  <c r="AZ75" i="1"/>
  <c r="AZ76" i="1"/>
  <c r="AZ77" i="1"/>
  <c r="AX77" i="1"/>
  <c r="AF77" i="1"/>
  <c r="AH77" i="1"/>
  <c r="AZ78" i="1"/>
  <c r="AZ79" i="1"/>
  <c r="AZ80" i="1"/>
  <c r="AZ81" i="1"/>
  <c r="AX81" i="1"/>
  <c r="AF81" i="1"/>
  <c r="AH81" i="1"/>
  <c r="AZ82" i="1"/>
  <c r="AZ83" i="1"/>
  <c r="AZ84" i="1"/>
  <c r="AZ85" i="1"/>
  <c r="AX85" i="1"/>
  <c r="AF85" i="1"/>
  <c r="AH85" i="1"/>
  <c r="AZ86" i="1"/>
  <c r="AZ87" i="1"/>
  <c r="AZ88" i="1"/>
  <c r="AZ89" i="1"/>
  <c r="AX89" i="1"/>
  <c r="AF89" i="1"/>
  <c r="AH89" i="1"/>
  <c r="AZ90" i="1"/>
  <c r="AZ91" i="1"/>
  <c r="AZ92" i="1"/>
  <c r="AZ93" i="1"/>
  <c r="AX93" i="1"/>
  <c r="AF93" i="1"/>
  <c r="AH93" i="1"/>
  <c r="AZ94" i="1"/>
  <c r="AZ95" i="1"/>
  <c r="AZ96" i="1"/>
  <c r="AZ97" i="1"/>
  <c r="AX97" i="1"/>
  <c r="AF97" i="1"/>
  <c r="AH97" i="1"/>
  <c r="AZ98" i="1"/>
  <c r="AZ99" i="1"/>
  <c r="AZ100" i="1"/>
  <c r="AZ101" i="1"/>
  <c r="AX101" i="1"/>
  <c r="AF101" i="1"/>
  <c r="AH101" i="1"/>
  <c r="AZ102" i="1"/>
  <c r="AZ103" i="1"/>
  <c r="AZ104" i="1"/>
  <c r="AZ105" i="1"/>
  <c r="AX105" i="1"/>
  <c r="AF105" i="1"/>
  <c r="AH105" i="1"/>
  <c r="AZ106" i="1"/>
  <c r="AZ107" i="1"/>
  <c r="AZ108" i="1"/>
  <c r="AZ109" i="1"/>
  <c r="AX109" i="1"/>
  <c r="AF109" i="1"/>
  <c r="AH109" i="1"/>
  <c r="AZ110" i="1"/>
  <c r="AZ111" i="1"/>
  <c r="AZ112" i="1"/>
  <c r="AZ113" i="1"/>
  <c r="AX113" i="1"/>
  <c r="AF113" i="1"/>
  <c r="AH113" i="1"/>
  <c r="AZ114" i="1"/>
  <c r="AZ115" i="1"/>
  <c r="AZ116" i="1"/>
  <c r="AZ117" i="1"/>
  <c r="AX117" i="1"/>
  <c r="AF117" i="1"/>
  <c r="AH117" i="1"/>
  <c r="AK29" i="2"/>
  <c r="D31" i="4"/>
  <c r="AX114" i="1"/>
  <c r="AF114" i="1"/>
  <c r="AX115" i="1"/>
  <c r="AF115" i="1"/>
  <c r="AX116" i="1"/>
  <c r="AF116" i="1"/>
  <c r="AK29" i="1"/>
  <c r="B31" i="4"/>
  <c r="H22" i="4"/>
  <c r="AK29" i="3"/>
  <c r="F31" i="4"/>
  <c r="H23" i="4"/>
  <c r="BI29" i="3"/>
  <c r="BJ29" i="3"/>
  <c r="G31" i="4"/>
  <c r="BJ29" i="1"/>
  <c r="BK29" i="1"/>
  <c r="C31" i="4"/>
  <c r="I23" i="4"/>
  <c r="H25" i="4"/>
  <c r="BH29" i="2"/>
  <c r="BI29" i="2"/>
  <c r="E31" i="4"/>
  <c r="I22" i="4"/>
  <c r="H24" i="4"/>
  <c r="AX32" i="3"/>
  <c r="AX33" i="3"/>
  <c r="AX34" i="3"/>
  <c r="AX36" i="1"/>
  <c r="AF36" i="1"/>
  <c r="AG37" i="1"/>
  <c r="AX32" i="1"/>
  <c r="AF32" i="1"/>
  <c r="AG33" i="1"/>
  <c r="AG117" i="1"/>
  <c r="AX112" i="1"/>
  <c r="AF112" i="1"/>
  <c r="AG113" i="1"/>
  <c r="AX108" i="1"/>
  <c r="AF108" i="1"/>
  <c r="AG109" i="1"/>
  <c r="AX104" i="1"/>
  <c r="AF104" i="1"/>
  <c r="AG105" i="1"/>
  <c r="AX100" i="1"/>
  <c r="AF100" i="1"/>
  <c r="AG101" i="1"/>
  <c r="AX96" i="1"/>
  <c r="AF96" i="1"/>
  <c r="AG97" i="1"/>
  <c r="AX92" i="1"/>
  <c r="AF92" i="1"/>
  <c r="AG93" i="1"/>
  <c r="AX88" i="1"/>
  <c r="AF88" i="1"/>
  <c r="AG89" i="1"/>
  <c r="AX84" i="1"/>
  <c r="AF84" i="1"/>
  <c r="AG85" i="1"/>
  <c r="AX80" i="1"/>
  <c r="AF80" i="1"/>
  <c r="AG81" i="1"/>
  <c r="AX76" i="1"/>
  <c r="AF76" i="1"/>
  <c r="AG77" i="1"/>
  <c r="AX72" i="1"/>
  <c r="AF72" i="1"/>
  <c r="AG73" i="1"/>
  <c r="AX68" i="1"/>
  <c r="AF68" i="1"/>
  <c r="AG69" i="1"/>
  <c r="AX64" i="1"/>
  <c r="AF64" i="1"/>
  <c r="AG65" i="1"/>
  <c r="AX60" i="1"/>
  <c r="AF60" i="1"/>
  <c r="AG61" i="1"/>
  <c r="AX56" i="1"/>
  <c r="AF56" i="1"/>
  <c r="AG57" i="1"/>
  <c r="AX52" i="1"/>
  <c r="AF52" i="1"/>
  <c r="AG53" i="1"/>
  <c r="AX48" i="1"/>
  <c r="AF48" i="1"/>
  <c r="AG49" i="1"/>
  <c r="AX44" i="1"/>
  <c r="AF44" i="1"/>
  <c r="AG45" i="1"/>
  <c r="AX40" i="1"/>
  <c r="AF40" i="1"/>
  <c r="AG41" i="1"/>
  <c r="BC117" i="1"/>
  <c r="BC113" i="1"/>
  <c r="BC109" i="1"/>
  <c r="BC105" i="1"/>
  <c r="BC101" i="1"/>
  <c r="BC97" i="1"/>
  <c r="BC93" i="1"/>
  <c r="BC89" i="1"/>
  <c r="BC85" i="1"/>
  <c r="BC81" i="1"/>
  <c r="BC77" i="1"/>
  <c r="BC73" i="1"/>
  <c r="BC69" i="1"/>
  <c r="BC65" i="1"/>
  <c r="BC61" i="1"/>
  <c r="BC57" i="1"/>
  <c r="BC53" i="1"/>
  <c r="BC49" i="1"/>
  <c r="BC45" i="1"/>
  <c r="BC41" i="1"/>
  <c r="BC37" i="1"/>
  <c r="BC33" i="1"/>
  <c r="BC29" i="1"/>
  <c r="AX26" i="1"/>
  <c r="BD26" i="1"/>
  <c r="AZ15" i="1"/>
  <c r="AO7" i="2"/>
  <c r="AN8" i="2"/>
  <c r="AO8" i="2"/>
  <c r="AP7" i="2"/>
  <c r="AQ8" i="2"/>
  <c r="AM8" i="3"/>
  <c r="AY118" i="3"/>
  <c r="AB114" i="1"/>
  <c r="AB115" i="1"/>
  <c r="AB116" i="1"/>
  <c r="AB117" i="1"/>
  <c r="AY26" i="2"/>
  <c r="AZ26" i="2"/>
  <c r="AY27" i="2"/>
  <c r="AZ27" i="2"/>
  <c r="AY28" i="2"/>
  <c r="AZ28" i="2"/>
  <c r="AY29" i="2"/>
  <c r="AZ29" i="2"/>
  <c r="AY30" i="2"/>
  <c r="AZ30" i="2"/>
  <c r="AY31" i="2"/>
  <c r="AZ31" i="2"/>
  <c r="AY32" i="2"/>
  <c r="AZ32" i="2"/>
  <c r="AY33" i="2"/>
  <c r="AZ33" i="2"/>
  <c r="AY34" i="2"/>
  <c r="AZ34" i="2"/>
  <c r="AY35" i="2"/>
  <c r="AZ35" i="2"/>
  <c r="AY36" i="2"/>
  <c r="AZ36" i="2"/>
  <c r="AY37" i="2"/>
  <c r="AZ37" i="2"/>
  <c r="AY38" i="2"/>
  <c r="AZ38" i="2"/>
  <c r="AY39" i="2"/>
  <c r="AZ39" i="2"/>
  <c r="AY40" i="2"/>
  <c r="AZ40" i="2"/>
  <c r="AY41" i="2"/>
  <c r="AZ41" i="2"/>
  <c r="AY42" i="2"/>
  <c r="AZ42" i="2"/>
  <c r="AY43" i="2"/>
  <c r="AZ43" i="2"/>
  <c r="AY44" i="2"/>
  <c r="AZ44" i="2"/>
  <c r="AY45" i="2"/>
  <c r="AZ45" i="2"/>
  <c r="AY46" i="2"/>
  <c r="AZ46" i="2"/>
  <c r="AY47" i="2"/>
  <c r="AZ47" i="2"/>
  <c r="AY48" i="2"/>
  <c r="AZ48" i="2"/>
  <c r="AY49" i="2"/>
  <c r="AZ49" i="2"/>
  <c r="AY50" i="2"/>
  <c r="AZ50" i="2"/>
  <c r="AY51" i="2"/>
  <c r="AZ51" i="2"/>
  <c r="AY52" i="2"/>
  <c r="AZ52" i="2"/>
  <c r="AY53" i="2"/>
  <c r="AZ53" i="2"/>
  <c r="AY54" i="2"/>
  <c r="AZ54" i="2"/>
  <c r="AY55" i="2"/>
  <c r="AZ55" i="2"/>
  <c r="AY56" i="2"/>
  <c r="AZ56" i="2"/>
  <c r="AY57" i="2"/>
  <c r="AZ57" i="2"/>
  <c r="AY58" i="2"/>
  <c r="AZ58" i="2"/>
  <c r="AY59" i="2"/>
  <c r="AZ59" i="2"/>
  <c r="AY60" i="2"/>
  <c r="AZ60" i="2"/>
  <c r="AY61" i="2"/>
  <c r="AZ61" i="2"/>
  <c r="AY62" i="2"/>
  <c r="AZ62" i="2"/>
  <c r="AY63" i="2"/>
  <c r="AZ63" i="2"/>
  <c r="AY64" i="2"/>
  <c r="AZ64" i="2"/>
  <c r="AY65" i="2"/>
  <c r="AZ65" i="2"/>
  <c r="AY66" i="2"/>
  <c r="AZ66" i="2"/>
  <c r="AY67" i="2"/>
  <c r="AZ67" i="2"/>
  <c r="AY68" i="2"/>
  <c r="AZ68" i="2"/>
  <c r="AY69" i="2"/>
  <c r="AZ69" i="2"/>
  <c r="AY70" i="2"/>
  <c r="AZ70" i="2"/>
  <c r="AY71" i="2"/>
  <c r="AZ71" i="2"/>
  <c r="AY72" i="2"/>
  <c r="AZ72" i="2"/>
  <c r="AY73" i="2"/>
  <c r="AZ73" i="2"/>
  <c r="AY74" i="2"/>
  <c r="AZ74" i="2"/>
  <c r="AY75" i="2"/>
  <c r="AZ75" i="2"/>
  <c r="AY76" i="2"/>
  <c r="AZ76" i="2"/>
  <c r="AY77" i="2"/>
  <c r="AZ77" i="2"/>
  <c r="AY78" i="2"/>
  <c r="AZ78" i="2"/>
  <c r="AY79" i="2"/>
  <c r="AZ79" i="2"/>
  <c r="AY80" i="2"/>
  <c r="AZ80" i="2"/>
  <c r="AY81" i="2"/>
  <c r="AZ81" i="2"/>
  <c r="AY82" i="2"/>
  <c r="AZ82" i="2"/>
  <c r="AY83" i="2"/>
  <c r="AZ83" i="2"/>
  <c r="AY84" i="2"/>
  <c r="AZ84" i="2"/>
  <c r="AY85" i="2"/>
  <c r="AZ85" i="2"/>
  <c r="AY86" i="2"/>
  <c r="AZ86" i="2"/>
  <c r="AY87" i="2"/>
  <c r="AZ87" i="2"/>
  <c r="AY88" i="2"/>
  <c r="AZ88" i="2"/>
  <c r="AY89" i="2"/>
  <c r="AZ89" i="2"/>
  <c r="AY90" i="2"/>
  <c r="AZ90" i="2"/>
  <c r="AY91" i="2"/>
  <c r="AZ91" i="2"/>
  <c r="AY92" i="2"/>
  <c r="AZ92" i="2"/>
  <c r="AY93" i="2"/>
  <c r="AZ93" i="2"/>
  <c r="AY94" i="2"/>
  <c r="AZ94" i="2"/>
  <c r="AY95" i="2"/>
  <c r="AZ95" i="2"/>
  <c r="AY96" i="2"/>
  <c r="AZ96" i="2"/>
  <c r="AY97" i="2"/>
  <c r="AZ97" i="2"/>
  <c r="AY98" i="2"/>
  <c r="AZ98" i="2"/>
  <c r="AY99" i="2"/>
  <c r="AZ99" i="2"/>
  <c r="AY100" i="2"/>
  <c r="AZ100" i="2"/>
  <c r="AY101" i="2"/>
  <c r="AZ101" i="2"/>
  <c r="AY102" i="2"/>
  <c r="AZ102" i="2"/>
  <c r="AY103" i="2"/>
  <c r="AZ103" i="2"/>
  <c r="AY104" i="2"/>
  <c r="AZ104" i="2"/>
  <c r="AY105" i="2"/>
  <c r="AZ105" i="2"/>
  <c r="AY106" i="2"/>
  <c r="AZ106" i="2"/>
  <c r="AY107" i="2"/>
  <c r="AZ107" i="2"/>
  <c r="AY108" i="2"/>
  <c r="AZ108" i="2"/>
  <c r="AY109" i="2"/>
  <c r="AZ109" i="2"/>
  <c r="AY110" i="2"/>
  <c r="AZ110" i="2"/>
  <c r="AY111" i="2"/>
  <c r="AZ111" i="2"/>
  <c r="AY112" i="2"/>
  <c r="AZ112" i="2"/>
  <c r="AY113" i="2"/>
  <c r="AZ113" i="2"/>
  <c r="AY114" i="2"/>
  <c r="AZ114" i="2"/>
  <c r="AW114" i="2"/>
  <c r="AY115" i="2"/>
  <c r="AZ115" i="2"/>
  <c r="AW115" i="2"/>
  <c r="AY116" i="2"/>
  <c r="AZ116" i="2"/>
  <c r="AW116" i="2"/>
  <c r="AY117" i="2"/>
  <c r="AZ117" i="2"/>
  <c r="AW117" i="2"/>
  <c r="AB114" i="2"/>
  <c r="AB115" i="2"/>
  <c r="AB116" i="2"/>
  <c r="AB117" i="2"/>
  <c r="AZ27" i="3"/>
  <c r="BA27" i="3"/>
  <c r="AZ28" i="3"/>
  <c r="BA28" i="3"/>
  <c r="AZ29" i="3"/>
  <c r="BA29" i="3"/>
  <c r="AZ30" i="3"/>
  <c r="BA30" i="3"/>
  <c r="AZ31" i="3"/>
  <c r="BA31" i="3"/>
  <c r="AZ32" i="3"/>
  <c r="BA32" i="3"/>
  <c r="AZ33" i="3"/>
  <c r="BA33" i="3"/>
  <c r="AZ34" i="3"/>
  <c r="BA34" i="3"/>
  <c r="AZ35" i="3"/>
  <c r="BA35" i="3"/>
  <c r="AZ36" i="3"/>
  <c r="BA36" i="3"/>
  <c r="AZ37" i="3"/>
  <c r="BA37" i="3"/>
  <c r="AZ38" i="3"/>
  <c r="BA38" i="3"/>
  <c r="AZ39" i="3"/>
  <c r="BA39" i="3"/>
  <c r="AZ40" i="3"/>
  <c r="BA40" i="3"/>
  <c r="AZ41" i="3"/>
  <c r="BA41" i="3"/>
  <c r="AZ42" i="3"/>
  <c r="BA42" i="3"/>
  <c r="AZ43" i="3"/>
  <c r="BA43" i="3"/>
  <c r="AZ44" i="3"/>
  <c r="BA44" i="3"/>
  <c r="AZ45" i="3"/>
  <c r="BA45" i="3"/>
  <c r="AZ46" i="3"/>
  <c r="BA46" i="3"/>
  <c r="AZ47" i="3"/>
  <c r="BA47" i="3"/>
  <c r="AZ48" i="3"/>
  <c r="BA48" i="3"/>
  <c r="AZ49" i="3"/>
  <c r="BA49" i="3"/>
  <c r="AZ50" i="3"/>
  <c r="BA50" i="3"/>
  <c r="AZ51" i="3"/>
  <c r="BA51" i="3"/>
  <c r="AZ52" i="3"/>
  <c r="BA52" i="3"/>
  <c r="AZ53" i="3"/>
  <c r="BA53" i="3"/>
  <c r="AZ54" i="3"/>
  <c r="BA54" i="3"/>
  <c r="AZ55" i="3"/>
  <c r="BA55" i="3"/>
  <c r="AZ56" i="3"/>
  <c r="BA56" i="3"/>
  <c r="AZ57" i="3"/>
  <c r="BA57" i="3"/>
  <c r="AZ58" i="3"/>
  <c r="BA58" i="3"/>
  <c r="AZ59" i="3"/>
  <c r="BA59" i="3"/>
  <c r="AZ60" i="3"/>
  <c r="BA60" i="3"/>
  <c r="AZ61" i="3"/>
  <c r="BA61" i="3"/>
  <c r="AZ62" i="3"/>
  <c r="BA62" i="3"/>
  <c r="AZ63" i="3"/>
  <c r="BA63" i="3"/>
  <c r="AZ64" i="3"/>
  <c r="BA64" i="3"/>
  <c r="AZ65" i="3"/>
  <c r="BA65" i="3"/>
  <c r="AZ66" i="3"/>
  <c r="BA66" i="3"/>
  <c r="AZ67" i="3"/>
  <c r="BA67" i="3"/>
  <c r="AZ68" i="3"/>
  <c r="BA68" i="3"/>
  <c r="AZ69" i="3"/>
  <c r="BA69" i="3"/>
  <c r="AZ70" i="3"/>
  <c r="BA70" i="3"/>
  <c r="AZ71" i="3"/>
  <c r="BA71" i="3"/>
  <c r="AZ72" i="3"/>
  <c r="BA72" i="3"/>
  <c r="AZ73" i="3"/>
  <c r="BA73" i="3"/>
  <c r="AZ74" i="3"/>
  <c r="BA74" i="3"/>
  <c r="AZ75" i="3"/>
  <c r="BA75" i="3"/>
  <c r="AZ76" i="3"/>
  <c r="BA76" i="3"/>
  <c r="AZ77" i="3"/>
  <c r="BA77" i="3"/>
  <c r="AZ78" i="3"/>
  <c r="BA78" i="3"/>
  <c r="AZ79" i="3"/>
  <c r="BA79" i="3"/>
  <c r="AZ80" i="3"/>
  <c r="BA80" i="3"/>
  <c r="AZ81" i="3"/>
  <c r="BA81" i="3"/>
  <c r="AZ82" i="3"/>
  <c r="BA82" i="3"/>
  <c r="AZ83" i="3"/>
  <c r="BA83" i="3"/>
  <c r="AZ84" i="3"/>
  <c r="BA84" i="3"/>
  <c r="AZ85" i="3"/>
  <c r="BA85" i="3"/>
  <c r="AZ86" i="3"/>
  <c r="BA86" i="3"/>
  <c r="AZ87" i="3"/>
  <c r="BA87" i="3"/>
  <c r="AZ88" i="3"/>
  <c r="BA88" i="3"/>
  <c r="AZ89" i="3"/>
  <c r="BA89" i="3"/>
  <c r="AZ90" i="3"/>
  <c r="BA90" i="3"/>
  <c r="AZ91" i="3"/>
  <c r="BA91" i="3"/>
  <c r="AZ92" i="3"/>
  <c r="BA92" i="3"/>
  <c r="AZ93" i="3"/>
  <c r="BA93" i="3"/>
  <c r="AZ94" i="3"/>
  <c r="BA94" i="3"/>
  <c r="AZ95" i="3"/>
  <c r="BA95" i="3"/>
  <c r="AZ96" i="3"/>
  <c r="BA96" i="3"/>
  <c r="AZ97" i="3"/>
  <c r="BA97" i="3"/>
  <c r="AZ98" i="3"/>
  <c r="BA98" i="3"/>
  <c r="AZ99" i="3"/>
  <c r="BA99" i="3"/>
  <c r="AZ100" i="3"/>
  <c r="BA100" i="3"/>
  <c r="AZ101" i="3"/>
  <c r="BA101" i="3"/>
  <c r="AZ102" i="3"/>
  <c r="BA102" i="3"/>
  <c r="AZ103" i="3"/>
  <c r="BA103" i="3"/>
  <c r="AZ104" i="3"/>
  <c r="BA104" i="3"/>
  <c r="AZ105" i="3"/>
  <c r="BA105" i="3"/>
  <c r="AZ106" i="3"/>
  <c r="BA106" i="3"/>
  <c r="AZ107" i="3"/>
  <c r="BA107" i="3"/>
  <c r="AZ108" i="3"/>
  <c r="BA108" i="3"/>
  <c r="AZ109" i="3"/>
  <c r="BA109" i="3"/>
  <c r="AZ110" i="3"/>
  <c r="BA110" i="3"/>
  <c r="AZ111" i="3"/>
  <c r="BA111" i="3"/>
  <c r="AZ112" i="3"/>
  <c r="BA112" i="3"/>
  <c r="AZ113" i="3"/>
  <c r="BA113" i="3"/>
  <c r="AZ114" i="3"/>
  <c r="BA114" i="3"/>
  <c r="AX114" i="3"/>
  <c r="AZ115" i="3"/>
  <c r="BA115" i="3"/>
  <c r="AX115" i="3"/>
  <c r="AZ116" i="3"/>
  <c r="BA116" i="3"/>
  <c r="AX116" i="3"/>
  <c r="AZ117" i="3"/>
  <c r="BA117" i="3"/>
  <c r="AX117" i="3"/>
  <c r="AB114" i="3"/>
  <c r="AB115" i="3"/>
  <c r="AB116" i="3"/>
  <c r="AB117" i="3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F25" i="3"/>
  <c r="AB42" i="3"/>
  <c r="AB43" i="3"/>
  <c r="AB44" i="3"/>
  <c r="AB45" i="3"/>
  <c r="AX42" i="3"/>
  <c r="AX43" i="3"/>
  <c r="AX44" i="3"/>
  <c r="AX45" i="3"/>
  <c r="AK11" i="3"/>
  <c r="F13" i="4"/>
  <c r="AF25" i="2"/>
  <c r="AB42" i="2"/>
  <c r="AB43" i="2"/>
  <c r="AB44" i="2"/>
  <c r="AB45" i="2"/>
  <c r="AW42" i="2"/>
  <c r="AW43" i="2"/>
  <c r="AW44" i="2"/>
  <c r="AW45" i="2"/>
  <c r="AK11" i="2"/>
  <c r="D13" i="4"/>
  <c r="AF25" i="1"/>
  <c r="AB42" i="1"/>
  <c r="AB43" i="1"/>
  <c r="AB44" i="1"/>
  <c r="AB45" i="1"/>
  <c r="AX42" i="1"/>
  <c r="AF42" i="1"/>
  <c r="AX43" i="1"/>
  <c r="AF43" i="1"/>
  <c r="AK11" i="1"/>
  <c r="B13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B110" i="3"/>
  <c r="AB111" i="3"/>
  <c r="AB112" i="3"/>
  <c r="AB113" i="3"/>
  <c r="AX110" i="3"/>
  <c r="AX111" i="3"/>
  <c r="AX112" i="3"/>
  <c r="AX113" i="3"/>
  <c r="AK28" i="3"/>
  <c r="BI28" i="3"/>
  <c r="BJ28" i="3"/>
  <c r="G30" i="4"/>
  <c r="F30" i="4"/>
  <c r="AB110" i="2"/>
  <c r="AB111" i="2"/>
  <c r="AB112" i="2"/>
  <c r="AB113" i="2"/>
  <c r="AW110" i="2"/>
  <c r="AW111" i="2"/>
  <c r="AW112" i="2"/>
  <c r="AW113" i="2"/>
  <c r="AK28" i="2"/>
  <c r="BH28" i="2"/>
  <c r="BI28" i="2"/>
  <c r="E30" i="4"/>
  <c r="D30" i="4"/>
  <c r="AB110" i="1"/>
  <c r="AB111" i="1"/>
  <c r="AB112" i="1"/>
  <c r="AB113" i="1"/>
  <c r="AX110" i="1"/>
  <c r="AF110" i="1"/>
  <c r="AX111" i="1"/>
  <c r="AF111" i="1"/>
  <c r="AK28" i="1"/>
  <c r="BJ28" i="1"/>
  <c r="BK28" i="1"/>
  <c r="C30" i="4"/>
  <c r="B30" i="4"/>
  <c r="AB106" i="3"/>
  <c r="AB107" i="3"/>
  <c r="AB108" i="3"/>
  <c r="AB109" i="3"/>
  <c r="AX106" i="3"/>
  <c r="AX107" i="3"/>
  <c r="AX108" i="3"/>
  <c r="AX109" i="3"/>
  <c r="AK27" i="3"/>
  <c r="BI27" i="3"/>
  <c r="BJ27" i="3"/>
  <c r="G29" i="4"/>
  <c r="F29" i="4"/>
  <c r="AB106" i="2"/>
  <c r="AB107" i="2"/>
  <c r="AB108" i="2"/>
  <c r="AB109" i="2"/>
  <c r="AW106" i="2"/>
  <c r="AW107" i="2"/>
  <c r="AW108" i="2"/>
  <c r="AW109" i="2"/>
  <c r="AK27" i="2"/>
  <c r="BH27" i="2"/>
  <c r="BI27" i="2"/>
  <c r="E29" i="4"/>
  <c r="D29" i="4"/>
  <c r="AB106" i="1"/>
  <c r="AB107" i="1"/>
  <c r="AB108" i="1"/>
  <c r="AB109" i="1"/>
  <c r="AX106" i="1"/>
  <c r="AF106" i="1"/>
  <c r="AX107" i="1"/>
  <c r="AF107" i="1"/>
  <c r="AK27" i="1"/>
  <c r="BJ27" i="1"/>
  <c r="BK27" i="1"/>
  <c r="C29" i="4"/>
  <c r="B29" i="4"/>
  <c r="AB102" i="3"/>
  <c r="AB103" i="3"/>
  <c r="AB104" i="3"/>
  <c r="AB105" i="3"/>
  <c r="AX102" i="3"/>
  <c r="AX103" i="3"/>
  <c r="AX104" i="3"/>
  <c r="AX105" i="3"/>
  <c r="AK26" i="3"/>
  <c r="BI26" i="3"/>
  <c r="BJ26" i="3"/>
  <c r="G28" i="4"/>
  <c r="F28" i="4"/>
  <c r="AB102" i="2"/>
  <c r="AB103" i="2"/>
  <c r="AB104" i="2"/>
  <c r="AB105" i="2"/>
  <c r="AW102" i="2"/>
  <c r="AW103" i="2"/>
  <c r="AW104" i="2"/>
  <c r="AW105" i="2"/>
  <c r="AK26" i="2"/>
  <c r="BH26" i="2"/>
  <c r="BI26" i="2"/>
  <c r="E28" i="4"/>
  <c r="D28" i="4"/>
  <c r="AB102" i="1"/>
  <c r="AB103" i="1"/>
  <c r="AB104" i="1"/>
  <c r="AB105" i="1"/>
  <c r="AX102" i="1"/>
  <c r="AF102" i="1"/>
  <c r="AX103" i="1"/>
  <c r="AF103" i="1"/>
  <c r="AK26" i="1"/>
  <c r="BJ26" i="1"/>
  <c r="BK26" i="1"/>
  <c r="C28" i="4"/>
  <c r="B28" i="4"/>
  <c r="AB98" i="3"/>
  <c r="AB99" i="3"/>
  <c r="AB100" i="3"/>
  <c r="AB101" i="3"/>
  <c r="AX98" i="3"/>
  <c r="AX99" i="3"/>
  <c r="AX100" i="3"/>
  <c r="AX101" i="3"/>
  <c r="AK25" i="3"/>
  <c r="BI25" i="3"/>
  <c r="BJ25" i="3"/>
  <c r="G27" i="4"/>
  <c r="F27" i="4"/>
  <c r="AB98" i="2"/>
  <c r="AB99" i="2"/>
  <c r="AB100" i="2"/>
  <c r="AB101" i="2"/>
  <c r="AW98" i="2"/>
  <c r="AW99" i="2"/>
  <c r="AW100" i="2"/>
  <c r="AW101" i="2"/>
  <c r="AK25" i="2"/>
  <c r="BH25" i="2"/>
  <c r="BI25" i="2"/>
  <c r="E27" i="4"/>
  <c r="D27" i="4"/>
  <c r="AB98" i="1"/>
  <c r="AB99" i="1"/>
  <c r="AB100" i="1"/>
  <c r="AB101" i="1"/>
  <c r="AX98" i="1"/>
  <c r="AF98" i="1"/>
  <c r="AX99" i="1"/>
  <c r="AF99" i="1"/>
  <c r="AK25" i="1"/>
  <c r="BJ25" i="1"/>
  <c r="BK25" i="1"/>
  <c r="C27" i="4"/>
  <c r="B27" i="4"/>
  <c r="AB94" i="3"/>
  <c r="AB95" i="3"/>
  <c r="AB96" i="3"/>
  <c r="AB97" i="3"/>
  <c r="AX94" i="3"/>
  <c r="AX95" i="3"/>
  <c r="AX96" i="3"/>
  <c r="AX97" i="3"/>
  <c r="AK24" i="3"/>
  <c r="BI24" i="3"/>
  <c r="BJ24" i="3"/>
  <c r="G26" i="4"/>
  <c r="F26" i="4"/>
  <c r="AB94" i="2"/>
  <c r="AB95" i="2"/>
  <c r="AB96" i="2"/>
  <c r="AB97" i="2"/>
  <c r="AW94" i="2"/>
  <c r="AW95" i="2"/>
  <c r="AW96" i="2"/>
  <c r="AW97" i="2"/>
  <c r="AK24" i="2"/>
  <c r="BH24" i="2"/>
  <c r="BI24" i="2"/>
  <c r="E26" i="4"/>
  <c r="D26" i="4"/>
  <c r="AB94" i="1"/>
  <c r="AB95" i="1"/>
  <c r="AB96" i="1"/>
  <c r="AB97" i="1"/>
  <c r="AX94" i="1"/>
  <c r="AF94" i="1"/>
  <c r="AX95" i="1"/>
  <c r="AF95" i="1"/>
  <c r="AK24" i="1"/>
  <c r="BJ24" i="1"/>
  <c r="BK24" i="1"/>
  <c r="C26" i="4"/>
  <c r="B26" i="4"/>
  <c r="AB90" i="3"/>
  <c r="AB91" i="3"/>
  <c r="AB92" i="3"/>
  <c r="AB93" i="3"/>
  <c r="AX90" i="3"/>
  <c r="AX91" i="3"/>
  <c r="AX92" i="3"/>
  <c r="AX93" i="3"/>
  <c r="AK23" i="3"/>
  <c r="BI23" i="3"/>
  <c r="BJ23" i="3"/>
  <c r="G25" i="4"/>
  <c r="F25" i="4"/>
  <c r="AB90" i="2"/>
  <c r="AB91" i="2"/>
  <c r="AB92" i="2"/>
  <c r="AB93" i="2"/>
  <c r="AW90" i="2"/>
  <c r="AW91" i="2"/>
  <c r="AW92" i="2"/>
  <c r="AW93" i="2"/>
  <c r="AK23" i="2"/>
  <c r="BH23" i="2"/>
  <c r="BI23" i="2"/>
  <c r="E25" i="4"/>
  <c r="D25" i="4"/>
  <c r="AB90" i="1"/>
  <c r="AB91" i="1"/>
  <c r="AB92" i="1"/>
  <c r="AB93" i="1"/>
  <c r="AX90" i="1"/>
  <c r="AF90" i="1"/>
  <c r="AX91" i="1"/>
  <c r="AF91" i="1"/>
  <c r="AK23" i="1"/>
  <c r="BJ23" i="1"/>
  <c r="BK23" i="1"/>
  <c r="C25" i="4"/>
  <c r="B25" i="4"/>
  <c r="AB86" i="3"/>
  <c r="AB87" i="3"/>
  <c r="AB88" i="3"/>
  <c r="AB89" i="3"/>
  <c r="AX86" i="3"/>
  <c r="AX87" i="3"/>
  <c r="AX88" i="3"/>
  <c r="AX89" i="3"/>
  <c r="AK22" i="3"/>
  <c r="BI22" i="3"/>
  <c r="BJ22" i="3"/>
  <c r="G24" i="4"/>
  <c r="F24" i="4"/>
  <c r="AB86" i="2"/>
  <c r="AB87" i="2"/>
  <c r="AB88" i="2"/>
  <c r="AB89" i="2"/>
  <c r="AW86" i="2"/>
  <c r="AW87" i="2"/>
  <c r="AW88" i="2"/>
  <c r="AW89" i="2"/>
  <c r="AK22" i="2"/>
  <c r="BH22" i="2"/>
  <c r="BI22" i="2"/>
  <c r="E24" i="4"/>
  <c r="D24" i="4"/>
  <c r="AB86" i="1"/>
  <c r="AB87" i="1"/>
  <c r="AB88" i="1"/>
  <c r="AB89" i="1"/>
  <c r="AX86" i="1"/>
  <c r="AF86" i="1"/>
  <c r="AX87" i="1"/>
  <c r="AF87" i="1"/>
  <c r="AK22" i="1"/>
  <c r="BJ22" i="1"/>
  <c r="BK22" i="1"/>
  <c r="C24" i="4"/>
  <c r="B24" i="4"/>
  <c r="AB82" i="3"/>
  <c r="AB83" i="3"/>
  <c r="AB84" i="3"/>
  <c r="AB85" i="3"/>
  <c r="AX82" i="3"/>
  <c r="AX83" i="3"/>
  <c r="AX84" i="3"/>
  <c r="AX85" i="3"/>
  <c r="AK21" i="3"/>
  <c r="BI21" i="3"/>
  <c r="BJ21" i="3"/>
  <c r="G23" i="4"/>
  <c r="F23" i="4"/>
  <c r="AB82" i="2"/>
  <c r="AB83" i="2"/>
  <c r="AB84" i="2"/>
  <c r="AB85" i="2"/>
  <c r="AW82" i="2"/>
  <c r="AW83" i="2"/>
  <c r="AW84" i="2"/>
  <c r="AW85" i="2"/>
  <c r="AK21" i="2"/>
  <c r="BH21" i="2"/>
  <c r="BI21" i="2"/>
  <c r="E23" i="4"/>
  <c r="D23" i="4"/>
  <c r="AB82" i="1"/>
  <c r="AB83" i="1"/>
  <c r="AB84" i="1"/>
  <c r="AB85" i="1"/>
  <c r="AX82" i="1"/>
  <c r="AF82" i="1"/>
  <c r="AX83" i="1"/>
  <c r="AF83" i="1"/>
  <c r="AK21" i="1"/>
  <c r="BJ21" i="1"/>
  <c r="BK21" i="1"/>
  <c r="C23" i="4"/>
  <c r="B23" i="4"/>
  <c r="AB78" i="3"/>
  <c r="AB79" i="3"/>
  <c r="AB80" i="3"/>
  <c r="AB81" i="3"/>
  <c r="AX78" i="3"/>
  <c r="AX79" i="3"/>
  <c r="AX80" i="3"/>
  <c r="AX81" i="3"/>
  <c r="AK20" i="3"/>
  <c r="BI20" i="3"/>
  <c r="BJ20" i="3"/>
  <c r="G22" i="4"/>
  <c r="F22" i="4"/>
  <c r="AB78" i="2"/>
  <c r="AB79" i="2"/>
  <c r="AB80" i="2"/>
  <c r="AB81" i="2"/>
  <c r="AW78" i="2"/>
  <c r="AW79" i="2"/>
  <c r="AW80" i="2"/>
  <c r="AW81" i="2"/>
  <c r="AK20" i="2"/>
  <c r="BH20" i="2"/>
  <c r="BI20" i="2"/>
  <c r="E22" i="4"/>
  <c r="D22" i="4"/>
  <c r="AB78" i="1"/>
  <c r="AB79" i="1"/>
  <c r="AB80" i="1"/>
  <c r="AB81" i="1"/>
  <c r="AX78" i="1"/>
  <c r="AF78" i="1"/>
  <c r="AX79" i="1"/>
  <c r="AF79" i="1"/>
  <c r="AK20" i="1"/>
  <c r="BJ20" i="1"/>
  <c r="BK20" i="1"/>
  <c r="C22" i="4"/>
  <c r="B22" i="4"/>
  <c r="AB74" i="3"/>
  <c r="AB75" i="3"/>
  <c r="AB76" i="3"/>
  <c r="AB77" i="3"/>
  <c r="AX74" i="3"/>
  <c r="AX75" i="3"/>
  <c r="AX76" i="3"/>
  <c r="AX77" i="3"/>
  <c r="AK19" i="3"/>
  <c r="BI19" i="3"/>
  <c r="BJ19" i="3"/>
  <c r="G21" i="4"/>
  <c r="F21" i="4"/>
  <c r="AB74" i="2"/>
  <c r="AB75" i="2"/>
  <c r="AB76" i="2"/>
  <c r="AB77" i="2"/>
  <c r="AW74" i="2"/>
  <c r="AW75" i="2"/>
  <c r="AW76" i="2"/>
  <c r="AW77" i="2"/>
  <c r="AK19" i="2"/>
  <c r="BH19" i="2"/>
  <c r="BI19" i="2"/>
  <c r="E21" i="4"/>
  <c r="D21" i="4"/>
  <c r="AB74" i="1"/>
  <c r="AB75" i="1"/>
  <c r="AB76" i="1"/>
  <c r="AB77" i="1"/>
  <c r="AX74" i="1"/>
  <c r="AF74" i="1"/>
  <c r="AX75" i="1"/>
  <c r="AF75" i="1"/>
  <c r="AK19" i="1"/>
  <c r="BJ19" i="1"/>
  <c r="BK19" i="1"/>
  <c r="C21" i="4"/>
  <c r="B21" i="4"/>
  <c r="AB70" i="3"/>
  <c r="AB71" i="3"/>
  <c r="AB72" i="3"/>
  <c r="AB73" i="3"/>
  <c r="AX70" i="3"/>
  <c r="AX71" i="3"/>
  <c r="AX72" i="3"/>
  <c r="AX73" i="3"/>
  <c r="AK18" i="3"/>
  <c r="BI18" i="3"/>
  <c r="BJ18" i="3"/>
  <c r="G20" i="4"/>
  <c r="F20" i="4"/>
  <c r="AB70" i="2"/>
  <c r="AB71" i="2"/>
  <c r="AB72" i="2"/>
  <c r="AB73" i="2"/>
  <c r="AW70" i="2"/>
  <c r="AW71" i="2"/>
  <c r="AW72" i="2"/>
  <c r="AW73" i="2"/>
  <c r="AK18" i="2"/>
  <c r="BH18" i="2"/>
  <c r="BI18" i="2"/>
  <c r="E20" i="4"/>
  <c r="D20" i="4"/>
  <c r="AB70" i="1"/>
  <c r="AB71" i="1"/>
  <c r="AB72" i="1"/>
  <c r="AB73" i="1"/>
  <c r="AX70" i="1"/>
  <c r="AF70" i="1"/>
  <c r="AX71" i="1"/>
  <c r="AF71" i="1"/>
  <c r="AK18" i="1"/>
  <c r="BJ18" i="1"/>
  <c r="BK18" i="1"/>
  <c r="C20" i="4"/>
  <c r="B20" i="4"/>
  <c r="AB66" i="3"/>
  <c r="AB67" i="3"/>
  <c r="AB68" i="3"/>
  <c r="AB69" i="3"/>
  <c r="AX66" i="3"/>
  <c r="AX67" i="3"/>
  <c r="AX68" i="3"/>
  <c r="AX69" i="3"/>
  <c r="AK17" i="3"/>
  <c r="BI17" i="3"/>
  <c r="BJ17" i="3"/>
  <c r="G19" i="4"/>
  <c r="F19" i="4"/>
  <c r="AB66" i="2"/>
  <c r="AB67" i="2"/>
  <c r="AB68" i="2"/>
  <c r="AB69" i="2"/>
  <c r="AW66" i="2"/>
  <c r="AW67" i="2"/>
  <c r="AW68" i="2"/>
  <c r="AW69" i="2"/>
  <c r="AK17" i="2"/>
  <c r="BH17" i="2"/>
  <c r="BI17" i="2"/>
  <c r="E19" i="4"/>
  <c r="D19" i="4"/>
  <c r="AB66" i="1"/>
  <c r="AB67" i="1"/>
  <c r="AB68" i="1"/>
  <c r="AB69" i="1"/>
  <c r="AX66" i="1"/>
  <c r="AF66" i="1"/>
  <c r="AX67" i="1"/>
  <c r="AF67" i="1"/>
  <c r="AK17" i="1"/>
  <c r="BJ17" i="1"/>
  <c r="BK17" i="1"/>
  <c r="C19" i="4"/>
  <c r="B19" i="4"/>
  <c r="AB62" i="3"/>
  <c r="AB63" i="3"/>
  <c r="AB64" i="3"/>
  <c r="AB65" i="3"/>
  <c r="AX62" i="3"/>
  <c r="AX63" i="3"/>
  <c r="AX64" i="3"/>
  <c r="AX65" i="3"/>
  <c r="AK16" i="3"/>
  <c r="BI16" i="3"/>
  <c r="BJ16" i="3"/>
  <c r="G18" i="4"/>
  <c r="F18" i="4"/>
  <c r="AB62" i="2"/>
  <c r="AB63" i="2"/>
  <c r="AB64" i="2"/>
  <c r="AB65" i="2"/>
  <c r="AW62" i="2"/>
  <c r="AW63" i="2"/>
  <c r="AW64" i="2"/>
  <c r="AW65" i="2"/>
  <c r="AK16" i="2"/>
  <c r="BH16" i="2"/>
  <c r="BI16" i="2"/>
  <c r="E18" i="4"/>
  <c r="D18" i="4"/>
  <c r="AB62" i="1"/>
  <c r="AB63" i="1"/>
  <c r="AB64" i="1"/>
  <c r="AB65" i="1"/>
  <c r="AX62" i="1"/>
  <c r="AF62" i="1"/>
  <c r="AX63" i="1"/>
  <c r="AF63" i="1"/>
  <c r="AK16" i="1"/>
  <c r="BJ16" i="1"/>
  <c r="BK16" i="1"/>
  <c r="C18" i="4"/>
  <c r="B18" i="4"/>
  <c r="AB58" i="3"/>
  <c r="AB59" i="3"/>
  <c r="AB60" i="3"/>
  <c r="AB61" i="3"/>
  <c r="AX58" i="3"/>
  <c r="AX59" i="3"/>
  <c r="AX60" i="3"/>
  <c r="AX61" i="3"/>
  <c r="AK15" i="3"/>
  <c r="BI15" i="3"/>
  <c r="BJ15" i="3"/>
  <c r="G17" i="4"/>
  <c r="F17" i="4"/>
  <c r="AB58" i="2"/>
  <c r="AB59" i="2"/>
  <c r="AB60" i="2"/>
  <c r="AB61" i="2"/>
  <c r="AW58" i="2"/>
  <c r="AW59" i="2"/>
  <c r="AW60" i="2"/>
  <c r="AW61" i="2"/>
  <c r="AK15" i="2"/>
  <c r="BH15" i="2"/>
  <c r="BI15" i="2"/>
  <c r="E17" i="4"/>
  <c r="D17" i="4"/>
  <c r="AB58" i="1"/>
  <c r="AB59" i="1"/>
  <c r="AB60" i="1"/>
  <c r="AB61" i="1"/>
  <c r="AX58" i="1"/>
  <c r="AF58" i="1"/>
  <c r="AX59" i="1"/>
  <c r="AF59" i="1"/>
  <c r="AK15" i="1"/>
  <c r="BJ15" i="1"/>
  <c r="BK15" i="1"/>
  <c r="C17" i="4"/>
  <c r="B17" i="4"/>
  <c r="AB54" i="3"/>
  <c r="AB55" i="3"/>
  <c r="AB56" i="3"/>
  <c r="AB57" i="3"/>
  <c r="AX54" i="3"/>
  <c r="AX55" i="3"/>
  <c r="AX56" i="3"/>
  <c r="AX57" i="3"/>
  <c r="AK14" i="3"/>
  <c r="BI14" i="3"/>
  <c r="BJ14" i="3"/>
  <c r="G16" i="4"/>
  <c r="F16" i="4"/>
  <c r="AB54" i="2"/>
  <c r="AB55" i="2"/>
  <c r="AB56" i="2"/>
  <c r="AB57" i="2"/>
  <c r="AW54" i="2"/>
  <c r="AW55" i="2"/>
  <c r="AW56" i="2"/>
  <c r="AW57" i="2"/>
  <c r="AK14" i="2"/>
  <c r="BH14" i="2"/>
  <c r="BI14" i="2"/>
  <c r="E16" i="4"/>
  <c r="D16" i="4"/>
  <c r="AB54" i="1"/>
  <c r="AB55" i="1"/>
  <c r="AB56" i="1"/>
  <c r="AB57" i="1"/>
  <c r="AX54" i="1"/>
  <c r="AF54" i="1"/>
  <c r="AX55" i="1"/>
  <c r="AF55" i="1"/>
  <c r="AK14" i="1"/>
  <c r="BJ14" i="1"/>
  <c r="BK14" i="1"/>
  <c r="C16" i="4"/>
  <c r="B16" i="4"/>
  <c r="AB50" i="3"/>
  <c r="AB51" i="3"/>
  <c r="AB52" i="3"/>
  <c r="AB53" i="3"/>
  <c r="AX50" i="3"/>
  <c r="AX51" i="3"/>
  <c r="AX52" i="3"/>
  <c r="AX53" i="3"/>
  <c r="AK13" i="3"/>
  <c r="BI13" i="3"/>
  <c r="BJ13" i="3"/>
  <c r="G15" i="4"/>
  <c r="F15" i="4"/>
  <c r="AB50" i="2"/>
  <c r="AB51" i="2"/>
  <c r="AB52" i="2"/>
  <c r="AB53" i="2"/>
  <c r="AW50" i="2"/>
  <c r="AW51" i="2"/>
  <c r="AW52" i="2"/>
  <c r="AW53" i="2"/>
  <c r="AK13" i="2"/>
  <c r="BH13" i="2"/>
  <c r="BI13" i="2"/>
  <c r="E15" i="4"/>
  <c r="D15" i="4"/>
  <c r="AB50" i="1"/>
  <c r="AB51" i="1"/>
  <c r="AB52" i="1"/>
  <c r="AB53" i="1"/>
  <c r="AX50" i="1"/>
  <c r="AF50" i="1"/>
  <c r="AX51" i="1"/>
  <c r="AF51" i="1"/>
  <c r="AK13" i="1"/>
  <c r="BJ13" i="1"/>
  <c r="BK13" i="1"/>
  <c r="C15" i="4"/>
  <c r="B15" i="4"/>
  <c r="AB46" i="3"/>
  <c r="AB47" i="3"/>
  <c r="AB48" i="3"/>
  <c r="AB49" i="3"/>
  <c r="AX46" i="3"/>
  <c r="AX47" i="3"/>
  <c r="AX48" i="3"/>
  <c r="AX49" i="3"/>
  <c r="AK12" i="3"/>
  <c r="BI12" i="3"/>
  <c r="BJ12" i="3"/>
  <c r="G14" i="4"/>
  <c r="F14" i="4"/>
  <c r="AB46" i="2"/>
  <c r="AB47" i="2"/>
  <c r="AB48" i="2"/>
  <c r="AB49" i="2"/>
  <c r="AW46" i="2"/>
  <c r="AW47" i="2"/>
  <c r="AW48" i="2"/>
  <c r="AW49" i="2"/>
  <c r="AK12" i="2"/>
  <c r="BH12" i="2"/>
  <c r="BI12" i="2"/>
  <c r="E14" i="4"/>
  <c r="D14" i="4"/>
  <c r="AB46" i="1"/>
  <c r="AB47" i="1"/>
  <c r="AB48" i="1"/>
  <c r="AB49" i="1"/>
  <c r="AX46" i="1"/>
  <c r="AF46" i="1"/>
  <c r="AX47" i="1"/>
  <c r="AF47" i="1"/>
  <c r="AK12" i="1"/>
  <c r="BJ12" i="1"/>
  <c r="BK12" i="1"/>
  <c r="C14" i="4"/>
  <c r="B14" i="4"/>
  <c r="BI11" i="3"/>
  <c r="BJ11" i="3"/>
  <c r="G13" i="4"/>
  <c r="BH11" i="2"/>
  <c r="BI11" i="2"/>
  <c r="E13" i="4"/>
  <c r="BJ11" i="1"/>
  <c r="BK11" i="1"/>
  <c r="C13" i="4"/>
  <c r="AB38" i="3"/>
  <c r="AB39" i="3"/>
  <c r="AB40" i="3"/>
  <c r="AB41" i="3"/>
  <c r="AX38" i="3"/>
  <c r="AX39" i="3"/>
  <c r="AX40" i="3"/>
  <c r="AX41" i="3"/>
  <c r="AK10" i="3"/>
  <c r="BI10" i="3"/>
  <c r="BJ10" i="3"/>
  <c r="G12" i="4"/>
  <c r="F12" i="4"/>
  <c r="AB38" i="2"/>
  <c r="AB39" i="2"/>
  <c r="AB40" i="2"/>
  <c r="AB41" i="2"/>
  <c r="AW38" i="2"/>
  <c r="AW39" i="2"/>
  <c r="AW40" i="2"/>
  <c r="AW41" i="2"/>
  <c r="AK10" i="2"/>
  <c r="BH10" i="2"/>
  <c r="BI10" i="2"/>
  <c r="E12" i="4"/>
  <c r="D12" i="4"/>
  <c r="AB38" i="1"/>
  <c r="AB39" i="1"/>
  <c r="AB40" i="1"/>
  <c r="AB41" i="1"/>
  <c r="AX38" i="1"/>
  <c r="AF38" i="1"/>
  <c r="AX39" i="1"/>
  <c r="AF39" i="1"/>
  <c r="AK10" i="1"/>
  <c r="BJ10" i="1"/>
  <c r="BK10" i="1"/>
  <c r="C12" i="4"/>
  <c r="B12" i="4"/>
  <c r="AB34" i="3"/>
  <c r="AB35" i="3"/>
  <c r="AB36" i="3"/>
  <c r="AB37" i="3"/>
  <c r="AX35" i="3"/>
  <c r="AX36" i="3"/>
  <c r="AX37" i="3"/>
  <c r="AK9" i="3"/>
  <c r="BI9" i="3"/>
  <c r="BJ9" i="3"/>
  <c r="G11" i="4"/>
  <c r="F11" i="4"/>
  <c r="AB34" i="2"/>
  <c r="AB35" i="2"/>
  <c r="AB36" i="2"/>
  <c r="AB37" i="2"/>
  <c r="AW34" i="2"/>
  <c r="AW35" i="2"/>
  <c r="AW36" i="2"/>
  <c r="AW37" i="2"/>
  <c r="AK9" i="2"/>
  <c r="BH9" i="2"/>
  <c r="BI9" i="2"/>
  <c r="E11" i="4"/>
  <c r="D11" i="4"/>
  <c r="AB34" i="1"/>
  <c r="AB35" i="1"/>
  <c r="AB36" i="1"/>
  <c r="AB37" i="1"/>
  <c r="AX34" i="1"/>
  <c r="AF34" i="1"/>
  <c r="AX35" i="1"/>
  <c r="AF35" i="1"/>
  <c r="AK9" i="1"/>
  <c r="BJ9" i="1"/>
  <c r="BK9" i="1"/>
  <c r="C11" i="4"/>
  <c r="B11" i="4"/>
  <c r="AB30" i="3"/>
  <c r="AB31" i="3"/>
  <c r="AB32" i="3"/>
  <c r="AB33" i="3"/>
  <c r="AX30" i="3"/>
  <c r="AX31" i="3"/>
  <c r="AK8" i="3"/>
  <c r="BI8" i="3"/>
  <c r="BJ8" i="3"/>
  <c r="G10" i="4"/>
  <c r="F10" i="4"/>
  <c r="AB30" i="2"/>
  <c r="AB31" i="2"/>
  <c r="AB32" i="2"/>
  <c r="AB33" i="2"/>
  <c r="AW30" i="2"/>
  <c r="AW31" i="2"/>
  <c r="AW32" i="2"/>
  <c r="AW33" i="2"/>
  <c r="AK8" i="2"/>
  <c r="BH8" i="2"/>
  <c r="BI8" i="2"/>
  <c r="E10" i="4"/>
  <c r="D10" i="4"/>
  <c r="AB30" i="1"/>
  <c r="AB31" i="1"/>
  <c r="AB32" i="1"/>
  <c r="AB33" i="1"/>
  <c r="AX30" i="1"/>
  <c r="AF30" i="1"/>
  <c r="AX31" i="1"/>
  <c r="AF31" i="1"/>
  <c r="AK8" i="1"/>
  <c r="BJ8" i="1"/>
  <c r="BK8" i="1"/>
  <c r="C10" i="4"/>
  <c r="B10" i="4"/>
  <c r="AB26" i="3"/>
  <c r="AB27" i="3"/>
  <c r="AB28" i="3"/>
  <c r="AB29" i="3"/>
  <c r="AX27" i="3"/>
  <c r="AX28" i="3"/>
  <c r="AX29" i="3"/>
  <c r="AK7" i="3"/>
  <c r="BI7" i="3"/>
  <c r="BJ7" i="3"/>
  <c r="G9" i="4"/>
  <c r="F9" i="4"/>
  <c r="AB26" i="2"/>
  <c r="AB27" i="2"/>
  <c r="AB28" i="2"/>
  <c r="AB29" i="2"/>
  <c r="AW26" i="2"/>
  <c r="AW27" i="2"/>
  <c r="AW28" i="2"/>
  <c r="AW29" i="2"/>
  <c r="AK7" i="2"/>
  <c r="BH7" i="2"/>
  <c r="BI7" i="2"/>
  <c r="E9" i="4"/>
  <c r="D9" i="4"/>
  <c r="AB26" i="1"/>
  <c r="AB27" i="1"/>
  <c r="AB28" i="1"/>
  <c r="AB29" i="1"/>
  <c r="AX27" i="1"/>
  <c r="AX28" i="1"/>
  <c r="AF28" i="1"/>
  <c r="AK7" i="1"/>
  <c r="BJ7" i="1"/>
  <c r="BK7" i="1"/>
  <c r="C9" i="4"/>
  <c r="B9" i="4"/>
  <c r="AB22" i="3"/>
  <c r="AB23" i="3"/>
  <c r="AB24" i="3"/>
  <c r="AB25" i="3"/>
  <c r="AF22" i="3"/>
  <c r="AF23" i="3"/>
  <c r="AF24" i="3"/>
  <c r="AK6" i="3"/>
  <c r="BI6" i="3"/>
  <c r="BJ6" i="3"/>
  <c r="G8" i="4"/>
  <c r="F8" i="4"/>
  <c r="AB22" i="2"/>
  <c r="AB23" i="2"/>
  <c r="AB24" i="2"/>
  <c r="AB25" i="2"/>
  <c r="AF22" i="2"/>
  <c r="AF23" i="2"/>
  <c r="AF24" i="2"/>
  <c r="AK6" i="2"/>
  <c r="BH6" i="2"/>
  <c r="BI6" i="2"/>
  <c r="E8" i="4"/>
  <c r="D8" i="4"/>
  <c r="AB22" i="1"/>
  <c r="AB23" i="1"/>
  <c r="AB24" i="1"/>
  <c r="AB25" i="1"/>
  <c r="AF22" i="1"/>
  <c r="AF23" i="1"/>
  <c r="AF24" i="1"/>
  <c r="AK6" i="1"/>
  <c r="BJ6" i="1"/>
  <c r="BK6" i="1"/>
  <c r="C8" i="4"/>
  <c r="B8" i="4"/>
  <c r="AB18" i="3"/>
  <c r="AB19" i="3"/>
  <c r="AB20" i="3"/>
  <c r="AB21" i="3"/>
  <c r="AF18" i="3"/>
  <c r="AF19" i="3"/>
  <c r="AF20" i="3"/>
  <c r="AF21" i="3"/>
  <c r="AK5" i="3"/>
  <c r="BI5" i="3"/>
  <c r="BJ5" i="3"/>
  <c r="G7" i="4"/>
  <c r="F7" i="4"/>
  <c r="AB18" i="2"/>
  <c r="AB19" i="2"/>
  <c r="AB20" i="2"/>
  <c r="AB21" i="2"/>
  <c r="AF18" i="2"/>
  <c r="AF19" i="2"/>
  <c r="AF20" i="2"/>
  <c r="AF21" i="2"/>
  <c r="AK5" i="2"/>
  <c r="BH5" i="2"/>
  <c r="BI5" i="2"/>
  <c r="E7" i="4"/>
  <c r="D7" i="4"/>
  <c r="AB18" i="1"/>
  <c r="AB19" i="1"/>
  <c r="AB20" i="1"/>
  <c r="AB21" i="1"/>
  <c r="AF18" i="1"/>
  <c r="AF19" i="1"/>
  <c r="AF20" i="1"/>
  <c r="AF21" i="1"/>
  <c r="AK5" i="1"/>
  <c r="BJ5" i="1"/>
  <c r="BK5" i="1"/>
  <c r="C7" i="4"/>
  <c r="B7" i="4"/>
  <c r="AB14" i="3"/>
  <c r="AB15" i="3"/>
  <c r="AB16" i="3"/>
  <c r="AB17" i="3"/>
  <c r="AF14" i="3"/>
  <c r="AF15" i="3"/>
  <c r="AF16" i="3"/>
  <c r="AF17" i="3"/>
  <c r="AK4" i="3"/>
  <c r="BI4" i="3"/>
  <c r="BJ4" i="3"/>
  <c r="G6" i="4"/>
  <c r="F6" i="4"/>
  <c r="AB14" i="2"/>
  <c r="AB15" i="2"/>
  <c r="AB16" i="2"/>
  <c r="AB17" i="2"/>
  <c r="AF14" i="2"/>
  <c r="AF15" i="2"/>
  <c r="AF16" i="2"/>
  <c r="AF17" i="2"/>
  <c r="AK4" i="2"/>
  <c r="BH4" i="2"/>
  <c r="BI4" i="2"/>
  <c r="E6" i="4"/>
  <c r="D6" i="4"/>
  <c r="AB14" i="1"/>
  <c r="AB15" i="1"/>
  <c r="AB16" i="1"/>
  <c r="AB17" i="1"/>
  <c r="AF14" i="1"/>
  <c r="AF15" i="1"/>
  <c r="AF16" i="1"/>
  <c r="AF17" i="1"/>
  <c r="AK4" i="1"/>
  <c r="BJ4" i="1"/>
  <c r="BK4" i="1"/>
  <c r="C6" i="4"/>
  <c r="B6" i="4"/>
  <c r="AA3" i="3"/>
  <c r="AA4" i="3"/>
  <c r="AA5" i="3"/>
  <c r="AA6" i="3"/>
  <c r="AF3" i="3"/>
  <c r="AF4" i="3"/>
  <c r="AF5" i="3"/>
  <c r="AF6" i="3"/>
  <c r="AK3" i="3"/>
  <c r="BI3" i="3"/>
  <c r="BJ3" i="3"/>
  <c r="G5" i="4"/>
  <c r="F5" i="4"/>
  <c r="AA3" i="2"/>
  <c r="AA4" i="2"/>
  <c r="AA5" i="2"/>
  <c r="AA6" i="2"/>
  <c r="AF3" i="2"/>
  <c r="AF4" i="2"/>
  <c r="AF5" i="2"/>
  <c r="AF6" i="2"/>
  <c r="AK3" i="2"/>
  <c r="BH3" i="2"/>
  <c r="BI3" i="2"/>
  <c r="E5" i="4"/>
  <c r="D5" i="4"/>
  <c r="AA3" i="1"/>
  <c r="AA4" i="1"/>
  <c r="AA5" i="1"/>
  <c r="AA6" i="1"/>
  <c r="AF3" i="1"/>
  <c r="AF4" i="1"/>
  <c r="AF5" i="1"/>
  <c r="AF6" i="1"/>
  <c r="AK3" i="1"/>
  <c r="BJ3" i="1"/>
  <c r="BK3" i="1"/>
  <c r="C5" i="4"/>
  <c r="B5" i="4"/>
  <c r="BD117" i="3"/>
  <c r="AI117" i="3"/>
  <c r="Z117" i="3"/>
  <c r="B21" i="3"/>
  <c r="B25" i="3"/>
  <c r="B29" i="3"/>
  <c r="B33" i="3"/>
  <c r="B37" i="3"/>
  <c r="B41" i="3"/>
  <c r="B45" i="3"/>
  <c r="B49" i="3"/>
  <c r="B53" i="3"/>
  <c r="B57" i="3"/>
  <c r="B61" i="3"/>
  <c r="B65" i="3"/>
  <c r="B69" i="3"/>
  <c r="B73" i="3"/>
  <c r="B77" i="3"/>
  <c r="B81" i="3"/>
  <c r="B85" i="3"/>
  <c r="B89" i="3"/>
  <c r="B93" i="3"/>
  <c r="B97" i="3"/>
  <c r="B101" i="3"/>
  <c r="B105" i="3"/>
  <c r="B109" i="3"/>
  <c r="B113" i="3"/>
  <c r="B117" i="3"/>
  <c r="A21" i="3"/>
  <c r="A25" i="3"/>
  <c r="A29" i="3"/>
  <c r="A33" i="3"/>
  <c r="A37" i="3"/>
  <c r="A41" i="3"/>
  <c r="A45" i="3"/>
  <c r="A49" i="3"/>
  <c r="A53" i="3"/>
  <c r="A57" i="3"/>
  <c r="A61" i="3"/>
  <c r="A65" i="3"/>
  <c r="A69" i="3"/>
  <c r="A73" i="3"/>
  <c r="A77" i="3"/>
  <c r="A81" i="3"/>
  <c r="A85" i="3"/>
  <c r="A89" i="3"/>
  <c r="A93" i="3"/>
  <c r="A97" i="3"/>
  <c r="A101" i="3"/>
  <c r="A105" i="3"/>
  <c r="A109" i="3"/>
  <c r="A113" i="3"/>
  <c r="A117" i="3"/>
  <c r="BD116" i="3"/>
  <c r="AI116" i="3"/>
  <c r="Z116" i="3"/>
  <c r="B20" i="3"/>
  <c r="B24" i="3"/>
  <c r="B28" i="3"/>
  <c r="B32" i="3"/>
  <c r="B36" i="3"/>
  <c r="B40" i="3"/>
  <c r="B44" i="3"/>
  <c r="B48" i="3"/>
  <c r="B52" i="3"/>
  <c r="B56" i="3"/>
  <c r="B60" i="3"/>
  <c r="B64" i="3"/>
  <c r="B68" i="3"/>
  <c r="B72" i="3"/>
  <c r="B76" i="3"/>
  <c r="B80" i="3"/>
  <c r="B84" i="3"/>
  <c r="B88" i="3"/>
  <c r="B92" i="3"/>
  <c r="B96" i="3"/>
  <c r="B100" i="3"/>
  <c r="B104" i="3"/>
  <c r="B108" i="3"/>
  <c r="B112" i="3"/>
  <c r="B116" i="3"/>
  <c r="A20" i="3"/>
  <c r="A24" i="3"/>
  <c r="A28" i="3"/>
  <c r="A32" i="3"/>
  <c r="A36" i="3"/>
  <c r="A40" i="3"/>
  <c r="A44" i="3"/>
  <c r="A48" i="3"/>
  <c r="A52" i="3"/>
  <c r="A56" i="3"/>
  <c r="A60" i="3"/>
  <c r="A64" i="3"/>
  <c r="A68" i="3"/>
  <c r="A72" i="3"/>
  <c r="A76" i="3"/>
  <c r="A80" i="3"/>
  <c r="A84" i="3"/>
  <c r="A88" i="3"/>
  <c r="A92" i="3"/>
  <c r="A96" i="3"/>
  <c r="A100" i="3"/>
  <c r="A104" i="3"/>
  <c r="A108" i="3"/>
  <c r="A112" i="3"/>
  <c r="A116" i="3"/>
  <c r="BD115" i="3"/>
  <c r="AI115" i="3"/>
  <c r="Z115" i="3"/>
  <c r="B19" i="3"/>
  <c r="B23" i="3"/>
  <c r="B27" i="3"/>
  <c r="B31" i="3"/>
  <c r="B35" i="3"/>
  <c r="B39" i="3"/>
  <c r="B43" i="3"/>
  <c r="B47" i="3"/>
  <c r="B51" i="3"/>
  <c r="B55" i="3"/>
  <c r="B59" i="3"/>
  <c r="B63" i="3"/>
  <c r="B67" i="3"/>
  <c r="B71" i="3"/>
  <c r="B75" i="3"/>
  <c r="B79" i="3"/>
  <c r="B83" i="3"/>
  <c r="B87" i="3"/>
  <c r="B91" i="3"/>
  <c r="B95" i="3"/>
  <c r="B99" i="3"/>
  <c r="B103" i="3"/>
  <c r="B107" i="3"/>
  <c r="B111" i="3"/>
  <c r="B115" i="3"/>
  <c r="A19" i="3"/>
  <c r="A23" i="3"/>
  <c r="A27" i="3"/>
  <c r="A31" i="3"/>
  <c r="A35" i="3"/>
  <c r="A39" i="3"/>
  <c r="A43" i="3"/>
  <c r="A47" i="3"/>
  <c r="A51" i="3"/>
  <c r="A55" i="3"/>
  <c r="A59" i="3"/>
  <c r="A63" i="3"/>
  <c r="A67" i="3"/>
  <c r="A71" i="3"/>
  <c r="A75" i="3"/>
  <c r="A79" i="3"/>
  <c r="A83" i="3"/>
  <c r="A87" i="3"/>
  <c r="A91" i="3"/>
  <c r="A95" i="3"/>
  <c r="A99" i="3"/>
  <c r="A103" i="3"/>
  <c r="A107" i="3"/>
  <c r="A111" i="3"/>
  <c r="A115" i="3"/>
  <c r="BD114" i="3"/>
  <c r="AI114" i="3"/>
  <c r="Z114" i="3"/>
  <c r="B18" i="3"/>
  <c r="B22" i="3"/>
  <c r="B26" i="3"/>
  <c r="B30" i="3"/>
  <c r="B34" i="3"/>
  <c r="B38" i="3"/>
  <c r="B42" i="3"/>
  <c r="B46" i="3"/>
  <c r="B50" i="3"/>
  <c r="B54" i="3"/>
  <c r="B58" i="3"/>
  <c r="B62" i="3"/>
  <c r="B66" i="3"/>
  <c r="B70" i="3"/>
  <c r="B74" i="3"/>
  <c r="B78" i="3"/>
  <c r="B82" i="3"/>
  <c r="B86" i="3"/>
  <c r="B90" i="3"/>
  <c r="B94" i="3"/>
  <c r="B98" i="3"/>
  <c r="B102" i="3"/>
  <c r="B106" i="3"/>
  <c r="B110" i="3"/>
  <c r="B114" i="3"/>
  <c r="A18" i="3"/>
  <c r="A22" i="3"/>
  <c r="A26" i="3"/>
  <c r="A30" i="3"/>
  <c r="A34" i="3"/>
  <c r="A38" i="3"/>
  <c r="A42" i="3"/>
  <c r="A46" i="3"/>
  <c r="A50" i="3"/>
  <c r="A54" i="3"/>
  <c r="A58" i="3"/>
  <c r="A62" i="3"/>
  <c r="A66" i="3"/>
  <c r="A70" i="3"/>
  <c r="A74" i="3"/>
  <c r="A78" i="3"/>
  <c r="A82" i="3"/>
  <c r="A86" i="3"/>
  <c r="A90" i="3"/>
  <c r="A94" i="3"/>
  <c r="A98" i="3"/>
  <c r="A102" i="3"/>
  <c r="A106" i="3"/>
  <c r="A110" i="3"/>
  <c r="A114" i="3"/>
  <c r="BD113" i="3"/>
  <c r="AI113" i="3"/>
  <c r="Z113" i="3"/>
  <c r="BD112" i="3"/>
  <c r="AI112" i="3"/>
  <c r="Z112" i="3"/>
  <c r="BD111" i="3"/>
  <c r="AI111" i="3"/>
  <c r="Z111" i="3"/>
  <c r="BD110" i="3"/>
  <c r="AI110" i="3"/>
  <c r="Z110" i="3"/>
  <c r="BD109" i="3"/>
  <c r="AI109" i="3"/>
  <c r="Z109" i="3"/>
  <c r="BD108" i="3"/>
  <c r="AI108" i="3"/>
  <c r="Z108" i="3"/>
  <c r="BD107" i="3"/>
  <c r="AI107" i="3"/>
  <c r="Z107" i="3"/>
  <c r="BD106" i="3"/>
  <c r="AI106" i="3"/>
  <c r="Z106" i="3"/>
  <c r="BD105" i="3"/>
  <c r="AI105" i="3"/>
  <c r="Z105" i="3"/>
  <c r="BD104" i="3"/>
  <c r="AI104" i="3"/>
  <c r="Z104" i="3"/>
  <c r="BD103" i="3"/>
  <c r="AI103" i="3"/>
  <c r="Z103" i="3"/>
  <c r="BD102" i="3"/>
  <c r="AI102" i="3"/>
  <c r="Z102" i="3"/>
  <c r="BD101" i="3"/>
  <c r="AI101" i="3"/>
  <c r="Z101" i="3"/>
  <c r="BD100" i="3"/>
  <c r="AI100" i="3"/>
  <c r="Z100" i="3"/>
  <c r="BD99" i="3"/>
  <c r="AI99" i="3"/>
  <c r="Z99" i="3"/>
  <c r="BD98" i="3"/>
  <c r="AI98" i="3"/>
  <c r="Z98" i="3"/>
  <c r="BD97" i="3"/>
  <c r="AI97" i="3"/>
  <c r="Z97" i="3"/>
  <c r="BD96" i="3"/>
  <c r="AI96" i="3"/>
  <c r="Z96" i="3"/>
  <c r="BD95" i="3"/>
  <c r="AI95" i="3"/>
  <c r="Z95" i="3"/>
  <c r="BD94" i="3"/>
  <c r="AI94" i="3"/>
  <c r="Z94" i="3"/>
  <c r="BD93" i="3"/>
  <c r="AI93" i="3"/>
  <c r="Z93" i="3"/>
  <c r="BD92" i="3"/>
  <c r="AI92" i="3"/>
  <c r="Z92" i="3"/>
  <c r="BD91" i="3"/>
  <c r="AI91" i="3"/>
  <c r="Z91" i="3"/>
  <c r="BD90" i="3"/>
  <c r="AI90" i="3"/>
  <c r="Z90" i="3"/>
  <c r="BD89" i="3"/>
  <c r="AI89" i="3"/>
  <c r="Z89" i="3"/>
  <c r="BD88" i="3"/>
  <c r="AI88" i="3"/>
  <c r="Z88" i="3"/>
  <c r="BD87" i="3"/>
  <c r="AI87" i="3"/>
  <c r="Z87" i="3"/>
  <c r="BD86" i="3"/>
  <c r="AI86" i="3"/>
  <c r="Z86" i="3"/>
  <c r="BD85" i="3"/>
  <c r="AI85" i="3"/>
  <c r="Z85" i="3"/>
  <c r="BD84" i="3"/>
  <c r="AI84" i="3"/>
  <c r="Z84" i="3"/>
  <c r="BD83" i="3"/>
  <c r="AI83" i="3"/>
  <c r="Z83" i="3"/>
  <c r="BD82" i="3"/>
  <c r="AI82" i="3"/>
  <c r="Z82" i="3"/>
  <c r="BD81" i="3"/>
  <c r="AI81" i="3"/>
  <c r="Z81" i="3"/>
  <c r="BD80" i="3"/>
  <c r="AI80" i="3"/>
  <c r="Z80" i="3"/>
  <c r="BD79" i="3"/>
  <c r="AI79" i="3"/>
  <c r="Z79" i="3"/>
  <c r="BD78" i="3"/>
  <c r="AI78" i="3"/>
  <c r="Z78" i="3"/>
  <c r="BD77" i="3"/>
  <c r="AI77" i="3"/>
  <c r="Z77" i="3"/>
  <c r="BD76" i="3"/>
  <c r="AI76" i="3"/>
  <c r="Z76" i="3"/>
  <c r="BD75" i="3"/>
  <c r="AI75" i="3"/>
  <c r="Z75" i="3"/>
  <c r="BD74" i="3"/>
  <c r="AI74" i="3"/>
  <c r="Z74" i="3"/>
  <c r="BD73" i="3"/>
  <c r="AI73" i="3"/>
  <c r="Z73" i="3"/>
  <c r="BD72" i="3"/>
  <c r="AI72" i="3"/>
  <c r="Z72" i="3"/>
  <c r="BD71" i="3"/>
  <c r="AI71" i="3"/>
  <c r="Z71" i="3"/>
  <c r="BD70" i="3"/>
  <c r="AI70" i="3"/>
  <c r="Z70" i="3"/>
  <c r="BD69" i="3"/>
  <c r="AI69" i="3"/>
  <c r="Z69" i="3"/>
  <c r="BD68" i="3"/>
  <c r="AI68" i="3"/>
  <c r="Z68" i="3"/>
  <c r="BD67" i="3"/>
  <c r="AI67" i="3"/>
  <c r="Z67" i="3"/>
  <c r="BD66" i="3"/>
  <c r="AI66" i="3"/>
  <c r="Z66" i="3"/>
  <c r="BD65" i="3"/>
  <c r="AI65" i="3"/>
  <c r="Z65" i="3"/>
  <c r="BD64" i="3"/>
  <c r="AI64" i="3"/>
  <c r="Z64" i="3"/>
  <c r="BD63" i="3"/>
  <c r="AI63" i="3"/>
  <c r="Z63" i="3"/>
  <c r="BD62" i="3"/>
  <c r="AI62" i="3"/>
  <c r="Z62" i="3"/>
  <c r="BD61" i="3"/>
  <c r="AI61" i="3"/>
  <c r="Z61" i="3"/>
  <c r="BD60" i="3"/>
  <c r="AI60" i="3"/>
  <c r="Z60" i="3"/>
  <c r="BD59" i="3"/>
  <c r="AI59" i="3"/>
  <c r="Z59" i="3"/>
  <c r="BD58" i="3"/>
  <c r="AI58" i="3"/>
  <c r="Z58" i="3"/>
  <c r="BD57" i="3"/>
  <c r="AI57" i="3"/>
  <c r="Z57" i="3"/>
  <c r="BD56" i="3"/>
  <c r="AI56" i="3"/>
  <c r="Z56" i="3"/>
  <c r="BD55" i="3"/>
  <c r="AI55" i="3"/>
  <c r="Z55" i="3"/>
  <c r="BD54" i="3"/>
  <c r="AI54" i="3"/>
  <c r="Z54" i="3"/>
  <c r="BD53" i="3"/>
  <c r="AI53" i="3"/>
  <c r="Z53" i="3"/>
  <c r="BD52" i="3"/>
  <c r="AI52" i="3"/>
  <c r="Z52" i="3"/>
  <c r="BD51" i="3"/>
  <c r="AI51" i="3"/>
  <c r="Z51" i="3"/>
  <c r="BD50" i="3"/>
  <c r="AI50" i="3"/>
  <c r="Z50" i="3"/>
  <c r="BD49" i="3"/>
  <c r="AI49" i="3"/>
  <c r="Z49" i="3"/>
  <c r="BD48" i="3"/>
  <c r="AI48" i="3"/>
  <c r="Z48" i="3"/>
  <c r="BD47" i="3"/>
  <c r="AI47" i="3"/>
  <c r="Z47" i="3"/>
  <c r="BD46" i="3"/>
  <c r="AI46" i="3"/>
  <c r="Z46" i="3"/>
  <c r="BD45" i="3"/>
  <c r="AI45" i="3"/>
  <c r="Z45" i="3"/>
  <c r="BD44" i="3"/>
  <c r="AI44" i="3"/>
  <c r="Z44" i="3"/>
  <c r="BD43" i="3"/>
  <c r="AI43" i="3"/>
  <c r="Z43" i="3"/>
  <c r="BD42" i="3"/>
  <c r="AI42" i="3"/>
  <c r="Z42" i="3"/>
  <c r="BD41" i="3"/>
  <c r="AI41" i="3"/>
  <c r="Z41" i="3"/>
  <c r="BD40" i="3"/>
  <c r="AI40" i="3"/>
  <c r="Z40" i="3"/>
  <c r="BD39" i="3"/>
  <c r="AI39" i="3"/>
  <c r="Z39" i="3"/>
  <c r="BD38" i="3"/>
  <c r="AI38" i="3"/>
  <c r="Z38" i="3"/>
  <c r="BD37" i="3"/>
  <c r="AI37" i="3"/>
  <c r="Z37" i="3"/>
  <c r="BD36" i="3"/>
  <c r="AI36" i="3"/>
  <c r="Z36" i="3"/>
  <c r="BD35" i="3"/>
  <c r="AI35" i="3"/>
  <c r="Z35" i="3"/>
  <c r="BD34" i="3"/>
  <c r="AI34" i="3"/>
  <c r="Z34" i="3"/>
  <c r="BD33" i="3"/>
  <c r="AI33" i="3"/>
  <c r="Z33" i="3"/>
  <c r="BD32" i="3"/>
  <c r="AI32" i="3"/>
  <c r="Z32" i="3"/>
  <c r="C26" i="3"/>
  <c r="C27" i="3"/>
  <c r="C28" i="3"/>
  <c r="C29" i="3"/>
  <c r="C32" i="3"/>
  <c r="BD31" i="3"/>
  <c r="AI31" i="3"/>
  <c r="Z31" i="3"/>
  <c r="BD30" i="3"/>
  <c r="AN7" i="3"/>
  <c r="AP7" i="3"/>
  <c r="AN8" i="3"/>
  <c r="AO7" i="3"/>
  <c r="AO8" i="3"/>
  <c r="AQ8" i="3"/>
  <c r="AN9" i="3"/>
  <c r="AQ9" i="3"/>
  <c r="AN10" i="3"/>
  <c r="AQ10" i="3"/>
  <c r="AN11" i="3"/>
  <c r="AQ11" i="3"/>
  <c r="AN12" i="3"/>
  <c r="AQ12" i="3"/>
  <c r="AN13" i="3"/>
  <c r="AQ13" i="3"/>
  <c r="AN14" i="3"/>
  <c r="AQ14" i="3"/>
  <c r="AN15" i="3"/>
  <c r="AQ15" i="3"/>
  <c r="AN16" i="3"/>
  <c r="AQ16" i="3"/>
  <c r="AN17" i="3"/>
  <c r="AQ17" i="3"/>
  <c r="AN18" i="3"/>
  <c r="AQ18" i="3"/>
  <c r="AN19" i="3"/>
  <c r="AQ19" i="3"/>
  <c r="AN20" i="3"/>
  <c r="AQ20" i="3"/>
  <c r="AN21" i="3"/>
  <c r="AQ21" i="3"/>
  <c r="AN22" i="3"/>
  <c r="AQ22" i="3"/>
  <c r="AN23" i="3"/>
  <c r="AQ23" i="3"/>
  <c r="AN24" i="3"/>
  <c r="AQ24" i="3"/>
  <c r="AN25" i="3"/>
  <c r="AQ25" i="3"/>
  <c r="AN26" i="3"/>
  <c r="AQ26" i="3"/>
  <c r="AN27" i="3"/>
  <c r="AQ27" i="3"/>
  <c r="AN28" i="3"/>
  <c r="AQ28" i="3"/>
  <c r="AN29" i="3"/>
  <c r="AQ29" i="3"/>
  <c r="AQ6" i="3"/>
  <c r="AQ30" i="3"/>
  <c r="AI30" i="3"/>
  <c r="Z30" i="3"/>
  <c r="BH29" i="3"/>
  <c r="BG29" i="3"/>
  <c r="BF29" i="3"/>
  <c r="BE7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D29" i="3"/>
  <c r="AS29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R29" i="3"/>
  <c r="AM29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I29" i="3"/>
  <c r="Z29" i="3"/>
  <c r="BH28" i="3"/>
  <c r="BG28" i="3"/>
  <c r="BF28" i="3"/>
  <c r="BD28" i="3"/>
  <c r="AS28" i="3"/>
  <c r="AR28" i="3"/>
  <c r="AM28" i="3"/>
  <c r="AI28" i="3"/>
  <c r="Z28" i="3"/>
  <c r="BH27" i="3"/>
  <c r="BG27" i="3"/>
  <c r="BF27" i="3"/>
  <c r="BD27" i="3"/>
  <c r="AS27" i="3"/>
  <c r="AR27" i="3"/>
  <c r="AM27" i="3"/>
  <c r="AI27" i="3"/>
  <c r="Z27" i="3"/>
  <c r="BH26" i="3"/>
  <c r="BG26" i="3"/>
  <c r="BF26" i="3"/>
  <c r="BD26" i="3"/>
  <c r="AS26" i="3"/>
  <c r="AR26" i="3"/>
  <c r="AM26" i="3"/>
  <c r="AI26" i="3"/>
  <c r="Z26" i="3"/>
  <c r="BH25" i="3"/>
  <c r="BG25" i="3"/>
  <c r="BF25" i="3"/>
  <c r="BD25" i="3"/>
  <c r="AZ25" i="3"/>
  <c r="AX25" i="3"/>
  <c r="AS25" i="3"/>
  <c r="AR25" i="3"/>
  <c r="AM25" i="3"/>
  <c r="AI25" i="3"/>
  <c r="Z25" i="3"/>
  <c r="BH24" i="3"/>
  <c r="BG24" i="3"/>
  <c r="BF24" i="3"/>
  <c r="BD24" i="3"/>
  <c r="AZ24" i="3"/>
  <c r="AX24" i="3"/>
  <c r="AS24" i="3"/>
  <c r="AR24" i="3"/>
  <c r="AM24" i="3"/>
  <c r="AI24" i="3"/>
  <c r="Z24" i="3"/>
  <c r="BH23" i="3"/>
  <c r="BG23" i="3"/>
  <c r="BF23" i="3"/>
  <c r="BD23" i="3"/>
  <c r="AZ23" i="3"/>
  <c r="AX23" i="3"/>
  <c r="AS23" i="3"/>
  <c r="AR23" i="3"/>
  <c r="AM23" i="3"/>
  <c r="AI23" i="3"/>
  <c r="Z23" i="3"/>
  <c r="BH22" i="3"/>
  <c r="BG22" i="3"/>
  <c r="BF22" i="3"/>
  <c r="BD22" i="3"/>
  <c r="AZ22" i="3"/>
  <c r="AX22" i="3"/>
  <c r="AS22" i="3"/>
  <c r="AR22" i="3"/>
  <c r="AM22" i="3"/>
  <c r="AI22" i="3"/>
  <c r="Z22" i="3"/>
  <c r="BH21" i="3"/>
  <c r="BG21" i="3"/>
  <c r="BF21" i="3"/>
  <c r="BD21" i="3"/>
  <c r="AZ21" i="3"/>
  <c r="AX21" i="3"/>
  <c r="AS21" i="3"/>
  <c r="AR21" i="3"/>
  <c r="AM21" i="3"/>
  <c r="AI21" i="3"/>
  <c r="Z21" i="3"/>
  <c r="BH20" i="3"/>
  <c r="BG20" i="3"/>
  <c r="BF20" i="3"/>
  <c r="BD20" i="3"/>
  <c r="AZ20" i="3"/>
  <c r="AX20" i="3"/>
  <c r="AS20" i="3"/>
  <c r="AR20" i="3"/>
  <c r="AM20" i="3"/>
  <c r="AI20" i="3"/>
  <c r="Z20" i="3"/>
  <c r="BH19" i="3"/>
  <c r="BG19" i="3"/>
  <c r="BF19" i="3"/>
  <c r="BD19" i="3"/>
  <c r="AZ19" i="3"/>
  <c r="AX19" i="3"/>
  <c r="AS19" i="3"/>
  <c r="AR19" i="3"/>
  <c r="AM19" i="3"/>
  <c r="AI19" i="3"/>
  <c r="Z19" i="3"/>
  <c r="BH18" i="3"/>
  <c r="BG18" i="3"/>
  <c r="BF18" i="3"/>
  <c r="BD18" i="3"/>
  <c r="AZ18" i="3"/>
  <c r="AX18" i="3"/>
  <c r="AS18" i="3"/>
  <c r="AR18" i="3"/>
  <c r="AM18" i="3"/>
  <c r="AI18" i="3"/>
  <c r="Z18" i="3"/>
  <c r="BH17" i="3"/>
  <c r="BG17" i="3"/>
  <c r="BF17" i="3"/>
  <c r="BD17" i="3"/>
  <c r="AZ17" i="3"/>
  <c r="AX17" i="3"/>
  <c r="AS17" i="3"/>
  <c r="AR17" i="3"/>
  <c r="AM17" i="3"/>
  <c r="AI17" i="3"/>
  <c r="Z17" i="3"/>
  <c r="BH16" i="3"/>
  <c r="BG16" i="3"/>
  <c r="BF16" i="3"/>
  <c r="BD16" i="3"/>
  <c r="AZ16" i="3"/>
  <c r="AX16" i="3"/>
  <c r="AS16" i="3"/>
  <c r="AR16" i="3"/>
  <c r="AM16" i="3"/>
  <c r="AI16" i="3"/>
  <c r="Z16" i="3"/>
  <c r="BH15" i="3"/>
  <c r="BG15" i="3"/>
  <c r="BF15" i="3"/>
  <c r="BD15" i="3"/>
  <c r="AZ15" i="3"/>
  <c r="AX15" i="3"/>
  <c r="AS15" i="3"/>
  <c r="AR15" i="3"/>
  <c r="AM15" i="3"/>
  <c r="AI15" i="3"/>
  <c r="Z15" i="3"/>
  <c r="BH14" i="3"/>
  <c r="BG14" i="3"/>
  <c r="BF14" i="3"/>
  <c r="BD14" i="3"/>
  <c r="AX14" i="3"/>
  <c r="AS14" i="3"/>
  <c r="AR14" i="3"/>
  <c r="AM14" i="3"/>
  <c r="AI14" i="3"/>
  <c r="Z14" i="3"/>
  <c r="BH13" i="3"/>
  <c r="BG13" i="3"/>
  <c r="BF13" i="3"/>
  <c r="BD13" i="3"/>
  <c r="AS13" i="3"/>
  <c r="AR13" i="3"/>
  <c r="AM13" i="3"/>
  <c r="BH12" i="3"/>
  <c r="BG12" i="3"/>
  <c r="BF12" i="3"/>
  <c r="BD12" i="3"/>
  <c r="AW12" i="3"/>
  <c r="AS12" i="3"/>
  <c r="AR12" i="3"/>
  <c r="AM12" i="3"/>
  <c r="BH11" i="3"/>
  <c r="BG11" i="3"/>
  <c r="BF11" i="3"/>
  <c r="BD11" i="3"/>
  <c r="AW11" i="3"/>
  <c r="AS11" i="3"/>
  <c r="AR11" i="3"/>
  <c r="AM11" i="3"/>
  <c r="BH10" i="3"/>
  <c r="BG10" i="3"/>
  <c r="BF10" i="3"/>
  <c r="BD10" i="3"/>
  <c r="AW10" i="3"/>
  <c r="AS10" i="3"/>
  <c r="AR10" i="3"/>
  <c r="AM10" i="3"/>
  <c r="BH9" i="3"/>
  <c r="BG9" i="3"/>
  <c r="BF9" i="3"/>
  <c r="BD9" i="3"/>
  <c r="AW9" i="3"/>
  <c r="AS9" i="3"/>
  <c r="AR9" i="3"/>
  <c r="AM9" i="3"/>
  <c r="BH8" i="3"/>
  <c r="BG8" i="3"/>
  <c r="BF8" i="3"/>
  <c r="BD8" i="3"/>
  <c r="AW8" i="3"/>
  <c r="AS8" i="3"/>
  <c r="AR8" i="3"/>
  <c r="AA8" i="3"/>
  <c r="Y8" i="3"/>
  <c r="BH7" i="3"/>
  <c r="BG7" i="3"/>
  <c r="BF7" i="3"/>
  <c r="BD7" i="3"/>
  <c r="AW7" i="3"/>
  <c r="AQ7" i="3"/>
  <c r="AS7" i="3"/>
  <c r="AR7" i="3"/>
  <c r="AM7" i="3"/>
  <c r="AA7" i="3"/>
  <c r="Y7" i="3"/>
  <c r="BH6" i="3"/>
  <c r="BG6" i="3"/>
  <c r="BF6" i="3"/>
  <c r="BD6" i="3"/>
  <c r="AW6" i="3"/>
  <c r="AS6" i="3"/>
  <c r="AR6" i="3"/>
  <c r="AI6" i="3"/>
  <c r="Y6" i="3"/>
  <c r="BH5" i="3"/>
  <c r="BG5" i="3"/>
  <c r="BF5" i="3"/>
  <c r="BD5" i="3"/>
  <c r="AW5" i="3"/>
  <c r="AQ5" i="3"/>
  <c r="AS5" i="3"/>
  <c r="AR5" i="3"/>
  <c r="AI5" i="3"/>
  <c r="Y5" i="3"/>
  <c r="BH4" i="3"/>
  <c r="BG4" i="3"/>
  <c r="BF4" i="3"/>
  <c r="BD4" i="3"/>
  <c r="AW4" i="3"/>
  <c r="AQ4" i="3"/>
  <c r="AS4" i="3"/>
  <c r="AR4" i="3"/>
  <c r="AI4" i="3"/>
  <c r="Y4" i="3"/>
  <c r="BH3" i="3"/>
  <c r="BG3" i="3"/>
  <c r="BF3" i="3"/>
  <c r="BD3" i="3"/>
  <c r="AI3" i="3"/>
  <c r="Y3" i="3"/>
  <c r="BC117" i="2"/>
  <c r="AI117" i="2"/>
  <c r="Z117" i="2"/>
  <c r="B21" i="2"/>
  <c r="B25" i="2"/>
  <c r="B29" i="2"/>
  <c r="B33" i="2"/>
  <c r="B37" i="2"/>
  <c r="B41" i="2"/>
  <c r="B45" i="2"/>
  <c r="B49" i="2"/>
  <c r="B53" i="2"/>
  <c r="B57" i="2"/>
  <c r="B61" i="2"/>
  <c r="B65" i="2"/>
  <c r="B69" i="2"/>
  <c r="B73" i="2"/>
  <c r="B77" i="2"/>
  <c r="B81" i="2"/>
  <c r="B85" i="2"/>
  <c r="B89" i="2"/>
  <c r="B93" i="2"/>
  <c r="B97" i="2"/>
  <c r="B101" i="2"/>
  <c r="B105" i="2"/>
  <c r="B109" i="2"/>
  <c r="B113" i="2"/>
  <c r="B117" i="2"/>
  <c r="A21" i="2"/>
  <c r="A25" i="2"/>
  <c r="A29" i="2"/>
  <c r="A33" i="2"/>
  <c r="A37" i="2"/>
  <c r="A41" i="2"/>
  <c r="A45" i="2"/>
  <c r="A49" i="2"/>
  <c r="A53" i="2"/>
  <c r="A57" i="2"/>
  <c r="A61" i="2"/>
  <c r="A65" i="2"/>
  <c r="A69" i="2"/>
  <c r="A73" i="2"/>
  <c r="A77" i="2"/>
  <c r="A81" i="2"/>
  <c r="A85" i="2"/>
  <c r="A89" i="2"/>
  <c r="A93" i="2"/>
  <c r="A97" i="2"/>
  <c r="A101" i="2"/>
  <c r="A105" i="2"/>
  <c r="A109" i="2"/>
  <c r="A113" i="2"/>
  <c r="A117" i="2"/>
  <c r="BC116" i="2"/>
  <c r="AI116" i="2"/>
  <c r="Z116" i="2"/>
  <c r="B20" i="2"/>
  <c r="B24" i="2"/>
  <c r="B28" i="2"/>
  <c r="B32" i="2"/>
  <c r="B36" i="2"/>
  <c r="B40" i="2"/>
  <c r="B44" i="2"/>
  <c r="B48" i="2"/>
  <c r="B52" i="2"/>
  <c r="B56" i="2"/>
  <c r="B60" i="2"/>
  <c r="B64" i="2"/>
  <c r="B68" i="2"/>
  <c r="B72" i="2"/>
  <c r="B76" i="2"/>
  <c r="B80" i="2"/>
  <c r="B84" i="2"/>
  <c r="B88" i="2"/>
  <c r="B92" i="2"/>
  <c r="B96" i="2"/>
  <c r="B100" i="2"/>
  <c r="B104" i="2"/>
  <c r="B108" i="2"/>
  <c r="B112" i="2"/>
  <c r="B116" i="2"/>
  <c r="A20" i="2"/>
  <c r="A24" i="2"/>
  <c r="A28" i="2"/>
  <c r="A32" i="2"/>
  <c r="A36" i="2"/>
  <c r="A40" i="2"/>
  <c r="A44" i="2"/>
  <c r="A48" i="2"/>
  <c r="A52" i="2"/>
  <c r="A56" i="2"/>
  <c r="A60" i="2"/>
  <c r="A64" i="2"/>
  <c r="A68" i="2"/>
  <c r="A72" i="2"/>
  <c r="A76" i="2"/>
  <c r="A80" i="2"/>
  <c r="A84" i="2"/>
  <c r="A88" i="2"/>
  <c r="A92" i="2"/>
  <c r="A96" i="2"/>
  <c r="A100" i="2"/>
  <c r="A104" i="2"/>
  <c r="A108" i="2"/>
  <c r="A112" i="2"/>
  <c r="A116" i="2"/>
  <c r="BC115" i="2"/>
  <c r="AI115" i="2"/>
  <c r="Z115" i="2"/>
  <c r="B19" i="2"/>
  <c r="B23" i="2"/>
  <c r="B27" i="2"/>
  <c r="B31" i="2"/>
  <c r="B35" i="2"/>
  <c r="B39" i="2"/>
  <c r="B43" i="2"/>
  <c r="B47" i="2"/>
  <c r="B51" i="2"/>
  <c r="B55" i="2"/>
  <c r="B59" i="2"/>
  <c r="B63" i="2"/>
  <c r="B67" i="2"/>
  <c r="B71" i="2"/>
  <c r="B75" i="2"/>
  <c r="B79" i="2"/>
  <c r="B83" i="2"/>
  <c r="B87" i="2"/>
  <c r="B91" i="2"/>
  <c r="B95" i="2"/>
  <c r="B99" i="2"/>
  <c r="B103" i="2"/>
  <c r="B107" i="2"/>
  <c r="B111" i="2"/>
  <c r="B115" i="2"/>
  <c r="A19" i="2"/>
  <c r="A23" i="2"/>
  <c r="A27" i="2"/>
  <c r="A31" i="2"/>
  <c r="A35" i="2"/>
  <c r="A39" i="2"/>
  <c r="A43" i="2"/>
  <c r="A47" i="2"/>
  <c r="A51" i="2"/>
  <c r="A55" i="2"/>
  <c r="A59" i="2"/>
  <c r="A63" i="2"/>
  <c r="A67" i="2"/>
  <c r="A71" i="2"/>
  <c r="A75" i="2"/>
  <c r="A79" i="2"/>
  <c r="A83" i="2"/>
  <c r="A87" i="2"/>
  <c r="A91" i="2"/>
  <c r="A95" i="2"/>
  <c r="A99" i="2"/>
  <c r="A103" i="2"/>
  <c r="A107" i="2"/>
  <c r="A111" i="2"/>
  <c r="A115" i="2"/>
  <c r="BC114" i="2"/>
  <c r="AI114" i="2"/>
  <c r="Z114" i="2"/>
  <c r="B18" i="2"/>
  <c r="B22" i="2"/>
  <c r="B26" i="2"/>
  <c r="B30" i="2"/>
  <c r="B34" i="2"/>
  <c r="B38" i="2"/>
  <c r="B42" i="2"/>
  <c r="B46" i="2"/>
  <c r="B50" i="2"/>
  <c r="B54" i="2"/>
  <c r="B58" i="2"/>
  <c r="B62" i="2"/>
  <c r="B66" i="2"/>
  <c r="B70" i="2"/>
  <c r="B74" i="2"/>
  <c r="B78" i="2"/>
  <c r="B82" i="2"/>
  <c r="B86" i="2"/>
  <c r="B90" i="2"/>
  <c r="B94" i="2"/>
  <c r="B98" i="2"/>
  <c r="B102" i="2"/>
  <c r="B106" i="2"/>
  <c r="B110" i="2"/>
  <c r="B114" i="2"/>
  <c r="A18" i="2"/>
  <c r="A22" i="2"/>
  <c r="A26" i="2"/>
  <c r="A30" i="2"/>
  <c r="A34" i="2"/>
  <c r="A38" i="2"/>
  <c r="A42" i="2"/>
  <c r="A46" i="2"/>
  <c r="A50" i="2"/>
  <c r="A54" i="2"/>
  <c r="A58" i="2"/>
  <c r="A62" i="2"/>
  <c r="A66" i="2"/>
  <c r="A70" i="2"/>
  <c r="A74" i="2"/>
  <c r="A78" i="2"/>
  <c r="A82" i="2"/>
  <c r="A86" i="2"/>
  <c r="A90" i="2"/>
  <c r="A94" i="2"/>
  <c r="A98" i="2"/>
  <c r="A102" i="2"/>
  <c r="A106" i="2"/>
  <c r="A110" i="2"/>
  <c r="A114" i="2"/>
  <c r="BC113" i="2"/>
  <c r="AI113" i="2"/>
  <c r="Z113" i="2"/>
  <c r="BC112" i="2"/>
  <c r="AI112" i="2"/>
  <c r="Z112" i="2"/>
  <c r="BC111" i="2"/>
  <c r="AI111" i="2"/>
  <c r="Z111" i="2"/>
  <c r="BC110" i="2"/>
  <c r="AI110" i="2"/>
  <c r="Z110" i="2"/>
  <c r="BC109" i="2"/>
  <c r="AI109" i="2"/>
  <c r="Z109" i="2"/>
  <c r="BC108" i="2"/>
  <c r="AI108" i="2"/>
  <c r="Z108" i="2"/>
  <c r="BC107" i="2"/>
  <c r="AI107" i="2"/>
  <c r="Z107" i="2"/>
  <c r="BC106" i="2"/>
  <c r="AI106" i="2"/>
  <c r="Z106" i="2"/>
  <c r="BC105" i="2"/>
  <c r="AI105" i="2"/>
  <c r="Z105" i="2"/>
  <c r="BC104" i="2"/>
  <c r="AI104" i="2"/>
  <c r="Z104" i="2"/>
  <c r="BC103" i="2"/>
  <c r="AI103" i="2"/>
  <c r="Z103" i="2"/>
  <c r="BC102" i="2"/>
  <c r="AI102" i="2"/>
  <c r="Z102" i="2"/>
  <c r="BC101" i="2"/>
  <c r="AI101" i="2"/>
  <c r="Z101" i="2"/>
  <c r="BC100" i="2"/>
  <c r="AI100" i="2"/>
  <c r="Z100" i="2"/>
  <c r="BC99" i="2"/>
  <c r="AI99" i="2"/>
  <c r="Z99" i="2"/>
  <c r="BC98" i="2"/>
  <c r="AI98" i="2"/>
  <c r="Z98" i="2"/>
  <c r="BC97" i="2"/>
  <c r="AI97" i="2"/>
  <c r="Z97" i="2"/>
  <c r="BC96" i="2"/>
  <c r="AI96" i="2"/>
  <c r="Z96" i="2"/>
  <c r="BC95" i="2"/>
  <c r="AI95" i="2"/>
  <c r="Z95" i="2"/>
  <c r="BC94" i="2"/>
  <c r="AI94" i="2"/>
  <c r="Z94" i="2"/>
  <c r="BC93" i="2"/>
  <c r="AI93" i="2"/>
  <c r="Z93" i="2"/>
  <c r="BC92" i="2"/>
  <c r="AI92" i="2"/>
  <c r="Z92" i="2"/>
  <c r="BC91" i="2"/>
  <c r="AI91" i="2"/>
  <c r="Z91" i="2"/>
  <c r="BC90" i="2"/>
  <c r="AI90" i="2"/>
  <c r="Z90" i="2"/>
  <c r="BC89" i="2"/>
  <c r="AI89" i="2"/>
  <c r="Z89" i="2"/>
  <c r="BC88" i="2"/>
  <c r="AI88" i="2"/>
  <c r="Z88" i="2"/>
  <c r="BC87" i="2"/>
  <c r="AI87" i="2"/>
  <c r="Z87" i="2"/>
  <c r="BC86" i="2"/>
  <c r="AI86" i="2"/>
  <c r="Z86" i="2"/>
  <c r="BC85" i="2"/>
  <c r="AI85" i="2"/>
  <c r="Z85" i="2"/>
  <c r="BC84" i="2"/>
  <c r="AI84" i="2"/>
  <c r="Z84" i="2"/>
  <c r="BC83" i="2"/>
  <c r="AI83" i="2"/>
  <c r="Z83" i="2"/>
  <c r="BC82" i="2"/>
  <c r="AI82" i="2"/>
  <c r="Z82" i="2"/>
  <c r="BC81" i="2"/>
  <c r="AI81" i="2"/>
  <c r="Z81" i="2"/>
  <c r="BC80" i="2"/>
  <c r="AI80" i="2"/>
  <c r="Z80" i="2"/>
  <c r="BC79" i="2"/>
  <c r="AI79" i="2"/>
  <c r="Z79" i="2"/>
  <c r="BC78" i="2"/>
  <c r="AI78" i="2"/>
  <c r="Z78" i="2"/>
  <c r="BC77" i="2"/>
  <c r="AI77" i="2"/>
  <c r="Z77" i="2"/>
  <c r="BC76" i="2"/>
  <c r="AI76" i="2"/>
  <c r="Z76" i="2"/>
  <c r="BC75" i="2"/>
  <c r="AI75" i="2"/>
  <c r="Z75" i="2"/>
  <c r="BC74" i="2"/>
  <c r="AI74" i="2"/>
  <c r="Z74" i="2"/>
  <c r="BC73" i="2"/>
  <c r="AI73" i="2"/>
  <c r="Z73" i="2"/>
  <c r="BC72" i="2"/>
  <c r="AI72" i="2"/>
  <c r="Z72" i="2"/>
  <c r="BC71" i="2"/>
  <c r="AI71" i="2"/>
  <c r="Z71" i="2"/>
  <c r="BC70" i="2"/>
  <c r="AI70" i="2"/>
  <c r="Z70" i="2"/>
  <c r="BC69" i="2"/>
  <c r="AI69" i="2"/>
  <c r="Z69" i="2"/>
  <c r="BC68" i="2"/>
  <c r="AI68" i="2"/>
  <c r="Z68" i="2"/>
  <c r="BC67" i="2"/>
  <c r="AI67" i="2"/>
  <c r="Z67" i="2"/>
  <c r="BC66" i="2"/>
  <c r="AI66" i="2"/>
  <c r="Z66" i="2"/>
  <c r="BC65" i="2"/>
  <c r="AI65" i="2"/>
  <c r="Z65" i="2"/>
  <c r="BC64" i="2"/>
  <c r="AI64" i="2"/>
  <c r="Z64" i="2"/>
  <c r="BC63" i="2"/>
  <c r="AI63" i="2"/>
  <c r="Z63" i="2"/>
  <c r="BC62" i="2"/>
  <c r="AI62" i="2"/>
  <c r="Z62" i="2"/>
  <c r="BC61" i="2"/>
  <c r="AI61" i="2"/>
  <c r="Z61" i="2"/>
  <c r="BC60" i="2"/>
  <c r="AI60" i="2"/>
  <c r="Z60" i="2"/>
  <c r="BC59" i="2"/>
  <c r="AI59" i="2"/>
  <c r="Z59" i="2"/>
  <c r="BC58" i="2"/>
  <c r="AI58" i="2"/>
  <c r="Z58" i="2"/>
  <c r="BC57" i="2"/>
  <c r="AI57" i="2"/>
  <c r="Z57" i="2"/>
  <c r="BC56" i="2"/>
  <c r="AI56" i="2"/>
  <c r="Z56" i="2"/>
  <c r="BC55" i="2"/>
  <c r="AI55" i="2"/>
  <c r="Z55" i="2"/>
  <c r="BC54" i="2"/>
  <c r="AI54" i="2"/>
  <c r="Z54" i="2"/>
  <c r="BC53" i="2"/>
  <c r="AI53" i="2"/>
  <c r="Z53" i="2"/>
  <c r="BC52" i="2"/>
  <c r="AI52" i="2"/>
  <c r="Z52" i="2"/>
  <c r="BC51" i="2"/>
  <c r="AI51" i="2"/>
  <c r="Z51" i="2"/>
  <c r="BC50" i="2"/>
  <c r="AI50" i="2"/>
  <c r="Z50" i="2"/>
  <c r="BC49" i="2"/>
  <c r="AI49" i="2"/>
  <c r="Z49" i="2"/>
  <c r="BC48" i="2"/>
  <c r="AI48" i="2"/>
  <c r="Z48" i="2"/>
  <c r="BC47" i="2"/>
  <c r="AI47" i="2"/>
  <c r="Z47" i="2"/>
  <c r="BC46" i="2"/>
  <c r="AI46" i="2"/>
  <c r="Z46" i="2"/>
  <c r="BC45" i="2"/>
  <c r="AI45" i="2"/>
  <c r="Z45" i="2"/>
  <c r="BC44" i="2"/>
  <c r="AI44" i="2"/>
  <c r="Z44" i="2"/>
  <c r="BC43" i="2"/>
  <c r="AI43" i="2"/>
  <c r="Z43" i="2"/>
  <c r="BC42" i="2"/>
  <c r="AI42" i="2"/>
  <c r="Z42" i="2"/>
  <c r="BC41" i="2"/>
  <c r="AI41" i="2"/>
  <c r="Z41" i="2"/>
  <c r="BC40" i="2"/>
  <c r="AI40" i="2"/>
  <c r="Z40" i="2"/>
  <c r="BC39" i="2"/>
  <c r="AI39" i="2"/>
  <c r="Z39" i="2"/>
  <c r="BC38" i="2"/>
  <c r="AI38" i="2"/>
  <c r="Z38" i="2"/>
  <c r="BC37" i="2"/>
  <c r="AI37" i="2"/>
  <c r="Z37" i="2"/>
  <c r="BC36" i="2"/>
  <c r="AI36" i="2"/>
  <c r="Z36" i="2"/>
  <c r="BC35" i="2"/>
  <c r="AI35" i="2"/>
  <c r="Z35" i="2"/>
  <c r="BC34" i="2"/>
  <c r="AI34" i="2"/>
  <c r="Z34" i="2"/>
  <c r="BC33" i="2"/>
  <c r="AI33" i="2"/>
  <c r="Z33" i="2"/>
  <c r="BC32" i="2"/>
  <c r="AI32" i="2"/>
  <c r="Z32" i="2"/>
  <c r="C26" i="2"/>
  <c r="C27" i="2"/>
  <c r="C28" i="2"/>
  <c r="C29" i="2"/>
  <c r="C32" i="2"/>
  <c r="BC31" i="2"/>
  <c r="AI31" i="2"/>
  <c r="Z31" i="2"/>
  <c r="BC30" i="2"/>
  <c r="AN9" i="2"/>
  <c r="AQ9" i="2"/>
  <c r="AN10" i="2"/>
  <c r="AQ10" i="2"/>
  <c r="AN11" i="2"/>
  <c r="AQ11" i="2"/>
  <c r="AN12" i="2"/>
  <c r="AQ12" i="2"/>
  <c r="AN13" i="2"/>
  <c r="AQ13" i="2"/>
  <c r="AN14" i="2"/>
  <c r="AQ14" i="2"/>
  <c r="AN15" i="2"/>
  <c r="AQ15" i="2"/>
  <c r="AN16" i="2"/>
  <c r="AQ16" i="2"/>
  <c r="AN17" i="2"/>
  <c r="AQ17" i="2"/>
  <c r="AN18" i="2"/>
  <c r="AQ18" i="2"/>
  <c r="AN19" i="2"/>
  <c r="AQ19" i="2"/>
  <c r="AN20" i="2"/>
  <c r="AQ20" i="2"/>
  <c r="AN21" i="2"/>
  <c r="AQ21" i="2"/>
  <c r="AN22" i="2"/>
  <c r="AQ22" i="2"/>
  <c r="AN23" i="2"/>
  <c r="AQ23" i="2"/>
  <c r="AN24" i="2"/>
  <c r="AQ24" i="2"/>
  <c r="AN25" i="2"/>
  <c r="AQ25" i="2"/>
  <c r="AN26" i="2"/>
  <c r="AQ26" i="2"/>
  <c r="AN27" i="2"/>
  <c r="AQ27" i="2"/>
  <c r="AN28" i="2"/>
  <c r="AQ28" i="2"/>
  <c r="AN29" i="2"/>
  <c r="AQ29" i="2"/>
  <c r="AQ6" i="2"/>
  <c r="AQ30" i="2"/>
  <c r="AI30" i="2"/>
  <c r="Z30" i="2"/>
  <c r="BF29" i="2"/>
  <c r="BE29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C29" i="2"/>
  <c r="AS29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R29" i="2"/>
  <c r="AM29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I29" i="2"/>
  <c r="Z29" i="2"/>
  <c r="BG28" i="2"/>
  <c r="BF28" i="2"/>
  <c r="BE28" i="2"/>
  <c r="BC28" i="2"/>
  <c r="AS28" i="2"/>
  <c r="AR28" i="2"/>
  <c r="AM28" i="2"/>
  <c r="AI28" i="2"/>
  <c r="Z28" i="2"/>
  <c r="BG27" i="2"/>
  <c r="BF27" i="2"/>
  <c r="BE27" i="2"/>
  <c r="BC27" i="2"/>
  <c r="AS27" i="2"/>
  <c r="AR27" i="2"/>
  <c r="AM27" i="2"/>
  <c r="AI27" i="2"/>
  <c r="Z27" i="2"/>
  <c r="BG26" i="2"/>
  <c r="BF26" i="2"/>
  <c r="BE26" i="2"/>
  <c r="BC26" i="2"/>
  <c r="AS26" i="2"/>
  <c r="AR26" i="2"/>
  <c r="AM26" i="2"/>
  <c r="AI26" i="2"/>
  <c r="Z26" i="2"/>
  <c r="BG25" i="2"/>
  <c r="BF25" i="2"/>
  <c r="BE25" i="2"/>
  <c r="BC25" i="2"/>
  <c r="AY25" i="2"/>
  <c r="AW25" i="2"/>
  <c r="AS25" i="2"/>
  <c r="AR25" i="2"/>
  <c r="AM25" i="2"/>
  <c r="AI25" i="2"/>
  <c r="Z25" i="2"/>
  <c r="BG24" i="2"/>
  <c r="BF24" i="2"/>
  <c r="BE24" i="2"/>
  <c r="BC24" i="2"/>
  <c r="AY24" i="2"/>
  <c r="AW24" i="2"/>
  <c r="AS24" i="2"/>
  <c r="AR24" i="2"/>
  <c r="AM24" i="2"/>
  <c r="AI24" i="2"/>
  <c r="Z24" i="2"/>
  <c r="BG23" i="2"/>
  <c r="BF23" i="2"/>
  <c r="BE23" i="2"/>
  <c r="BC23" i="2"/>
  <c r="AY23" i="2"/>
  <c r="AW23" i="2"/>
  <c r="AS23" i="2"/>
  <c r="AR23" i="2"/>
  <c r="AM23" i="2"/>
  <c r="AI23" i="2"/>
  <c r="Z23" i="2"/>
  <c r="BG22" i="2"/>
  <c r="BF22" i="2"/>
  <c r="BE22" i="2"/>
  <c r="BC22" i="2"/>
  <c r="AY22" i="2"/>
  <c r="AW22" i="2"/>
  <c r="AS22" i="2"/>
  <c r="AR22" i="2"/>
  <c r="AM22" i="2"/>
  <c r="AI22" i="2"/>
  <c r="Z22" i="2"/>
  <c r="BG21" i="2"/>
  <c r="BF21" i="2"/>
  <c r="BE21" i="2"/>
  <c r="BC21" i="2"/>
  <c r="AY21" i="2"/>
  <c r="AW21" i="2"/>
  <c r="AS21" i="2"/>
  <c r="AR21" i="2"/>
  <c r="AM21" i="2"/>
  <c r="AI21" i="2"/>
  <c r="Z21" i="2"/>
  <c r="BG20" i="2"/>
  <c r="BF20" i="2"/>
  <c r="BE20" i="2"/>
  <c r="BC20" i="2"/>
  <c r="AY20" i="2"/>
  <c r="AW20" i="2"/>
  <c r="AS20" i="2"/>
  <c r="AR20" i="2"/>
  <c r="AM20" i="2"/>
  <c r="AI20" i="2"/>
  <c r="Z20" i="2"/>
  <c r="BG19" i="2"/>
  <c r="BF19" i="2"/>
  <c r="BE19" i="2"/>
  <c r="BC19" i="2"/>
  <c r="AY19" i="2"/>
  <c r="AW19" i="2"/>
  <c r="AS19" i="2"/>
  <c r="AR19" i="2"/>
  <c r="AM19" i="2"/>
  <c r="AI19" i="2"/>
  <c r="Z19" i="2"/>
  <c r="BG18" i="2"/>
  <c r="BF18" i="2"/>
  <c r="BE18" i="2"/>
  <c r="BC18" i="2"/>
  <c r="AY18" i="2"/>
  <c r="AW18" i="2"/>
  <c r="AS18" i="2"/>
  <c r="AR18" i="2"/>
  <c r="AM18" i="2"/>
  <c r="AI18" i="2"/>
  <c r="Z18" i="2"/>
  <c r="BG17" i="2"/>
  <c r="BF17" i="2"/>
  <c r="BE17" i="2"/>
  <c r="BC17" i="2"/>
  <c r="AY17" i="2"/>
  <c r="AW17" i="2"/>
  <c r="AS17" i="2"/>
  <c r="AR17" i="2"/>
  <c r="AM17" i="2"/>
  <c r="AI17" i="2"/>
  <c r="Z17" i="2"/>
  <c r="BG16" i="2"/>
  <c r="BF16" i="2"/>
  <c r="BE16" i="2"/>
  <c r="BC16" i="2"/>
  <c r="AY16" i="2"/>
  <c r="AW16" i="2"/>
  <c r="AS16" i="2"/>
  <c r="AR16" i="2"/>
  <c r="AM16" i="2"/>
  <c r="AI16" i="2"/>
  <c r="Z16" i="2"/>
  <c r="BG15" i="2"/>
  <c r="BF15" i="2"/>
  <c r="BE15" i="2"/>
  <c r="BC15" i="2"/>
  <c r="AY15" i="2"/>
  <c r="AW15" i="2"/>
  <c r="AS15" i="2"/>
  <c r="AR15" i="2"/>
  <c r="AM15" i="2"/>
  <c r="AI15" i="2"/>
  <c r="Z15" i="2"/>
  <c r="BG14" i="2"/>
  <c r="BF14" i="2"/>
  <c r="BE14" i="2"/>
  <c r="BC14" i="2"/>
  <c r="AW14" i="2"/>
  <c r="AS14" i="2"/>
  <c r="AR14" i="2"/>
  <c r="AM14" i="2"/>
  <c r="AI14" i="2"/>
  <c r="Z14" i="2"/>
  <c r="BG13" i="2"/>
  <c r="BF13" i="2"/>
  <c r="BE13" i="2"/>
  <c r="BC13" i="2"/>
  <c r="AS13" i="2"/>
  <c r="AR13" i="2"/>
  <c r="AM13" i="2"/>
  <c r="BG12" i="2"/>
  <c r="BF12" i="2"/>
  <c r="BE12" i="2"/>
  <c r="BC12" i="2"/>
  <c r="AV12" i="2"/>
  <c r="AS12" i="2"/>
  <c r="AR12" i="2"/>
  <c r="AM12" i="2"/>
  <c r="BG11" i="2"/>
  <c r="BF11" i="2"/>
  <c r="BE11" i="2"/>
  <c r="BC11" i="2"/>
  <c r="AV11" i="2"/>
  <c r="AS11" i="2"/>
  <c r="AR11" i="2"/>
  <c r="AM11" i="2"/>
  <c r="BG10" i="2"/>
  <c r="BF10" i="2"/>
  <c r="BE10" i="2"/>
  <c r="BC10" i="2"/>
  <c r="AV10" i="2"/>
  <c r="AS10" i="2"/>
  <c r="AR10" i="2"/>
  <c r="AM10" i="2"/>
  <c r="BG9" i="2"/>
  <c r="BF9" i="2"/>
  <c r="BE9" i="2"/>
  <c r="BC9" i="2"/>
  <c r="AV9" i="2"/>
  <c r="AS9" i="2"/>
  <c r="AR9" i="2"/>
  <c r="AM9" i="2"/>
  <c r="BG8" i="2"/>
  <c r="BF8" i="2"/>
  <c r="BE8" i="2"/>
  <c r="BC8" i="2"/>
  <c r="AV8" i="2"/>
  <c r="AS8" i="2"/>
  <c r="AR8" i="2"/>
  <c r="AM8" i="2"/>
  <c r="AA8" i="2"/>
  <c r="Y8" i="2"/>
  <c r="BG7" i="2"/>
  <c r="BF7" i="2"/>
  <c r="BE7" i="2"/>
  <c r="BC7" i="2"/>
  <c r="AV7" i="2"/>
  <c r="AQ7" i="2"/>
  <c r="AS7" i="2"/>
  <c r="AR7" i="2"/>
  <c r="AM7" i="2"/>
  <c r="AA7" i="2"/>
  <c r="Y7" i="2"/>
  <c r="BG6" i="2"/>
  <c r="BF6" i="2"/>
  <c r="BE6" i="2"/>
  <c r="BC6" i="2"/>
  <c r="AV6" i="2"/>
  <c r="AS6" i="2"/>
  <c r="AR6" i="2"/>
  <c r="AI6" i="2"/>
  <c r="Y6" i="2"/>
  <c r="BG5" i="2"/>
  <c r="BF5" i="2"/>
  <c r="BE5" i="2"/>
  <c r="BC5" i="2"/>
  <c r="AV5" i="2"/>
  <c r="AQ5" i="2"/>
  <c r="AS5" i="2"/>
  <c r="AR5" i="2"/>
  <c r="AI5" i="2"/>
  <c r="Y5" i="2"/>
  <c r="BG4" i="2"/>
  <c r="BF4" i="2"/>
  <c r="BE4" i="2"/>
  <c r="BC4" i="2"/>
  <c r="AV4" i="2"/>
  <c r="AQ4" i="2"/>
  <c r="AS4" i="2"/>
  <c r="AR4" i="2"/>
  <c r="AI4" i="2"/>
  <c r="Y4" i="2"/>
  <c r="BG3" i="2"/>
  <c r="BF3" i="2"/>
  <c r="BE3" i="2"/>
  <c r="BC3" i="2"/>
  <c r="AI3" i="2"/>
  <c r="Y3" i="2"/>
  <c r="AF230" i="1"/>
  <c r="AF226" i="1"/>
  <c r="AI230" i="1"/>
  <c r="AE134" i="1"/>
  <c r="AE138" i="1"/>
  <c r="AE142" i="1"/>
  <c r="AE146" i="1"/>
  <c r="AE150" i="1"/>
  <c r="AE154" i="1"/>
  <c r="AE158" i="1"/>
  <c r="AE162" i="1"/>
  <c r="AE166" i="1"/>
  <c r="AE170" i="1"/>
  <c r="AE174" i="1"/>
  <c r="AE178" i="1"/>
  <c r="AE182" i="1"/>
  <c r="AE186" i="1"/>
  <c r="AE190" i="1"/>
  <c r="AE194" i="1"/>
  <c r="AE198" i="1"/>
  <c r="AE202" i="1"/>
  <c r="AE206" i="1"/>
  <c r="AE210" i="1"/>
  <c r="AE214" i="1"/>
  <c r="AE218" i="1"/>
  <c r="AE222" i="1"/>
  <c r="AE226" i="1"/>
  <c r="AE230" i="1"/>
  <c r="AF229" i="1"/>
  <c r="AE133" i="1"/>
  <c r="AE137" i="1"/>
  <c r="AE141" i="1"/>
  <c r="AE145" i="1"/>
  <c r="AE149" i="1"/>
  <c r="AE153" i="1"/>
  <c r="AE157" i="1"/>
  <c r="AE161" i="1"/>
  <c r="AE165" i="1"/>
  <c r="AE169" i="1"/>
  <c r="AE173" i="1"/>
  <c r="AE177" i="1"/>
  <c r="AE181" i="1"/>
  <c r="AE185" i="1"/>
  <c r="AE189" i="1"/>
  <c r="AE193" i="1"/>
  <c r="AE197" i="1"/>
  <c r="AE201" i="1"/>
  <c r="AE205" i="1"/>
  <c r="AE209" i="1"/>
  <c r="AE213" i="1"/>
  <c r="AE217" i="1"/>
  <c r="AE221" i="1"/>
  <c r="AE225" i="1"/>
  <c r="AE229" i="1"/>
  <c r="AF228" i="1"/>
  <c r="AE132" i="1"/>
  <c r="AE136" i="1"/>
  <c r="AE140" i="1"/>
  <c r="AE144" i="1"/>
  <c r="AE148" i="1"/>
  <c r="AE152" i="1"/>
  <c r="AE156" i="1"/>
  <c r="AE160" i="1"/>
  <c r="AE164" i="1"/>
  <c r="AE168" i="1"/>
  <c r="AE172" i="1"/>
  <c r="AE176" i="1"/>
  <c r="AE180" i="1"/>
  <c r="AE184" i="1"/>
  <c r="AE188" i="1"/>
  <c r="AE192" i="1"/>
  <c r="AE196" i="1"/>
  <c r="AE200" i="1"/>
  <c r="AE204" i="1"/>
  <c r="AE208" i="1"/>
  <c r="AE212" i="1"/>
  <c r="AE216" i="1"/>
  <c r="AE220" i="1"/>
  <c r="AE224" i="1"/>
  <c r="AE228" i="1"/>
  <c r="AF227" i="1"/>
  <c r="AE131" i="1"/>
  <c r="AE135" i="1"/>
  <c r="AE139" i="1"/>
  <c r="AE143" i="1"/>
  <c r="AE147" i="1"/>
  <c r="AE151" i="1"/>
  <c r="AE155" i="1"/>
  <c r="AE159" i="1"/>
  <c r="AE163" i="1"/>
  <c r="AE167" i="1"/>
  <c r="AE171" i="1"/>
  <c r="AE175" i="1"/>
  <c r="AE179" i="1"/>
  <c r="AE183" i="1"/>
  <c r="AE187" i="1"/>
  <c r="AE191" i="1"/>
  <c r="AE195" i="1"/>
  <c r="AE199" i="1"/>
  <c r="AE203" i="1"/>
  <c r="AE207" i="1"/>
  <c r="AE211" i="1"/>
  <c r="AE215" i="1"/>
  <c r="AE219" i="1"/>
  <c r="AE223" i="1"/>
  <c r="AE227" i="1"/>
  <c r="AF222" i="1"/>
  <c r="AI226" i="1"/>
  <c r="AF225" i="1"/>
  <c r="AF224" i="1"/>
  <c r="AF223" i="1"/>
  <c r="AF218" i="1"/>
  <c r="AI222" i="1"/>
  <c r="AF221" i="1"/>
  <c r="AF220" i="1"/>
  <c r="AF219" i="1"/>
  <c r="AF214" i="1"/>
  <c r="AI218" i="1"/>
  <c r="AF217" i="1"/>
  <c r="AF216" i="1"/>
  <c r="AF215" i="1"/>
  <c r="AF210" i="1"/>
  <c r="AI214" i="1"/>
  <c r="AF213" i="1"/>
  <c r="AF212" i="1"/>
  <c r="AF211" i="1"/>
  <c r="AF206" i="1"/>
  <c r="AI210" i="1"/>
  <c r="AF209" i="1"/>
  <c r="AF208" i="1"/>
  <c r="AF207" i="1"/>
  <c r="AF202" i="1"/>
  <c r="AI206" i="1"/>
  <c r="AF205" i="1"/>
  <c r="AF204" i="1"/>
  <c r="AF203" i="1"/>
  <c r="AF198" i="1"/>
  <c r="AI202" i="1"/>
  <c r="AF201" i="1"/>
  <c r="AF200" i="1"/>
  <c r="AF199" i="1"/>
  <c r="AF194" i="1"/>
  <c r="AI198" i="1"/>
  <c r="AF197" i="1"/>
  <c r="AF196" i="1"/>
  <c r="AF195" i="1"/>
  <c r="AF190" i="1"/>
  <c r="AI194" i="1"/>
  <c r="AF193" i="1"/>
  <c r="AF192" i="1"/>
  <c r="AF191" i="1"/>
  <c r="AF186" i="1"/>
  <c r="AI190" i="1"/>
  <c r="AF189" i="1"/>
  <c r="AF188" i="1"/>
  <c r="AF187" i="1"/>
  <c r="AF182" i="1"/>
  <c r="AI186" i="1"/>
  <c r="AF185" i="1"/>
  <c r="AF184" i="1"/>
  <c r="AF183" i="1"/>
  <c r="AF178" i="1"/>
  <c r="AI182" i="1"/>
  <c r="AF181" i="1"/>
  <c r="AF180" i="1"/>
  <c r="AF179" i="1"/>
  <c r="AF174" i="1"/>
  <c r="AI178" i="1"/>
  <c r="AF177" i="1"/>
  <c r="AF176" i="1"/>
  <c r="AF175" i="1"/>
  <c r="AF170" i="1"/>
  <c r="AI174" i="1"/>
  <c r="AF173" i="1"/>
  <c r="AF172" i="1"/>
  <c r="AF171" i="1"/>
  <c r="AF166" i="1"/>
  <c r="AI170" i="1"/>
  <c r="AF169" i="1"/>
  <c r="AF168" i="1"/>
  <c r="AF167" i="1"/>
  <c r="AF162" i="1"/>
  <c r="AI166" i="1"/>
  <c r="AF165" i="1"/>
  <c r="AF164" i="1"/>
  <c r="AF163" i="1"/>
  <c r="AF158" i="1"/>
  <c r="AI162" i="1"/>
  <c r="AF161" i="1"/>
  <c r="AF160" i="1"/>
  <c r="AF159" i="1"/>
  <c r="AF154" i="1"/>
  <c r="AI158" i="1"/>
  <c r="AF157" i="1"/>
  <c r="AF156" i="1"/>
  <c r="AF155" i="1"/>
  <c r="AF150" i="1"/>
  <c r="AI154" i="1"/>
  <c r="AF153" i="1"/>
  <c r="AF152" i="1"/>
  <c r="AF151" i="1"/>
  <c r="AF146" i="1"/>
  <c r="AI150" i="1"/>
  <c r="AF138" i="1"/>
  <c r="AF134" i="1"/>
  <c r="AI138" i="1"/>
  <c r="AF142" i="1"/>
  <c r="AI142" i="1"/>
  <c r="AI146" i="1"/>
  <c r="AG149" i="1"/>
  <c r="AF149" i="1"/>
  <c r="AF148" i="1"/>
  <c r="AJ147" i="1"/>
  <c r="AK147" i="1"/>
  <c r="AF147" i="1"/>
  <c r="AF145" i="1"/>
  <c r="AF144" i="1"/>
  <c r="AF143" i="1"/>
  <c r="AF141" i="1"/>
  <c r="AF140" i="1"/>
  <c r="AF139" i="1"/>
  <c r="AJ138" i="1"/>
  <c r="AF137" i="1"/>
  <c r="AF136" i="1"/>
  <c r="AF135" i="1"/>
  <c r="AF133" i="1"/>
  <c r="AF132" i="1"/>
  <c r="AF131" i="1"/>
  <c r="AF130" i="1"/>
  <c r="AF129" i="1"/>
  <c r="AF128" i="1"/>
  <c r="AF127" i="1"/>
  <c r="AI117" i="1"/>
  <c r="Z1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105" i="1"/>
  <c r="A109" i="1"/>
  <c r="A113" i="1"/>
  <c r="A117" i="1"/>
  <c r="AI116" i="1"/>
  <c r="AG116" i="1"/>
  <c r="Z1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A108" i="1"/>
  <c r="A112" i="1"/>
  <c r="A116" i="1"/>
  <c r="AI115" i="1"/>
  <c r="AG115" i="1"/>
  <c r="Z1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A19" i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103" i="1"/>
  <c r="A107" i="1"/>
  <c r="A111" i="1"/>
  <c r="A115" i="1"/>
  <c r="AG114" i="1"/>
  <c r="AT114" i="1"/>
  <c r="AI114" i="1"/>
  <c r="Z1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B110" i="1"/>
  <c r="B114" i="1"/>
  <c r="A18" i="1"/>
  <c r="A22" i="1"/>
  <c r="A26" i="1"/>
  <c r="A30" i="1"/>
  <c r="A34" i="1"/>
  <c r="A38" i="1"/>
  <c r="A42" i="1"/>
  <c r="A46" i="1"/>
  <c r="A50" i="1"/>
  <c r="A54" i="1"/>
  <c r="A58" i="1"/>
  <c r="A62" i="1"/>
  <c r="A66" i="1"/>
  <c r="A70" i="1"/>
  <c r="A74" i="1"/>
  <c r="A78" i="1"/>
  <c r="A82" i="1"/>
  <c r="A86" i="1"/>
  <c r="A90" i="1"/>
  <c r="A94" i="1"/>
  <c r="A98" i="1"/>
  <c r="A102" i="1"/>
  <c r="A106" i="1"/>
  <c r="A110" i="1"/>
  <c r="A114" i="1"/>
  <c r="AI113" i="1"/>
  <c r="Z113" i="1"/>
  <c r="AI112" i="1"/>
  <c r="AG112" i="1"/>
  <c r="Z112" i="1"/>
  <c r="AI111" i="1"/>
  <c r="AG111" i="1"/>
  <c r="Z111" i="1"/>
  <c r="BE110" i="1"/>
  <c r="AG110" i="1"/>
  <c r="AT110" i="1"/>
  <c r="AI110" i="1"/>
  <c r="Z110" i="1"/>
  <c r="BE109" i="1"/>
  <c r="AI109" i="1"/>
  <c r="Z109" i="1"/>
  <c r="BE108" i="1"/>
  <c r="AI108" i="1"/>
  <c r="AG108" i="1"/>
  <c r="Z108" i="1"/>
  <c r="BE107" i="1"/>
  <c r="AI107" i="1"/>
  <c r="AG107" i="1"/>
  <c r="Z107" i="1"/>
  <c r="BE106" i="1"/>
  <c r="AG106" i="1"/>
  <c r="AT106" i="1"/>
  <c r="AI106" i="1"/>
  <c r="Z106" i="1"/>
  <c r="BE105" i="1"/>
  <c r="AI105" i="1"/>
  <c r="Z105" i="1"/>
  <c r="BE104" i="1"/>
  <c r="AI104" i="1"/>
  <c r="AG104" i="1"/>
  <c r="Z104" i="1"/>
  <c r="BE103" i="1"/>
  <c r="AI103" i="1"/>
  <c r="AG103" i="1"/>
  <c r="Z103" i="1"/>
  <c r="BE102" i="1"/>
  <c r="AG102" i="1"/>
  <c r="AT102" i="1"/>
  <c r="AI102" i="1"/>
  <c r="Z102" i="1"/>
  <c r="BE101" i="1"/>
  <c r="AI101" i="1"/>
  <c r="Z101" i="1"/>
  <c r="BE100" i="1"/>
  <c r="AI100" i="1"/>
  <c r="AG100" i="1"/>
  <c r="Z100" i="1"/>
  <c r="BE99" i="1"/>
  <c r="AI99" i="1"/>
  <c r="AG99" i="1"/>
  <c r="Z99" i="1"/>
  <c r="BE98" i="1"/>
  <c r="AG98" i="1"/>
  <c r="AT98" i="1"/>
  <c r="AI98" i="1"/>
  <c r="Z98" i="1"/>
  <c r="BE97" i="1"/>
  <c r="AI97" i="1"/>
  <c r="Z97" i="1"/>
  <c r="BE96" i="1"/>
  <c r="AI96" i="1"/>
  <c r="AG96" i="1"/>
  <c r="Z96" i="1"/>
  <c r="BE95" i="1"/>
  <c r="AI95" i="1"/>
  <c r="AG95" i="1"/>
  <c r="Z95" i="1"/>
  <c r="BE94" i="1"/>
  <c r="AG94" i="1"/>
  <c r="AT94" i="1"/>
  <c r="AI94" i="1"/>
  <c r="Z94" i="1"/>
  <c r="BE93" i="1"/>
  <c r="AI93" i="1"/>
  <c r="Z93" i="1"/>
  <c r="BE92" i="1"/>
  <c r="AI92" i="1"/>
  <c r="AG92" i="1"/>
  <c r="Z92" i="1"/>
  <c r="BE91" i="1"/>
  <c r="AI91" i="1"/>
  <c r="AG91" i="1"/>
  <c r="Z91" i="1"/>
  <c r="BE90" i="1"/>
  <c r="AG90" i="1"/>
  <c r="AT90" i="1"/>
  <c r="AI90" i="1"/>
  <c r="Z90" i="1"/>
  <c r="BE89" i="1"/>
  <c r="AI89" i="1"/>
  <c r="Z89" i="1"/>
  <c r="BE88" i="1"/>
  <c r="AI88" i="1"/>
  <c r="AG88" i="1"/>
  <c r="Z88" i="1"/>
  <c r="BE87" i="1"/>
  <c r="AI87" i="1"/>
  <c r="AG87" i="1"/>
  <c r="Z87" i="1"/>
  <c r="BE86" i="1"/>
  <c r="AG86" i="1"/>
  <c r="AT86" i="1"/>
  <c r="AI86" i="1"/>
  <c r="Z86" i="1"/>
  <c r="BE85" i="1"/>
  <c r="AI85" i="1"/>
  <c r="Z85" i="1"/>
  <c r="BE84" i="1"/>
  <c r="AI84" i="1"/>
  <c r="AG84" i="1"/>
  <c r="Z84" i="1"/>
  <c r="BE83" i="1"/>
  <c r="AI83" i="1"/>
  <c r="AG83" i="1"/>
  <c r="Z83" i="1"/>
  <c r="BE82" i="1"/>
  <c r="AG82" i="1"/>
  <c r="AT82" i="1"/>
  <c r="AI82" i="1"/>
  <c r="Z82" i="1"/>
  <c r="BE81" i="1"/>
  <c r="AI81" i="1"/>
  <c r="Z81" i="1"/>
  <c r="BE80" i="1"/>
  <c r="AI80" i="1"/>
  <c r="AG80" i="1"/>
  <c r="Z80" i="1"/>
  <c r="BE79" i="1"/>
  <c r="AI79" i="1"/>
  <c r="AG79" i="1"/>
  <c r="Z79" i="1"/>
  <c r="BE78" i="1"/>
  <c r="AG78" i="1"/>
  <c r="AT78" i="1"/>
  <c r="AI78" i="1"/>
  <c r="Z78" i="1"/>
  <c r="BE77" i="1"/>
  <c r="AI77" i="1"/>
  <c r="Z77" i="1"/>
  <c r="BE76" i="1"/>
  <c r="AI76" i="1"/>
  <c r="AG76" i="1"/>
  <c r="Z76" i="1"/>
  <c r="BE75" i="1"/>
  <c r="AI75" i="1"/>
  <c r="AG75" i="1"/>
  <c r="Z75" i="1"/>
  <c r="BE74" i="1"/>
  <c r="AG74" i="1"/>
  <c r="AT74" i="1"/>
  <c r="AI74" i="1"/>
  <c r="Z74" i="1"/>
  <c r="BE73" i="1"/>
  <c r="AI73" i="1"/>
  <c r="Z73" i="1"/>
  <c r="BE72" i="1"/>
  <c r="AI72" i="1"/>
  <c r="AG72" i="1"/>
  <c r="Z72" i="1"/>
  <c r="BE71" i="1"/>
  <c r="AI71" i="1"/>
  <c r="AG71" i="1"/>
  <c r="Z71" i="1"/>
  <c r="BE70" i="1"/>
  <c r="AG70" i="1"/>
  <c r="AT70" i="1"/>
  <c r="AI70" i="1"/>
  <c r="Z70" i="1"/>
  <c r="BE69" i="1"/>
  <c r="AI69" i="1"/>
  <c r="Z69" i="1"/>
  <c r="BE68" i="1"/>
  <c r="AI68" i="1"/>
  <c r="AG68" i="1"/>
  <c r="Z68" i="1"/>
  <c r="BE67" i="1"/>
  <c r="AI67" i="1"/>
  <c r="AG67" i="1"/>
  <c r="Z67" i="1"/>
  <c r="BE66" i="1"/>
  <c r="AG66" i="1"/>
  <c r="AT66" i="1"/>
  <c r="AI66" i="1"/>
  <c r="Z66" i="1"/>
  <c r="BE65" i="1"/>
  <c r="AI65" i="1"/>
  <c r="Z65" i="1"/>
  <c r="BE64" i="1"/>
  <c r="AI64" i="1"/>
  <c r="AG64" i="1"/>
  <c r="Z64" i="1"/>
  <c r="BE63" i="1"/>
  <c r="AI63" i="1"/>
  <c r="AG63" i="1"/>
  <c r="Z63" i="1"/>
  <c r="BE62" i="1"/>
  <c r="AG62" i="1"/>
  <c r="AT62" i="1"/>
  <c r="AI62" i="1"/>
  <c r="Z62" i="1"/>
  <c r="BE61" i="1"/>
  <c r="AI61" i="1"/>
  <c r="Z61" i="1"/>
  <c r="BE60" i="1"/>
  <c r="AI60" i="1"/>
  <c r="AG60" i="1"/>
  <c r="Z60" i="1"/>
  <c r="BE59" i="1"/>
  <c r="AI59" i="1"/>
  <c r="AG59" i="1"/>
  <c r="Z59" i="1"/>
  <c r="BE58" i="1"/>
  <c r="AG58" i="1"/>
  <c r="AT58" i="1"/>
  <c r="AI58" i="1"/>
  <c r="Z58" i="1"/>
  <c r="BE57" i="1"/>
  <c r="AI57" i="1"/>
  <c r="Z57" i="1"/>
  <c r="BE56" i="1"/>
  <c r="AI56" i="1"/>
  <c r="AG56" i="1"/>
  <c r="Z56" i="1"/>
  <c r="BE55" i="1"/>
  <c r="AI55" i="1"/>
  <c r="AG55" i="1"/>
  <c r="Z55" i="1"/>
  <c r="BE54" i="1"/>
  <c r="AG54" i="1"/>
  <c r="AT54" i="1"/>
  <c r="AI54" i="1"/>
  <c r="Z54" i="1"/>
  <c r="BE53" i="1"/>
  <c r="AI53" i="1"/>
  <c r="Z53" i="1"/>
  <c r="BE52" i="1"/>
  <c r="AI52" i="1"/>
  <c r="AG52" i="1"/>
  <c r="Z52" i="1"/>
  <c r="BE51" i="1"/>
  <c r="AI51" i="1"/>
  <c r="AG51" i="1"/>
  <c r="Z51" i="1"/>
  <c r="BE50" i="1"/>
  <c r="AG50" i="1"/>
  <c r="AT50" i="1"/>
  <c r="AI50" i="1"/>
  <c r="Z50" i="1"/>
  <c r="BE49" i="1"/>
  <c r="AI49" i="1"/>
  <c r="Z49" i="1"/>
  <c r="BE48" i="1"/>
  <c r="AI48" i="1"/>
  <c r="AG48" i="1"/>
  <c r="Z48" i="1"/>
  <c r="BE47" i="1"/>
  <c r="AI47" i="1"/>
  <c r="AG47" i="1"/>
  <c r="Z47" i="1"/>
  <c r="BE46" i="1"/>
  <c r="AG46" i="1"/>
  <c r="AT46" i="1"/>
  <c r="AI46" i="1"/>
  <c r="Z46" i="1"/>
  <c r="BE45" i="1"/>
  <c r="AI45" i="1"/>
  <c r="Z45" i="1"/>
  <c r="BE44" i="1"/>
  <c r="AI44" i="1"/>
  <c r="AG44" i="1"/>
  <c r="Z44" i="1"/>
  <c r="BE43" i="1"/>
  <c r="AI43" i="1"/>
  <c r="AG43" i="1"/>
  <c r="Z43" i="1"/>
  <c r="BE42" i="1"/>
  <c r="AG42" i="1"/>
  <c r="AT42" i="1"/>
  <c r="AI42" i="1"/>
  <c r="Z42" i="1"/>
  <c r="BE41" i="1"/>
  <c r="AI41" i="1"/>
  <c r="Z41" i="1"/>
  <c r="BE40" i="1"/>
  <c r="AI40" i="1"/>
  <c r="AG40" i="1"/>
  <c r="Z40" i="1"/>
  <c r="BE39" i="1"/>
  <c r="AI39" i="1"/>
  <c r="AG39" i="1"/>
  <c r="Z39" i="1"/>
  <c r="BE38" i="1"/>
  <c r="AG38" i="1"/>
  <c r="AT38" i="1"/>
  <c r="AI38" i="1"/>
  <c r="Z38" i="1"/>
  <c r="BE37" i="1"/>
  <c r="AI37" i="1"/>
  <c r="Z37" i="1"/>
  <c r="BE36" i="1"/>
  <c r="AI36" i="1"/>
  <c r="AG36" i="1"/>
  <c r="Z36" i="1"/>
  <c r="BE35" i="1"/>
  <c r="AI35" i="1"/>
  <c r="AG35" i="1"/>
  <c r="Z35" i="1"/>
  <c r="BE34" i="1"/>
  <c r="AG34" i="1"/>
  <c r="AT34" i="1"/>
  <c r="AI34" i="1"/>
  <c r="Z34" i="1"/>
  <c r="BE33" i="1"/>
  <c r="AI33" i="1"/>
  <c r="Z33" i="1"/>
  <c r="BE32" i="1"/>
  <c r="AN7" i="1"/>
  <c r="AP7" i="1"/>
  <c r="AN8" i="1"/>
  <c r="AO7" i="1"/>
  <c r="AO8" i="1"/>
  <c r="AQ8" i="1"/>
  <c r="AN9" i="1"/>
  <c r="AQ9" i="1"/>
  <c r="AN10" i="1"/>
  <c r="AQ10" i="1"/>
  <c r="AN11" i="1"/>
  <c r="AQ11" i="1"/>
  <c r="AN12" i="1"/>
  <c r="AQ12" i="1"/>
  <c r="AN13" i="1"/>
  <c r="AQ13" i="1"/>
  <c r="AN14" i="1"/>
  <c r="AQ14" i="1"/>
  <c r="AN15" i="1"/>
  <c r="AQ15" i="1"/>
  <c r="AN16" i="1"/>
  <c r="AQ16" i="1"/>
  <c r="AN17" i="1"/>
  <c r="AQ17" i="1"/>
  <c r="AN18" i="1"/>
  <c r="AQ18" i="1"/>
  <c r="AN19" i="1"/>
  <c r="AQ19" i="1"/>
  <c r="AN20" i="1"/>
  <c r="AQ20" i="1"/>
  <c r="AN21" i="1"/>
  <c r="AQ21" i="1"/>
  <c r="AN22" i="1"/>
  <c r="AQ22" i="1"/>
  <c r="AN23" i="1"/>
  <c r="AQ23" i="1"/>
  <c r="AN24" i="1"/>
  <c r="AQ24" i="1"/>
  <c r="AN25" i="1"/>
  <c r="AQ25" i="1"/>
  <c r="AN26" i="1"/>
  <c r="AQ26" i="1"/>
  <c r="AN27" i="1"/>
  <c r="AQ27" i="1"/>
  <c r="AN28" i="1"/>
  <c r="AQ28" i="1"/>
  <c r="AN29" i="1"/>
  <c r="AQ32" i="1"/>
  <c r="AI32" i="1"/>
  <c r="AG32" i="1"/>
  <c r="Z32" i="1"/>
  <c r="C26" i="1"/>
  <c r="C27" i="1"/>
  <c r="C28" i="1"/>
  <c r="C29" i="1"/>
  <c r="BE31" i="1"/>
  <c r="AQ31" i="1"/>
  <c r="AI31" i="1"/>
  <c r="AG31" i="1"/>
  <c r="Z31" i="1"/>
  <c r="BE30" i="1"/>
  <c r="AG30" i="1"/>
  <c r="AT30" i="1"/>
  <c r="AQ29" i="1"/>
  <c r="AQ6" i="1"/>
  <c r="AQ30" i="1"/>
  <c r="AI30" i="1"/>
  <c r="Z30" i="1"/>
  <c r="BI29" i="1"/>
  <c r="BH29" i="1"/>
  <c r="BG29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E29" i="1"/>
  <c r="AS29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R29" i="1"/>
  <c r="AM29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I29" i="1"/>
  <c r="AG29" i="1"/>
  <c r="Z29" i="1"/>
  <c r="BI28" i="1"/>
  <c r="BH28" i="1"/>
  <c r="BG28" i="1"/>
  <c r="BE28" i="1"/>
  <c r="AS28" i="1"/>
  <c r="AR28" i="1"/>
  <c r="AM28" i="1"/>
  <c r="AI28" i="1"/>
  <c r="AG28" i="1"/>
  <c r="Z28" i="1"/>
  <c r="BI27" i="1"/>
  <c r="BH27" i="1"/>
  <c r="BG27" i="1"/>
  <c r="BE27" i="1"/>
  <c r="AS27" i="1"/>
  <c r="AR27" i="1"/>
  <c r="AM27" i="1"/>
  <c r="AI27" i="1"/>
  <c r="Z27" i="1"/>
  <c r="BI26" i="1"/>
  <c r="BH26" i="1"/>
  <c r="BG26" i="1"/>
  <c r="BE26" i="1"/>
  <c r="AG26" i="1"/>
  <c r="AT26" i="1"/>
  <c r="AS26" i="1"/>
  <c r="AR26" i="1"/>
  <c r="AM26" i="1"/>
  <c r="AI26" i="1"/>
  <c r="Z26" i="1"/>
  <c r="BI25" i="1"/>
  <c r="BH25" i="1"/>
  <c r="BG25" i="1"/>
  <c r="BE25" i="1"/>
  <c r="AZ25" i="1"/>
  <c r="AX25" i="1"/>
  <c r="AS25" i="1"/>
  <c r="AR25" i="1"/>
  <c r="AM25" i="1"/>
  <c r="AI25" i="1"/>
  <c r="Z25" i="1"/>
  <c r="BI24" i="1"/>
  <c r="BH24" i="1"/>
  <c r="BG24" i="1"/>
  <c r="BE24" i="1"/>
  <c r="AZ24" i="1"/>
  <c r="AX24" i="1"/>
  <c r="AS24" i="1"/>
  <c r="AR24" i="1"/>
  <c r="AM24" i="1"/>
  <c r="AI24" i="1"/>
  <c r="Z24" i="1"/>
  <c r="BI23" i="1"/>
  <c r="BH23" i="1"/>
  <c r="BG23" i="1"/>
  <c r="BE23" i="1"/>
  <c r="AZ23" i="1"/>
  <c r="AX23" i="1"/>
  <c r="AS23" i="1"/>
  <c r="AR23" i="1"/>
  <c r="AM23" i="1"/>
  <c r="AI23" i="1"/>
  <c r="Z23" i="1"/>
  <c r="BI22" i="1"/>
  <c r="BH22" i="1"/>
  <c r="BG22" i="1"/>
  <c r="BE22" i="1"/>
  <c r="AZ22" i="1"/>
  <c r="AX22" i="1"/>
  <c r="AS22" i="1"/>
  <c r="AR22" i="1"/>
  <c r="AM22" i="1"/>
  <c r="AI22" i="1"/>
  <c r="Z22" i="1"/>
  <c r="BI21" i="1"/>
  <c r="BH21" i="1"/>
  <c r="BG21" i="1"/>
  <c r="BE21" i="1"/>
  <c r="AZ21" i="1"/>
  <c r="AX21" i="1"/>
  <c r="AS21" i="1"/>
  <c r="AR21" i="1"/>
  <c r="AM21" i="1"/>
  <c r="AI21" i="1"/>
  <c r="Z21" i="1"/>
  <c r="BI20" i="1"/>
  <c r="BH20" i="1"/>
  <c r="BG20" i="1"/>
  <c r="BE20" i="1"/>
  <c r="AZ20" i="1"/>
  <c r="AX20" i="1"/>
  <c r="AS20" i="1"/>
  <c r="AR20" i="1"/>
  <c r="AM20" i="1"/>
  <c r="AI20" i="1"/>
  <c r="Z20" i="1"/>
  <c r="BI19" i="1"/>
  <c r="BH19" i="1"/>
  <c r="BG19" i="1"/>
  <c r="BE19" i="1"/>
  <c r="AZ19" i="1"/>
  <c r="AX19" i="1"/>
  <c r="AS19" i="1"/>
  <c r="AR19" i="1"/>
  <c r="AM19" i="1"/>
  <c r="AI19" i="1"/>
  <c r="Z19" i="1"/>
  <c r="BI18" i="1"/>
  <c r="BH18" i="1"/>
  <c r="BG18" i="1"/>
  <c r="BE18" i="1"/>
  <c r="AZ18" i="1"/>
  <c r="AX18" i="1"/>
  <c r="AS18" i="1"/>
  <c r="AR18" i="1"/>
  <c r="AM18" i="1"/>
  <c r="AI18" i="1"/>
  <c r="Z18" i="1"/>
  <c r="BI17" i="1"/>
  <c r="BH17" i="1"/>
  <c r="BG17" i="1"/>
  <c r="BE17" i="1"/>
  <c r="AZ17" i="1"/>
  <c r="AX17" i="1"/>
  <c r="AS17" i="1"/>
  <c r="AR17" i="1"/>
  <c r="AM17" i="1"/>
  <c r="AI17" i="1"/>
  <c r="Z17" i="1"/>
  <c r="BI16" i="1"/>
  <c r="BH16" i="1"/>
  <c r="BG16" i="1"/>
  <c r="BE16" i="1"/>
  <c r="AZ16" i="1"/>
  <c r="AX16" i="1"/>
  <c r="AS16" i="1"/>
  <c r="AR16" i="1"/>
  <c r="AM16" i="1"/>
  <c r="AI16" i="1"/>
  <c r="Z16" i="1"/>
  <c r="BI15" i="1"/>
  <c r="BH15" i="1"/>
  <c r="BG15" i="1"/>
  <c r="BE15" i="1"/>
  <c r="AX15" i="1"/>
  <c r="AS15" i="1"/>
  <c r="AR15" i="1"/>
  <c r="AM15" i="1"/>
  <c r="AI15" i="1"/>
  <c r="Z15" i="1"/>
  <c r="BI14" i="1"/>
  <c r="BH14" i="1"/>
  <c r="BG14" i="1"/>
  <c r="BE14" i="1"/>
  <c r="AX14" i="1"/>
  <c r="AS14" i="1"/>
  <c r="AR14" i="1"/>
  <c r="AM14" i="1"/>
  <c r="AI14" i="1"/>
  <c r="Z14" i="1"/>
  <c r="BI13" i="1"/>
  <c r="BH13" i="1"/>
  <c r="BG13" i="1"/>
  <c r="BE13" i="1"/>
  <c r="AS13" i="1"/>
  <c r="AR13" i="1"/>
  <c r="AM13" i="1"/>
  <c r="BI12" i="1"/>
  <c r="BH12" i="1"/>
  <c r="BG12" i="1"/>
  <c r="BE12" i="1"/>
  <c r="AW12" i="1"/>
  <c r="AS12" i="1"/>
  <c r="AR12" i="1"/>
  <c r="AM12" i="1"/>
  <c r="BI11" i="1"/>
  <c r="BH11" i="1"/>
  <c r="BG11" i="1"/>
  <c r="BE11" i="1"/>
  <c r="AW11" i="1"/>
  <c r="AS11" i="1"/>
  <c r="AR11" i="1"/>
  <c r="AM11" i="1"/>
  <c r="BI10" i="1"/>
  <c r="BH10" i="1"/>
  <c r="BG10" i="1"/>
  <c r="BE10" i="1"/>
  <c r="AW10" i="1"/>
  <c r="AS10" i="1"/>
  <c r="AR10" i="1"/>
  <c r="AM10" i="1"/>
  <c r="BI9" i="1"/>
  <c r="BH9" i="1"/>
  <c r="BG9" i="1"/>
  <c r="BE9" i="1"/>
  <c r="AW9" i="1"/>
  <c r="AS9" i="1"/>
  <c r="AR9" i="1"/>
  <c r="AM9" i="1"/>
  <c r="BI8" i="1"/>
  <c r="BH8" i="1"/>
  <c r="BG8" i="1"/>
  <c r="BE8" i="1"/>
  <c r="AW8" i="1"/>
  <c r="AS8" i="1"/>
  <c r="AR8" i="1"/>
  <c r="AM8" i="1"/>
  <c r="AA8" i="1"/>
  <c r="Y8" i="1"/>
  <c r="BI7" i="1"/>
  <c r="BH7" i="1"/>
  <c r="BG7" i="1"/>
  <c r="BE7" i="1"/>
  <c r="AW7" i="1"/>
  <c r="AQ7" i="1"/>
  <c r="AS7" i="1"/>
  <c r="AR7" i="1"/>
  <c r="AM7" i="1"/>
  <c r="AA7" i="1"/>
  <c r="Y7" i="1"/>
  <c r="BI6" i="1"/>
  <c r="BH6" i="1"/>
  <c r="BG6" i="1"/>
  <c r="BE6" i="1"/>
  <c r="AW6" i="1"/>
  <c r="AS6" i="1"/>
  <c r="AR6" i="1"/>
  <c r="AI6" i="1"/>
  <c r="Y6" i="1"/>
  <c r="BI5" i="1"/>
  <c r="BH5" i="1"/>
  <c r="BG5" i="1"/>
  <c r="BE5" i="1"/>
  <c r="AW5" i="1"/>
  <c r="AQ5" i="1"/>
  <c r="AS5" i="1"/>
  <c r="AR5" i="1"/>
  <c r="AI5" i="1"/>
  <c r="Y5" i="1"/>
  <c r="BI4" i="1"/>
  <c r="BH4" i="1"/>
  <c r="BG4" i="1"/>
  <c r="BE4" i="1"/>
  <c r="AW4" i="1"/>
  <c r="AQ4" i="1"/>
  <c r="AS4" i="1"/>
  <c r="AR4" i="1"/>
  <c r="AI4" i="1"/>
  <c r="Y4" i="1"/>
  <c r="BI3" i="1"/>
  <c r="BH3" i="1"/>
  <c r="BG3" i="1"/>
  <c r="BE3" i="1"/>
  <c r="AI3" i="1"/>
  <c r="Y3" i="1"/>
</calcChain>
</file>

<file path=xl/sharedStrings.xml><?xml version="1.0" encoding="utf-8"?>
<sst xmlns="http://schemas.openxmlformats.org/spreadsheetml/2006/main" count="223" uniqueCount="69">
  <si>
    <t>Año</t>
  </si>
  <si>
    <t>Trimestre</t>
  </si>
  <si>
    <t>Prestaciones seguridad social, harmonizadas (sin pensión universal)</t>
  </si>
  <si>
    <t>Prestaciones seguridad social (sin pensión universal)</t>
  </si>
  <si>
    <t>Pensión universal neta</t>
  </si>
  <si>
    <t>Transferencias PAMI por pensión universal neta</t>
  </si>
  <si>
    <t>Asignaciones familiares</t>
  </si>
  <si>
    <t>Transferencias PAMI desde ANSES</t>
  </si>
  <si>
    <t>Transferencias corrientes al sector privado, harmonizadas</t>
  </si>
  <si>
    <t>Contribuciones a ANSES</t>
  </si>
  <si>
    <t>Contribuciones a ANSES, harmonizadas</t>
  </si>
  <si>
    <t>Impuesto integrado monotributo</t>
  </si>
  <si>
    <t>Impuesto integrado monotributo, harmonizado</t>
  </si>
  <si>
    <t>Déficit simulado, no harmonizado</t>
  </si>
  <si>
    <t>Déficit simulado, harmonizado (sin el impuesto integrado)</t>
  </si>
  <si>
    <t>PIB en pesos corrientes (precio de mercado)</t>
  </si>
  <si>
    <t>IPC 2014 noviembre</t>
  </si>
  <si>
    <t>PIB en pesos constantes noviembre 2014</t>
  </si>
  <si>
    <t>Crecimiento real del PIB</t>
  </si>
  <si>
    <t>Déficit trimestral bismarckiano</t>
  </si>
  <si>
    <t>Deficit annual bismarckiano</t>
  </si>
  <si>
    <t>Costo reparación histórica estimado,miles de pesos de noviembre 2014</t>
  </si>
  <si>
    <t>Crecimiento anual PIB (4to trim a 4to trim)</t>
  </si>
  <si>
    <t>Fondos blanqueo disponibles (Diciembre)</t>
  </si>
  <si>
    <t>Evolución futura del FGS, financiando reparación histórica (valores Diciembre)</t>
  </si>
  <si>
    <t>Evolución futura del FGS, financiando reparación histórica (valores Diciembre) % PIB</t>
  </si>
  <si>
    <t>Crecimiento anual del PIB</t>
  </si>
  <si>
    <t>total_active</t>
  </si>
  <si>
    <t>Crecimiento población activa</t>
  </si>
  <si>
    <t>Crecimiento salarios reales simulados</t>
  </si>
  <si>
    <t>Crecimiento PIB real con salarios aumentando 2% annual</t>
  </si>
  <si>
    <t>Contribuciones a SIPA en porcentaje PIB, simulado</t>
  </si>
  <si>
    <t>Contribuciones anuales en % PIB</t>
  </si>
  <si>
    <t>Asignaciones familiares + transferencias a PAMI en % PIB</t>
  </si>
  <si>
    <t>Prestaciones de seguridad social en % PIB</t>
  </si>
  <si>
    <t>Costo de la pensión universal en % del PIB</t>
  </si>
  <si>
    <t>Déficit incluyendo el costo de la pensión unviersal</t>
  </si>
  <si>
    <t>Medidas EPH</t>
  </si>
  <si>
    <t>Simuladas</t>
  </si>
  <si>
    <t>Simulado</t>
  </si>
  <si>
    <t>A escala</t>
  </si>
  <si>
    <t>Medido EPH</t>
  </si>
  <si>
    <t>Salarios reales</t>
  </si>
  <si>
    <t>Crecimiento</t>
  </si>
  <si>
    <t>Sin financiar</t>
  </si>
  <si>
    <t>Financiando</t>
  </si>
  <si>
    <t>158 vs 160</t>
  </si>
  <si>
    <t>Prestaciones seguridad social, harmonizadas</t>
  </si>
  <si>
    <t>Prestaciones seguridad social</t>
  </si>
  <si>
    <t>Crecimiento PIB real con salarios aumentando 1% annual</t>
  </si>
  <si>
    <t>Crecimiento PIB real con salarios aumentando 3% annual</t>
  </si>
  <si>
    <t>Déficit incluyendo el costo de la pensión universal</t>
  </si>
  <si>
    <t>197 vs 208!</t>
  </si>
  <si>
    <t>CENTRAL</t>
  </si>
  <si>
    <t>LOW</t>
  </si>
  <si>
    <t>HIGH</t>
  </si>
  <si>
    <t>Central scenario, ANSES bismarckian deficit</t>
  </si>
  <si>
    <t>Central scenario, bismarckian deficit including universal pension</t>
  </si>
  <si>
    <t>Low scenario, ANSES bismarckian deficit</t>
  </si>
  <si>
    <t>Low scenario, bismarckian deficit including universal pension</t>
  </si>
  <si>
    <t>High scenario, ANSES bismarckian deficit</t>
  </si>
  <si>
    <t>High scenario, bismarckian deficit including universal pension</t>
  </si>
  <si>
    <t>Historical values</t>
  </si>
  <si>
    <t>Central scenario</t>
  </si>
  <si>
    <t>Central scenario, including universal pension</t>
  </si>
  <si>
    <t>Low scenario</t>
  </si>
  <si>
    <t>Low scenario, including universal pension</t>
  </si>
  <si>
    <t>High scenario</t>
  </si>
  <si>
    <t>High scenario, including universal 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</si>
</sst>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\-??\ _€_-;_-@_-"/>
  </numFmts>
  <fonts count="7" x14ac:knownFonts="1">
    <font>
      <sz val="10"/>
      <name val="Arial"/>
      <family val="2"/>
      <charset val="1"/>
    </font>
    <font>
      <sz val="10"/>
      <name val="Arial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8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CFFFF"/>
      </patternFill>
    </fill>
    <fill>
      <patternFill patternType="solid">
        <fgColor rgb="FFDDDDDD"/>
        <bgColor rgb="FFCFE7F5"/>
      </patternFill>
    </fill>
  </fills>
  <borders count="3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</borders>
  <cellStyleXfs count="181">
    <xf numFmtId="0" fontId="0" fillId="0" borderId="0"/>
    <xf numFmtId="164" fontId="1" fillId="0" borderId="0" applyBorder="0" applyProtection="0"/>
    <xf numFmtId="9" fontId="1" fillId="0" borderId="0" applyBorder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applyFont="1" applyFill="1" applyAlignment="1">
      <alignment horizontal="justify"/>
    </xf>
    <xf numFmtId="3" fontId="0" fillId="2" borderId="0" xfId="0" applyNumberFormat="1" applyFont="1" applyFill="1" applyAlignment="1">
      <alignment horizontal="justify"/>
    </xf>
    <xf numFmtId="0" fontId="0" fillId="2" borderId="0" xfId="0" applyFill="1" applyAlignment="1">
      <alignment horizontal="justify"/>
    </xf>
    <xf numFmtId="0" fontId="0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justify"/>
    </xf>
    <xf numFmtId="0" fontId="2" fillId="2" borderId="0" xfId="0" applyFont="1" applyFill="1" applyAlignment="1">
      <alignment wrapText="1"/>
    </xf>
    <xf numFmtId="0" fontId="0" fillId="3" borderId="0" xfId="0" applyFill="1"/>
    <xf numFmtId="3" fontId="0" fillId="3" borderId="0" xfId="0" applyNumberFormat="1" applyFont="1" applyFill="1"/>
    <xf numFmtId="0" fontId="2" fillId="3" borderId="0" xfId="0" applyFont="1" applyFill="1"/>
    <xf numFmtId="3" fontId="0" fillId="3" borderId="0" xfId="0" applyNumberFormat="1" applyFill="1"/>
    <xf numFmtId="3" fontId="0" fillId="2" borderId="0" xfId="0" applyNumberFormat="1" applyFill="1"/>
    <xf numFmtId="10" fontId="0" fillId="3" borderId="0" xfId="0" applyNumberFormat="1" applyFill="1"/>
    <xf numFmtId="10" fontId="2" fillId="3" borderId="0" xfId="0" applyNumberFormat="1" applyFont="1" applyFill="1"/>
    <xf numFmtId="10" fontId="0" fillId="0" borderId="0" xfId="0" applyNumberFormat="1"/>
    <xf numFmtId="10" fontId="0" fillId="3" borderId="0" xfId="2" applyNumberFormat="1" applyFont="1" applyFill="1" applyBorder="1" applyAlignment="1" applyProtection="1"/>
    <xf numFmtId="3" fontId="0" fillId="0" borderId="0" xfId="0" applyNumberFormat="1" applyFont="1"/>
    <xf numFmtId="3" fontId="0" fillId="0" borderId="0" xfId="0" applyNumberFormat="1"/>
    <xf numFmtId="3" fontId="0" fillId="2" borderId="0" xfId="0" applyNumberFormat="1" applyFont="1" applyFill="1"/>
    <xf numFmtId="0" fontId="2" fillId="0" borderId="0" xfId="0" applyFont="1"/>
    <xf numFmtId="10" fontId="2" fillId="0" borderId="0" xfId="0" applyNumberFormat="1" applyFont="1"/>
    <xf numFmtId="10" fontId="0" fillId="0" borderId="0" xfId="2" applyNumberFormat="1" applyFont="1" applyBorder="1" applyAlignment="1" applyProtection="1"/>
    <xf numFmtId="0" fontId="0" fillId="4" borderId="0" xfId="0" applyFill="1"/>
    <xf numFmtId="3" fontId="0" fillId="4" borderId="0" xfId="0" applyNumberFormat="1" applyFill="1"/>
    <xf numFmtId="3" fontId="0" fillId="4" borderId="0" xfId="0" applyNumberFormat="1" applyFont="1" applyFill="1"/>
    <xf numFmtId="10" fontId="0" fillId="4" borderId="0" xfId="0" applyNumberFormat="1" applyFill="1"/>
    <xf numFmtId="0" fontId="2" fillId="4" borderId="0" xfId="0" applyFont="1" applyFill="1"/>
    <xf numFmtId="10" fontId="2" fillId="4" borderId="0" xfId="0" applyNumberFormat="1" applyFont="1" applyFill="1"/>
    <xf numFmtId="10" fontId="0" fillId="4" borderId="0" xfId="2" applyNumberFormat="1" applyFont="1" applyFill="1" applyBorder="1" applyAlignment="1" applyProtection="1"/>
    <xf numFmtId="4" fontId="0" fillId="4" borderId="0" xfId="0" applyNumberFormat="1" applyFill="1"/>
    <xf numFmtId="0" fontId="0" fillId="5" borderId="0" xfId="0" applyFill="1"/>
    <xf numFmtId="3" fontId="0" fillId="5" borderId="0" xfId="0" applyNumberFormat="1" applyFill="1"/>
    <xf numFmtId="3" fontId="0" fillId="5" borderId="0" xfId="0" applyNumberFormat="1" applyFont="1" applyFill="1"/>
    <xf numFmtId="10" fontId="0" fillId="5" borderId="0" xfId="0" applyNumberFormat="1" applyFill="1"/>
    <xf numFmtId="0" fontId="2" fillId="5" borderId="0" xfId="0" applyFont="1" applyFill="1"/>
    <xf numFmtId="10" fontId="2" fillId="5" borderId="0" xfId="0" applyNumberFormat="1" applyFont="1" applyFill="1"/>
    <xf numFmtId="10" fontId="0" fillId="5" borderId="0" xfId="2" applyNumberFormat="1" applyFont="1" applyFill="1" applyBorder="1" applyAlignment="1" applyProtection="1"/>
    <xf numFmtId="4" fontId="0" fillId="5" borderId="0" xfId="0" applyNumberFormat="1" applyFill="1"/>
    <xf numFmtId="9" fontId="0" fillId="4" borderId="0" xfId="2" applyFont="1" applyFill="1" applyBorder="1" applyAlignment="1" applyProtection="1"/>
    <xf numFmtId="0" fontId="0" fillId="5" borderId="0" xfId="0" applyFill="1" applyAlignment="1">
      <alignment wrapText="1"/>
    </xf>
    <xf numFmtId="3" fontId="0" fillId="4" borderId="0" xfId="0" applyNumberFormat="1" applyFill="1" applyAlignment="1">
      <alignment horizontal="right" wrapText="1"/>
    </xf>
    <xf numFmtId="0" fontId="0" fillId="4" borderId="0" xfId="0" applyFill="1" applyAlignment="1">
      <alignment horizontal="right" wrapText="1"/>
    </xf>
    <xf numFmtId="2" fontId="0" fillId="4" borderId="0" xfId="0" applyNumberFormat="1" applyFill="1"/>
    <xf numFmtId="3" fontId="0" fillId="5" borderId="0" xfId="0" applyNumberFormat="1" applyFill="1" applyAlignment="1">
      <alignment horizontal="right" wrapText="1"/>
    </xf>
    <xf numFmtId="0" fontId="0" fillId="5" borderId="0" xfId="0" applyFill="1" applyAlignment="1">
      <alignment horizontal="right" wrapText="1"/>
    </xf>
    <xf numFmtId="2" fontId="0" fillId="5" borderId="0" xfId="0" applyNumberFormat="1" applyFill="1"/>
    <xf numFmtId="1" fontId="0" fillId="5" borderId="0" xfId="0" applyNumberFormat="1" applyFill="1" applyAlignment="1">
      <alignment horizontal="right" wrapText="1"/>
    </xf>
    <xf numFmtId="164" fontId="1" fillId="0" borderId="0" xfId="1" applyBorder="1" applyAlignment="1" applyProtection="1"/>
    <xf numFmtId="0" fontId="3" fillId="6" borderId="1" xfId="0" applyFont="1" applyFill="1" applyBorder="1"/>
    <xf numFmtId="10" fontId="3" fillId="7" borderId="2" xfId="0" applyNumberFormat="1" applyFont="1" applyFill="1" applyBorder="1" applyAlignment="1">
      <alignment horizontal="right"/>
    </xf>
    <xf numFmtId="10" fontId="3" fillId="5" borderId="2" xfId="0" applyNumberFormat="1" applyFont="1" applyFill="1" applyBorder="1" applyAlignment="1">
      <alignment horizontal="right"/>
    </xf>
    <xf numFmtId="3" fontId="0" fillId="8" borderId="0" xfId="0" applyNumberFormat="1" applyFont="1" applyFill="1"/>
    <xf numFmtId="3" fontId="0" fillId="8" borderId="0" xfId="0" applyNumberFormat="1" applyFill="1"/>
    <xf numFmtId="10" fontId="1" fillId="0" borderId="0" xfId="2" applyNumberFormat="1"/>
    <xf numFmtId="0" fontId="2" fillId="2" borderId="0" xfId="0" applyFont="1" applyFill="1" applyBorder="1" applyAlignment="1">
      <alignment horizontal="justify"/>
    </xf>
  </cellXfs>
  <cellStyles count="18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cat>
          <c:val>
            <c:numRef>
              <c:f>'Graphiques déficit'!$B$5:$B$31</c:f>
              <c:numCache>
                <c:formatCode>0.00%</c:formatCode>
                <c:ptCount val="27"/>
                <c:pt idx="0">
                  <c:v>-0.0207644505662547</c:v>
                </c:pt>
                <c:pt idx="1">
                  <c:v>-0.032822266914996</c:v>
                </c:pt>
                <c:pt idx="2">
                  <c:v>-0.0317240303548348</c:v>
                </c:pt>
                <c:pt idx="3">
                  <c:v>-0.0370073627895058</c:v>
                </c:pt>
                <c:pt idx="4">
                  <c:v>-0.0355876697678922</c:v>
                </c:pt>
                <c:pt idx="5">
                  <c:v>-0.03715456052343</c:v>
                </c:pt>
                <c:pt idx="6">
                  <c:v>-0.0409394863948139</c:v>
                </c:pt>
                <c:pt idx="7">
                  <c:v>-0.0432831509501229</c:v>
                </c:pt>
                <c:pt idx="8">
                  <c:v>-0.0455498479310532</c:v>
                </c:pt>
                <c:pt idx="9">
                  <c:v>-0.0450054599608044</c:v>
                </c:pt>
                <c:pt idx="10">
                  <c:v>-0.044561827672618</c:v>
                </c:pt>
                <c:pt idx="11">
                  <c:v>-0.0440122364374024</c:v>
                </c:pt>
                <c:pt idx="12">
                  <c:v>-0.0429214872063454</c:v>
                </c:pt>
                <c:pt idx="13">
                  <c:v>-0.0409824362298159</c:v>
                </c:pt>
                <c:pt idx="14">
                  <c:v>-0.0392064107170494</c:v>
                </c:pt>
                <c:pt idx="15">
                  <c:v>-0.0386607823586276</c:v>
                </c:pt>
                <c:pt idx="16">
                  <c:v>-0.0384119349116486</c:v>
                </c:pt>
                <c:pt idx="17">
                  <c:v>-0.0372055142724296</c:v>
                </c:pt>
                <c:pt idx="18">
                  <c:v>-0.0371970254647731</c:v>
                </c:pt>
                <c:pt idx="19">
                  <c:v>-0.0368521208609078</c:v>
                </c:pt>
                <c:pt idx="20">
                  <c:v>-0.0369467649199525</c:v>
                </c:pt>
                <c:pt idx="21">
                  <c:v>-0.0354982327107638</c:v>
                </c:pt>
                <c:pt idx="22">
                  <c:v>-0.0342707449194572</c:v>
                </c:pt>
                <c:pt idx="23">
                  <c:v>-0.0339524914244817</c:v>
                </c:pt>
                <c:pt idx="24">
                  <c:v>-0.0339037920156508</c:v>
                </c:pt>
                <c:pt idx="25">
                  <c:v>-0.0344059955741582</c:v>
                </c:pt>
                <c:pt idx="26">
                  <c:v>-0.0338874494565597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cat>
          <c:val>
            <c:numRef>
              <c:f>'Graphiques déficit'!$C$5:$C$31</c:f>
              <c:numCache>
                <c:formatCode>0.00%</c:formatCode>
                <c:ptCount val="27"/>
                <c:pt idx="0">
                  <c:v>-0.0207644505662547</c:v>
                </c:pt>
                <c:pt idx="1">
                  <c:v>-0.032822266914996</c:v>
                </c:pt>
                <c:pt idx="2">
                  <c:v>-0.0317476008413833</c:v>
                </c:pt>
                <c:pt idx="3">
                  <c:v>-0.0374713360866863</c:v>
                </c:pt>
                <c:pt idx="4">
                  <c:v>-0.0364576697204364</c:v>
                </c:pt>
                <c:pt idx="5">
                  <c:v>-0.0383903011629136</c:v>
                </c:pt>
                <c:pt idx="6">
                  <c:v>-0.0425779684531397</c:v>
                </c:pt>
                <c:pt idx="7">
                  <c:v>-0.045261874578415</c:v>
                </c:pt>
                <c:pt idx="8">
                  <c:v>-0.0479436149557105</c:v>
                </c:pt>
                <c:pt idx="9">
                  <c:v>-0.0477409729626113</c:v>
                </c:pt>
                <c:pt idx="10">
                  <c:v>-0.0477240448888571</c:v>
                </c:pt>
                <c:pt idx="11">
                  <c:v>-0.04821169184824</c:v>
                </c:pt>
                <c:pt idx="12">
                  <c:v>-0.048080207753278</c:v>
                </c:pt>
                <c:pt idx="13">
                  <c:v>-0.047305238589774</c:v>
                </c:pt>
                <c:pt idx="14">
                  <c:v>-0.0467135717151402</c:v>
                </c:pt>
                <c:pt idx="15">
                  <c:v>-0.0473263440981391</c:v>
                </c:pt>
                <c:pt idx="16">
                  <c:v>-0.0480133495979515</c:v>
                </c:pt>
                <c:pt idx="17">
                  <c:v>-0.0476357784133863</c:v>
                </c:pt>
                <c:pt idx="18">
                  <c:v>-0.0486520607407235</c:v>
                </c:pt>
                <c:pt idx="19">
                  <c:v>-0.0492122390253858</c:v>
                </c:pt>
                <c:pt idx="20">
                  <c:v>-0.050244749876762</c:v>
                </c:pt>
                <c:pt idx="21">
                  <c:v>-0.0494556228404999</c:v>
                </c:pt>
                <c:pt idx="22">
                  <c:v>-0.049023878211181</c:v>
                </c:pt>
                <c:pt idx="23">
                  <c:v>-0.0497978380923006</c:v>
                </c:pt>
                <c:pt idx="24">
                  <c:v>-0.050862324623015</c:v>
                </c:pt>
                <c:pt idx="25">
                  <c:v>-0.0525131460296987</c:v>
                </c:pt>
                <c:pt idx="26">
                  <c:v>-0.0531521730279059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cat>
          <c:val>
            <c:numRef>
              <c:f>'Graphiques déficit'!$D$5:$D$31</c:f>
              <c:numCache>
                <c:formatCode>0.00%</c:formatCode>
                <c:ptCount val="27"/>
                <c:pt idx="0">
                  <c:v>-0.0207644505662547</c:v>
                </c:pt>
                <c:pt idx="1">
                  <c:v>-0.0328222662107858</c:v>
                </c:pt>
                <c:pt idx="2">
                  <c:v>-0.0317240304035841</c:v>
                </c:pt>
                <c:pt idx="3">
                  <c:v>-0.0369748959462062</c:v>
                </c:pt>
                <c:pt idx="4">
                  <c:v>-0.036166264051692</c:v>
                </c:pt>
                <c:pt idx="5">
                  <c:v>-0.0388981080066047</c:v>
                </c:pt>
                <c:pt idx="6">
                  <c:v>-0.0435833089658957</c:v>
                </c:pt>
                <c:pt idx="7">
                  <c:v>-0.0469039773525549</c:v>
                </c:pt>
                <c:pt idx="8">
                  <c:v>-0.0503776133463895</c:v>
                </c:pt>
                <c:pt idx="9">
                  <c:v>-0.0510975783615655</c:v>
                </c:pt>
                <c:pt idx="10">
                  <c:v>-0.0510096635985262</c:v>
                </c:pt>
                <c:pt idx="11">
                  <c:v>-0.05089806595248</c:v>
                </c:pt>
                <c:pt idx="12">
                  <c:v>-0.0515190035641294</c:v>
                </c:pt>
                <c:pt idx="13">
                  <c:v>-0.0513918585121574</c:v>
                </c:pt>
                <c:pt idx="14">
                  <c:v>-0.0507549045447157</c:v>
                </c:pt>
                <c:pt idx="15">
                  <c:v>-0.0505049402315989</c:v>
                </c:pt>
                <c:pt idx="16">
                  <c:v>-0.0507620943348777</c:v>
                </c:pt>
                <c:pt idx="17">
                  <c:v>-0.0506075024986196</c:v>
                </c:pt>
                <c:pt idx="18">
                  <c:v>-0.0506983912036687</c:v>
                </c:pt>
                <c:pt idx="19">
                  <c:v>-0.0520481904324888</c:v>
                </c:pt>
                <c:pt idx="20">
                  <c:v>-0.0530010671074451</c:v>
                </c:pt>
                <c:pt idx="21">
                  <c:v>-0.0540032624925179</c:v>
                </c:pt>
                <c:pt idx="22">
                  <c:v>-0.0539421019892319</c:v>
                </c:pt>
                <c:pt idx="23">
                  <c:v>-0.0546226692834624</c:v>
                </c:pt>
                <c:pt idx="24">
                  <c:v>-0.0544167032553443</c:v>
                </c:pt>
                <c:pt idx="25">
                  <c:v>-0.0547288404090967</c:v>
                </c:pt>
                <c:pt idx="26">
                  <c:v>-0.0544809065948426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cat>
          <c:val>
            <c:numRef>
              <c:f>'Graphiques déficit'!$E$5:$E$31</c:f>
              <c:numCache>
                <c:formatCode>0.00%</c:formatCode>
                <c:ptCount val="27"/>
                <c:pt idx="0">
                  <c:v>-0.0207644505662547</c:v>
                </c:pt>
                <c:pt idx="1">
                  <c:v>-0.0328222662107858</c:v>
                </c:pt>
                <c:pt idx="2">
                  <c:v>-0.0317476008901326</c:v>
                </c:pt>
                <c:pt idx="3">
                  <c:v>-0.0374388692433867</c:v>
                </c:pt>
                <c:pt idx="4">
                  <c:v>-0.0370366735679099</c:v>
                </c:pt>
                <c:pt idx="5">
                  <c:v>-0.0401428872527711</c:v>
                </c:pt>
                <c:pt idx="6">
                  <c:v>-0.0452478343695588</c:v>
                </c:pt>
                <c:pt idx="7">
                  <c:v>-0.0489365571819848</c:v>
                </c:pt>
                <c:pt idx="8">
                  <c:v>-0.0528804277636626</c:v>
                </c:pt>
                <c:pt idx="9">
                  <c:v>-0.0540028826340105</c:v>
                </c:pt>
                <c:pt idx="10">
                  <c:v>-0.0543305133496629</c:v>
                </c:pt>
                <c:pt idx="11">
                  <c:v>-0.0554237256685178</c:v>
                </c:pt>
                <c:pt idx="12">
                  <c:v>-0.0573520993694396</c:v>
                </c:pt>
                <c:pt idx="13">
                  <c:v>-0.0586656354919346</c:v>
                </c:pt>
                <c:pt idx="14">
                  <c:v>-0.0593238341773615</c:v>
                </c:pt>
                <c:pt idx="15">
                  <c:v>-0.0603705553215138</c:v>
                </c:pt>
                <c:pt idx="16">
                  <c:v>-0.0618232805608658</c:v>
                </c:pt>
                <c:pt idx="17">
                  <c:v>-0.0627804765965753</c:v>
                </c:pt>
                <c:pt idx="18">
                  <c:v>-0.0641767718918084</c:v>
                </c:pt>
                <c:pt idx="19">
                  <c:v>-0.0668216680469809</c:v>
                </c:pt>
                <c:pt idx="20">
                  <c:v>-0.069100217412395</c:v>
                </c:pt>
                <c:pt idx="21">
                  <c:v>-0.0714750693303069</c:v>
                </c:pt>
                <c:pt idx="22">
                  <c:v>-0.0727345452361382</c:v>
                </c:pt>
                <c:pt idx="23">
                  <c:v>-0.0749617607763738</c:v>
                </c:pt>
                <c:pt idx="24">
                  <c:v>-0.0761679539068494</c:v>
                </c:pt>
                <c:pt idx="25">
                  <c:v>-0.0780613616204719</c:v>
                </c:pt>
                <c:pt idx="26">
                  <c:v>-0.0793480281425115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cat>
          <c:val>
            <c:numRef>
              <c:f>'Graphiques déficit'!$F$5:$F$31</c:f>
              <c:numCache>
                <c:formatCode>0.00%</c:formatCode>
                <c:ptCount val="27"/>
                <c:pt idx="0">
                  <c:v>-0.0207644505662547</c:v>
                </c:pt>
                <c:pt idx="1">
                  <c:v>-0.032822266914996</c:v>
                </c:pt>
                <c:pt idx="2">
                  <c:v>-0.0317240303548348</c:v>
                </c:pt>
                <c:pt idx="3">
                  <c:v>-0.0370073627895058</c:v>
                </c:pt>
                <c:pt idx="4">
                  <c:v>-0.0355407377555257</c:v>
                </c:pt>
                <c:pt idx="5">
                  <c:v>-0.0363730753882117</c:v>
                </c:pt>
                <c:pt idx="6">
                  <c:v>-0.0387874403376834</c:v>
                </c:pt>
                <c:pt idx="7">
                  <c:v>-0.0405109697888013</c:v>
                </c:pt>
                <c:pt idx="8">
                  <c:v>-0.0412215655347188</c:v>
                </c:pt>
                <c:pt idx="9">
                  <c:v>-0.0400147578883717</c:v>
                </c:pt>
                <c:pt idx="10">
                  <c:v>-0.0383552116398085</c:v>
                </c:pt>
                <c:pt idx="11">
                  <c:v>-0.0367271434793087</c:v>
                </c:pt>
                <c:pt idx="12">
                  <c:v>-0.0344933233278155</c:v>
                </c:pt>
                <c:pt idx="13">
                  <c:v>-0.0322620013916176</c:v>
                </c:pt>
                <c:pt idx="14">
                  <c:v>-0.0304031691772687</c:v>
                </c:pt>
                <c:pt idx="15">
                  <c:v>-0.0281885803230979</c:v>
                </c:pt>
                <c:pt idx="16">
                  <c:v>-0.0265027072351172</c:v>
                </c:pt>
                <c:pt idx="17">
                  <c:v>-0.0254167564594063</c:v>
                </c:pt>
                <c:pt idx="18">
                  <c:v>-0.0245481966524801</c:v>
                </c:pt>
                <c:pt idx="19">
                  <c:v>-0.023494815264393</c:v>
                </c:pt>
                <c:pt idx="20">
                  <c:v>-0.0223904267028995</c:v>
                </c:pt>
                <c:pt idx="21">
                  <c:v>-0.0217235970526475</c:v>
                </c:pt>
                <c:pt idx="22">
                  <c:v>-0.0205285626647024</c:v>
                </c:pt>
                <c:pt idx="23">
                  <c:v>-0.0193687339249837</c:v>
                </c:pt>
                <c:pt idx="24">
                  <c:v>-0.0176331166088152</c:v>
                </c:pt>
                <c:pt idx="25">
                  <c:v>-0.0173518189376682</c:v>
                </c:pt>
                <c:pt idx="26">
                  <c:v>-0.0170645328889007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cat>
          <c:val>
            <c:numRef>
              <c:f>'Graphiques déficit'!$G$5:$G$31</c:f>
              <c:numCache>
                <c:formatCode>0.00%</c:formatCode>
                <c:ptCount val="27"/>
                <c:pt idx="0">
                  <c:v>-0.0207644505662547</c:v>
                </c:pt>
                <c:pt idx="1">
                  <c:v>-0.032822266914996</c:v>
                </c:pt>
                <c:pt idx="2">
                  <c:v>-0.0317476008413833</c:v>
                </c:pt>
                <c:pt idx="3">
                  <c:v>-0.0374713360866863</c:v>
                </c:pt>
                <c:pt idx="4">
                  <c:v>-0.0364103308067409</c:v>
                </c:pt>
                <c:pt idx="5">
                  <c:v>-0.0376012161167347</c:v>
                </c:pt>
                <c:pt idx="6">
                  <c:v>-0.0403873081782631</c:v>
                </c:pt>
                <c:pt idx="7">
                  <c:v>-0.0424331462205578</c:v>
                </c:pt>
                <c:pt idx="8">
                  <c:v>-0.0434980366497635</c:v>
                </c:pt>
                <c:pt idx="9">
                  <c:v>-0.0426495640787293</c:v>
                </c:pt>
                <c:pt idx="10">
                  <c:v>-0.0413600499848844</c:v>
                </c:pt>
                <c:pt idx="11">
                  <c:v>-0.0407314675533223</c:v>
                </c:pt>
                <c:pt idx="12">
                  <c:v>-0.0394364976558434</c:v>
                </c:pt>
                <c:pt idx="13">
                  <c:v>-0.0381488752703302</c:v>
                </c:pt>
                <c:pt idx="14">
                  <c:v>-0.0372377094209416</c:v>
                </c:pt>
                <c:pt idx="15">
                  <c:v>-0.0359308833278453</c:v>
                </c:pt>
                <c:pt idx="16">
                  <c:v>-0.0349118464609566</c:v>
                </c:pt>
                <c:pt idx="17">
                  <c:v>-0.0345610138972136</c:v>
                </c:pt>
                <c:pt idx="18">
                  <c:v>-0.0344272738932787</c:v>
                </c:pt>
                <c:pt idx="19">
                  <c:v>-0.0339635183996797</c:v>
                </c:pt>
                <c:pt idx="20">
                  <c:v>-0.0335567480581028</c:v>
                </c:pt>
                <c:pt idx="21">
                  <c:v>-0.0334440644393756</c:v>
                </c:pt>
                <c:pt idx="22">
                  <c:v>-0.0328436320018813</c:v>
                </c:pt>
                <c:pt idx="23">
                  <c:v>-0.0323866966299961</c:v>
                </c:pt>
                <c:pt idx="24">
                  <c:v>-0.0312595395334058</c:v>
                </c:pt>
                <c:pt idx="25">
                  <c:v>-0.0316680266691845</c:v>
                </c:pt>
                <c:pt idx="26">
                  <c:v>-0.0319106605956146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110655880"/>
        <c:axId val="-2110660120"/>
      </c:lineChart>
      <c:catAx>
        <c:axId val="-211065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lang="es-AR"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10660120"/>
        <c:crosses val="autoZero"/>
        <c:auto val="1"/>
        <c:lblAlgn val="ctr"/>
        <c:lblOffset val="100"/>
        <c:noMultiLvlLbl val="1"/>
      </c:catAx>
      <c:valAx>
        <c:axId val="-2110660120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lang="es-AR"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1065588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288000</xdr:colOff>
      <xdr:row>0</xdr:row>
      <xdr:rowOff>55080</xdr:rowOff>
    </xdr:from>
    <xdr:to>
      <xdr:col>20</xdr:col>
      <xdr:colOff>554040</xdr:colOff>
      <xdr:row>37</xdr:row>
      <xdr:rowOff>65520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30"/>
  <sheetViews>
    <sheetView zoomScale="125" zoomScaleNormal="125" zoomScalePageLayoutView="125" workbookViewId="0">
      <pane xSplit="2" topLeftCell="AN1" activePane="topRight" state="frozen"/>
      <selection pane="topRight" activeCell="AS6" sqref="AS6:AS29"/>
    </sheetView>
  </sheetViews>
  <sheetFormatPr baseColWidth="10" defaultColWidth="8.83203125" defaultRowHeight="12" x14ac:dyDescent="0"/>
  <cols>
    <col min="3" max="3" width="16.5" customWidth="1"/>
    <col min="4" max="4" width="11" customWidth="1"/>
    <col min="5" max="5" width="16" customWidth="1"/>
    <col min="6" max="6" width="11" customWidth="1"/>
    <col min="8" max="8" width="12.5" customWidth="1"/>
    <col min="9" max="9" width="14.6640625" customWidth="1"/>
    <col min="15" max="20" width="15.33203125" customWidth="1"/>
    <col min="27" max="28" width="13.6640625" customWidth="1"/>
    <col min="30" max="30" width="13.33203125" customWidth="1"/>
    <col min="32" max="32" width="14.83203125" customWidth="1"/>
    <col min="38" max="38" width="12.1640625" customWidth="1"/>
    <col min="40" max="40" width="17.83203125" customWidth="1"/>
    <col min="41" max="41" width="19.1640625" customWidth="1"/>
    <col min="42" max="43" width="11" customWidth="1"/>
    <col min="56" max="56" width="11.1640625" bestFit="1" customWidth="1"/>
    <col min="61" max="61" width="29.83203125" customWidth="1"/>
  </cols>
  <sheetData>
    <row r="1" spans="1:64" s="4" customFormat="1" ht="50.25" customHeight="1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 t="s">
        <v>4</v>
      </c>
      <c r="H1" s="1"/>
      <c r="I1" s="1" t="s">
        <v>5</v>
      </c>
      <c r="J1" s="1"/>
      <c r="K1" s="1" t="s">
        <v>6</v>
      </c>
      <c r="L1" s="1"/>
      <c r="M1" s="2" t="s">
        <v>7</v>
      </c>
      <c r="N1" s="1"/>
      <c r="O1" s="1" t="s">
        <v>8</v>
      </c>
      <c r="P1" s="3"/>
      <c r="Q1" s="1" t="s">
        <v>9</v>
      </c>
      <c r="R1" s="1"/>
      <c r="S1" s="1" t="s">
        <v>10</v>
      </c>
      <c r="T1" s="1"/>
      <c r="U1" s="3" t="s">
        <v>11</v>
      </c>
      <c r="V1" s="1"/>
      <c r="W1" s="1" t="s">
        <v>12</v>
      </c>
      <c r="X1" s="1"/>
      <c r="Y1" s="4" t="s">
        <v>13</v>
      </c>
      <c r="AA1" s="4" t="s">
        <v>14</v>
      </c>
      <c r="AD1" s="4" t="s">
        <v>15</v>
      </c>
      <c r="AE1" s="4" t="s">
        <v>16</v>
      </c>
      <c r="AF1" s="4" t="s">
        <v>17</v>
      </c>
      <c r="AG1" s="4" t="s">
        <v>18</v>
      </c>
      <c r="AI1" s="4" t="s">
        <v>19</v>
      </c>
      <c r="AJ1" s="5" t="s">
        <v>20</v>
      </c>
      <c r="AK1" s="5"/>
      <c r="AL1" s="55" t="s">
        <v>21</v>
      </c>
      <c r="AM1" s="55"/>
      <c r="AN1" s="6" t="s">
        <v>22</v>
      </c>
      <c r="AO1" s="7" t="s">
        <v>23</v>
      </c>
      <c r="AP1" s="55" t="s">
        <v>24</v>
      </c>
      <c r="AQ1" s="55"/>
      <c r="AR1" s="55" t="s">
        <v>25</v>
      </c>
      <c r="AS1" s="55"/>
      <c r="AT1" s="4" t="s">
        <v>26</v>
      </c>
      <c r="AU1" s="4" t="s">
        <v>27</v>
      </c>
      <c r="AW1" s="4" t="s">
        <v>28</v>
      </c>
      <c r="AY1" s="4" t="s">
        <v>29</v>
      </c>
      <c r="BA1" s="4" t="s">
        <v>30</v>
      </c>
      <c r="BE1" s="4" t="s">
        <v>31</v>
      </c>
      <c r="BG1" s="4" t="s">
        <v>32</v>
      </c>
      <c r="BH1" s="4" t="s">
        <v>33</v>
      </c>
      <c r="BI1" s="4" t="s">
        <v>34</v>
      </c>
      <c r="BJ1" s="4" t="s">
        <v>35</v>
      </c>
      <c r="BK1" s="5" t="s">
        <v>36</v>
      </c>
    </row>
    <row r="2" spans="1:64" s="8" customFormat="1">
      <c r="C2" s="8" t="s">
        <v>37</v>
      </c>
      <c r="D2" s="8" t="s">
        <v>38</v>
      </c>
      <c r="E2" s="8" t="s">
        <v>37</v>
      </c>
      <c r="F2" s="9" t="s">
        <v>38</v>
      </c>
      <c r="G2" s="9" t="s">
        <v>39</v>
      </c>
      <c r="H2" s="9" t="s">
        <v>40</v>
      </c>
      <c r="I2" s="9" t="s">
        <v>39</v>
      </c>
      <c r="J2" s="8" t="s">
        <v>40</v>
      </c>
      <c r="K2" s="8" t="s">
        <v>37</v>
      </c>
      <c r="L2" s="9" t="s">
        <v>38</v>
      </c>
      <c r="M2" s="9" t="s">
        <v>37</v>
      </c>
      <c r="N2" s="9" t="s">
        <v>38</v>
      </c>
      <c r="O2" s="8" t="s">
        <v>37</v>
      </c>
      <c r="P2" s="8" t="s">
        <v>38</v>
      </c>
      <c r="Q2" s="9" t="s">
        <v>37</v>
      </c>
      <c r="R2" s="9" t="s">
        <v>38</v>
      </c>
      <c r="S2" s="9" t="s">
        <v>37</v>
      </c>
      <c r="T2" s="8" t="s">
        <v>38</v>
      </c>
      <c r="U2" s="8" t="s">
        <v>37</v>
      </c>
      <c r="V2" s="8" t="s">
        <v>38</v>
      </c>
      <c r="W2" s="8" t="s">
        <v>37</v>
      </c>
      <c r="X2" s="9" t="s">
        <v>38</v>
      </c>
      <c r="AC2" s="4"/>
      <c r="AJ2" s="10"/>
      <c r="AK2" s="10"/>
      <c r="AL2" s="10"/>
      <c r="AM2" s="10"/>
      <c r="AN2" s="10"/>
      <c r="AO2" s="10"/>
      <c r="AP2" s="10"/>
      <c r="AQ2" s="10"/>
      <c r="AR2" s="10"/>
      <c r="AS2" s="10"/>
      <c r="AU2" s="8" t="s">
        <v>41</v>
      </c>
      <c r="AV2" s="8" t="s">
        <v>39</v>
      </c>
      <c r="AW2" s="8" t="s">
        <v>41</v>
      </c>
      <c r="AX2" s="8" t="s">
        <v>39</v>
      </c>
      <c r="AY2" s="8" t="s">
        <v>42</v>
      </c>
      <c r="AZ2" s="8" t="s">
        <v>43</v>
      </c>
      <c r="BK2" s="10"/>
    </row>
    <row r="3" spans="1:64">
      <c r="A3" s="8">
        <v>2014</v>
      </c>
      <c r="B3" s="8">
        <v>1</v>
      </c>
      <c r="C3" s="9">
        <v>73541829.264479399</v>
      </c>
      <c r="D3" s="9"/>
      <c r="E3" s="9">
        <v>13367097.642000001</v>
      </c>
      <c r="F3" s="9"/>
      <c r="G3" s="9"/>
      <c r="H3" s="9"/>
      <c r="I3" s="9"/>
      <c r="J3" s="11"/>
      <c r="K3" s="11">
        <v>2431521.2590999999</v>
      </c>
      <c r="L3" s="9"/>
      <c r="M3" s="9">
        <v>552644.92299999902</v>
      </c>
      <c r="N3" s="9"/>
      <c r="O3" s="9">
        <v>15657663.7612308</v>
      </c>
      <c r="P3" s="9"/>
      <c r="Q3" s="9">
        <v>16188956.83674</v>
      </c>
      <c r="R3" s="9"/>
      <c r="S3" s="9">
        <v>61899879.651203699</v>
      </c>
      <c r="T3" s="9"/>
      <c r="U3" s="9">
        <v>147745.90426000001</v>
      </c>
      <c r="V3" s="11"/>
      <c r="W3" s="11">
        <v>371095.07358448301</v>
      </c>
      <c r="X3" s="9"/>
      <c r="Y3" s="9">
        <f t="shared" ref="Y3:Y8" si="0">Q3+U3-M3-K3-E3</f>
        <v>-14561.083099998534</v>
      </c>
      <c r="Z3" s="9"/>
      <c r="AA3" s="9">
        <f t="shared" ref="AA3:AA8" si="1">S3-O3-C3</f>
        <v>-27299613.374506503</v>
      </c>
      <c r="AB3" s="9"/>
      <c r="AC3" s="12"/>
      <c r="AD3" s="9">
        <v>3917648861.1710801</v>
      </c>
      <c r="AE3" s="9">
        <v>87.364011981999994</v>
      </c>
      <c r="AF3" s="9">
        <f>AD3*100/AE3</f>
        <v>4484282225.9333181</v>
      </c>
      <c r="AG3" s="9"/>
      <c r="AH3" s="9"/>
      <c r="AI3" s="13">
        <f>AA3/AF3</f>
        <v>-6.087844609027615E-3</v>
      </c>
      <c r="AJ3" s="10">
        <v>2014</v>
      </c>
      <c r="AK3" s="14">
        <f>(SUM(AA3:AA6)/AVERAGE(AF3:AF6))</f>
        <v>-2.0764450566254731E-2</v>
      </c>
      <c r="AL3" s="14"/>
      <c r="AM3" s="14"/>
      <c r="AN3" s="14"/>
      <c r="AO3" s="14"/>
      <c r="AP3" s="9" t="s">
        <v>44</v>
      </c>
      <c r="AQ3" s="14" t="s">
        <v>45</v>
      </c>
      <c r="AR3" s="14" t="s">
        <v>44</v>
      </c>
      <c r="AS3" s="14" t="s">
        <v>45</v>
      </c>
      <c r="AT3" s="15"/>
      <c r="AU3" s="8">
        <v>10923418</v>
      </c>
      <c r="BE3" s="13">
        <f>S3/AF3</f>
        <v>1.3803743059084649E-2</v>
      </c>
      <c r="BF3" s="8">
        <v>2014</v>
      </c>
      <c r="BG3" s="13">
        <f>(SUM(S3:S6)/AVERAGE(AF3:AF6))</f>
        <v>5.6918105137217651E-2</v>
      </c>
      <c r="BH3" s="13">
        <f>(SUM(O3:O6)/AVERAGE(AF3:AF6))</f>
        <v>1.3201759021596645E-2</v>
      </c>
      <c r="BI3" s="13">
        <f>(SUM(C3:C6)/AVERAGE(AF3:AF6))</f>
        <v>6.4480796681875729E-2</v>
      </c>
      <c r="BJ3" s="13">
        <f>(SUM(H3:H6)+SUM(J3:J6))/AVERAGE(AF3:AF6)</f>
        <v>0</v>
      </c>
      <c r="BK3" s="14">
        <f t="shared" ref="BK3:BK29" si="2">AK3-BJ3</f>
        <v>-2.0764450566254731E-2</v>
      </c>
    </row>
    <row r="4" spans="1:64">
      <c r="A4" s="8">
        <v>2014</v>
      </c>
      <c r="B4" s="8">
        <v>2</v>
      </c>
      <c r="C4" s="9">
        <v>76536005.645554796</v>
      </c>
      <c r="D4" s="9"/>
      <c r="E4" s="9">
        <v>13911324.754000001</v>
      </c>
      <c r="F4" s="9"/>
      <c r="G4" s="9"/>
      <c r="H4" s="9"/>
      <c r="I4" s="9"/>
      <c r="J4" s="11"/>
      <c r="K4" s="11">
        <v>2156056.4542999999</v>
      </c>
      <c r="L4" s="9"/>
      <c r="M4" s="9">
        <v>571465.44299999997</v>
      </c>
      <c r="N4" s="9"/>
      <c r="O4" s="9">
        <v>14331816.6540251</v>
      </c>
      <c r="P4" s="9"/>
      <c r="Q4" s="9">
        <v>18889074.98367</v>
      </c>
      <c r="R4" s="9"/>
      <c r="S4" s="9">
        <v>72224015.420081005</v>
      </c>
      <c r="T4" s="9"/>
      <c r="U4" s="9">
        <v>150093.53833000001</v>
      </c>
      <c r="V4" s="11"/>
      <c r="W4" s="11">
        <v>376991.65286577999</v>
      </c>
      <c r="X4" s="9"/>
      <c r="Y4" s="9">
        <f t="shared" si="0"/>
        <v>2400321.8706999999</v>
      </c>
      <c r="Z4" s="9"/>
      <c r="AA4" s="9">
        <f t="shared" si="1"/>
        <v>-18643806.879498892</v>
      </c>
      <c r="AB4" s="9"/>
      <c r="AC4" s="12"/>
      <c r="AD4" s="9">
        <v>4702629524.92031</v>
      </c>
      <c r="AE4" s="9">
        <v>92.542254682000006</v>
      </c>
      <c r="AF4" s="9">
        <f>AD4*100/AE4</f>
        <v>5081602497.2374029</v>
      </c>
      <c r="AG4" s="9"/>
      <c r="AH4" s="9"/>
      <c r="AI4" s="13">
        <f>AA4/AF4</f>
        <v>-3.6688833669368155E-3</v>
      </c>
      <c r="AJ4" s="10">
        <v>2015</v>
      </c>
      <c r="AK4" s="14">
        <f>SUM(AB14:AB17)/AVERAGE(AF14:AF17)</f>
        <v>-3.2822266914996047E-2</v>
      </c>
      <c r="AL4" s="14"/>
      <c r="AM4" s="14"/>
      <c r="AN4" s="14"/>
      <c r="AO4" s="14"/>
      <c r="AP4" s="9">
        <v>545118865</v>
      </c>
      <c r="AQ4" s="9">
        <f>AP4</f>
        <v>545118865</v>
      </c>
      <c r="AR4" s="16">
        <f>AP4/AF17</f>
        <v>9.6335892011156887E-2</v>
      </c>
      <c r="AS4" s="16">
        <f>AQ4/AF17</f>
        <v>9.6335892011156887E-2</v>
      </c>
      <c r="AT4" s="15"/>
      <c r="AU4" s="8">
        <v>10933469</v>
      </c>
      <c r="AW4" s="8">
        <f t="shared" ref="AW4:AW12" si="3">(AU4-AU3)/AU3</f>
        <v>9.2013324034656552E-4</v>
      </c>
      <c r="BE4" s="13">
        <f>S4/AF4</f>
        <v>1.4212842397520341E-2</v>
      </c>
      <c r="BF4" s="8">
        <v>2015</v>
      </c>
      <c r="BG4" s="13">
        <f>SUM(T14:T17)/AVERAGE(AF14:AF17)</f>
        <v>5.8016302548056807E-2</v>
      </c>
      <c r="BH4" s="13">
        <f>SUM(P14:P17)/AVERAGE(AF14:AF17)</f>
        <v>1.2830632772629795E-2</v>
      </c>
      <c r="BI4" s="13">
        <f>SUM(D14:D17)/AVERAGE(AF14:AF17)</f>
        <v>7.8007936690423052E-2</v>
      </c>
      <c r="BJ4" s="13">
        <f>(SUM(H14:H17)+SUM(J14:J17))/AVERAGE(AF14:AF17)</f>
        <v>0</v>
      </c>
      <c r="BK4" s="14">
        <f t="shared" si="2"/>
        <v>-3.2822266914996047E-2</v>
      </c>
    </row>
    <row r="5" spans="1:64">
      <c r="A5" s="8">
        <v>2014</v>
      </c>
      <c r="B5" s="8">
        <v>3</v>
      </c>
      <c r="C5" s="9">
        <v>79948619.698482305</v>
      </c>
      <c r="D5" s="9"/>
      <c r="E5" s="9">
        <v>14531608.437999999</v>
      </c>
      <c r="F5" s="9"/>
      <c r="G5" s="9"/>
      <c r="H5" s="9"/>
      <c r="I5" s="9"/>
      <c r="J5" s="11"/>
      <c r="K5" s="11">
        <v>2697105.9034000002</v>
      </c>
      <c r="L5" s="9"/>
      <c r="M5" s="9">
        <v>618357.67000000004</v>
      </c>
      <c r="N5" s="9"/>
      <c r="O5" s="9">
        <v>17397319.126396801</v>
      </c>
      <c r="P5" s="9"/>
      <c r="Q5" s="9">
        <v>16666086.76898</v>
      </c>
      <c r="R5" s="9"/>
      <c r="S5" s="9">
        <v>63724227.302598797</v>
      </c>
      <c r="T5" s="9"/>
      <c r="U5" s="9">
        <v>145660.84302</v>
      </c>
      <c r="V5" s="11"/>
      <c r="W5" s="11">
        <v>365858.00147638301</v>
      </c>
      <c r="X5" s="9"/>
      <c r="Y5" s="9">
        <f t="shared" si="0"/>
        <v>-1035324.3993999995</v>
      </c>
      <c r="Z5" s="9"/>
      <c r="AA5" s="9">
        <f t="shared" si="1"/>
        <v>-33621711.522280306</v>
      </c>
      <c r="AB5" s="9"/>
      <c r="AC5" s="12"/>
      <c r="AD5" s="9">
        <v>4685503118.6782703</v>
      </c>
      <c r="AE5" s="9">
        <v>96.348619912999993</v>
      </c>
      <c r="AF5" s="9">
        <f>AD5*100/AE5</f>
        <v>4863072374.995245</v>
      </c>
      <c r="AG5" s="9"/>
      <c r="AH5" s="9"/>
      <c r="AI5" s="13">
        <f>AA5/AF5</f>
        <v>-6.9136769781908049E-3</v>
      </c>
      <c r="AJ5" s="10">
        <v>2016</v>
      </c>
      <c r="AK5" s="14">
        <f>SUM(AB18:AB21)/AVERAGE(AF18:AF21)</f>
        <v>-3.1724030354834801E-2</v>
      </c>
      <c r="AL5" s="14"/>
      <c r="AM5" s="14"/>
      <c r="AN5" s="14"/>
      <c r="AO5" s="14"/>
      <c r="AP5" s="9">
        <v>527406836</v>
      </c>
      <c r="AQ5" s="9">
        <f>AP5</f>
        <v>527406836</v>
      </c>
      <c r="AR5" s="16">
        <f>AP5/AF21</f>
        <v>9.6733053127945015E-2</v>
      </c>
      <c r="AS5" s="16">
        <f>AQ5/AF21</f>
        <v>9.6733053127945015E-2</v>
      </c>
      <c r="AT5" s="15"/>
      <c r="AU5" s="8">
        <v>10927942</v>
      </c>
      <c r="AW5" s="8">
        <f t="shared" si="3"/>
        <v>-5.0551202001853203E-4</v>
      </c>
      <c r="BE5" s="13">
        <f>S5/AF5</f>
        <v>1.3103697084635945E-2</v>
      </c>
      <c r="BF5" s="8">
        <v>2016</v>
      </c>
      <c r="BG5" s="13">
        <f>SUM(T18:T21)/AVERAGE(AF18:AF21)</f>
        <v>5.6853574673360385E-2</v>
      </c>
      <c r="BH5" s="13">
        <f>SUM(P18:P21)/AVERAGE(AF18:AF21)</f>
        <v>1.3708792226884221E-2</v>
      </c>
      <c r="BI5" s="13">
        <f>SUM(D18:D21)/AVERAGE(AF18:AF21)</f>
        <v>7.4868812801310955E-2</v>
      </c>
      <c r="BJ5" s="13">
        <f>(SUM(H18:H21)+SUM(J18:J21))/AVERAGE(AF18:AF21)</f>
        <v>2.3570486548502998E-5</v>
      </c>
      <c r="BK5" s="14">
        <f t="shared" si="2"/>
        <v>-3.1747600841383304E-2</v>
      </c>
    </row>
    <row r="6" spans="1:64">
      <c r="A6" s="8">
        <v>2014</v>
      </c>
      <c r="B6" s="8">
        <v>4</v>
      </c>
      <c r="C6" s="9">
        <v>83342500.446047202</v>
      </c>
      <c r="D6" s="9"/>
      <c r="E6" s="9">
        <v>15148485.804</v>
      </c>
      <c r="F6" s="9"/>
      <c r="G6" s="9"/>
      <c r="H6" s="9"/>
      <c r="I6" s="9"/>
      <c r="J6" s="11"/>
      <c r="K6" s="11">
        <v>2598760.7445</v>
      </c>
      <c r="L6" s="9"/>
      <c r="M6" s="9">
        <v>597485.603</v>
      </c>
      <c r="N6" s="9"/>
      <c r="O6" s="9">
        <v>16772169.366415</v>
      </c>
      <c r="P6" s="9"/>
      <c r="Q6" s="9">
        <v>20600306.344000001</v>
      </c>
      <c r="R6" s="9"/>
      <c r="S6" s="9">
        <v>78767056.8481365</v>
      </c>
      <c r="T6" s="9"/>
      <c r="U6" s="9">
        <v>143630.44399999999</v>
      </c>
      <c r="V6" s="11"/>
      <c r="W6" s="11">
        <v>360758.22508998099</v>
      </c>
      <c r="X6" s="9"/>
      <c r="Y6" s="9">
        <f t="shared" si="0"/>
        <v>2399204.6364999991</v>
      </c>
      <c r="Z6" s="9"/>
      <c r="AA6" s="9">
        <f t="shared" si="1"/>
        <v>-21347612.964325704</v>
      </c>
      <c r="AB6" s="9"/>
      <c r="AC6" s="12"/>
      <c r="AD6" s="9">
        <v>5010564196.8707304</v>
      </c>
      <c r="AE6" s="9">
        <v>100</v>
      </c>
      <c r="AF6" s="9">
        <f>AD6*100/AE6</f>
        <v>5010564196.8707304</v>
      </c>
      <c r="AG6" s="9"/>
      <c r="AH6" s="9"/>
      <c r="AI6" s="13">
        <f>AA6/AF6</f>
        <v>-4.260520796771354E-3</v>
      </c>
      <c r="AJ6" s="10">
        <v>2017</v>
      </c>
      <c r="AK6" s="14">
        <f>SUM(AB22:AB25)/AVERAGE(AF22:AF25)</f>
        <v>-3.7007362789505803E-2</v>
      </c>
      <c r="AL6" s="14"/>
      <c r="AM6" s="14"/>
      <c r="AN6" s="14"/>
      <c r="AO6" s="9">
        <v>46349018</v>
      </c>
      <c r="AP6" s="9">
        <v>580675520</v>
      </c>
      <c r="AQ6" s="9">
        <f>AP6</f>
        <v>580675520</v>
      </c>
      <c r="AR6" s="16">
        <f>AP6/AF25</f>
        <v>0.10103933176461725</v>
      </c>
      <c r="AS6" s="16">
        <f>AQ6/AF25</f>
        <v>0.10103933176461725</v>
      </c>
      <c r="AT6" s="15"/>
      <c r="AU6" s="8">
        <v>11163575</v>
      </c>
      <c r="AW6" s="8">
        <f t="shared" si="3"/>
        <v>2.1562431425789046E-2</v>
      </c>
      <c r="BE6" s="13">
        <f>S6/AF6</f>
        <v>1.5720197118186657E-2</v>
      </c>
      <c r="BF6" s="8">
        <v>2017</v>
      </c>
      <c r="BG6" s="13">
        <f>SUM(T22:T25)/AVERAGE(AF22:AF25)</f>
        <v>5.6355346428822027E-2</v>
      </c>
      <c r="BH6" s="13">
        <f>SUM(P22:P25)/AVERAGE(AF22:AF25)</f>
        <v>1.689929109602584E-2</v>
      </c>
      <c r="BI6" s="13">
        <f>SUM(D22:D25)/AVERAGE(AF22:AF25)</f>
        <v>7.6463418122301993E-2</v>
      </c>
      <c r="BJ6" s="13">
        <f>(SUM(H22:H25)+SUM(J22:J25))/AVERAGE(AF22:AF25)</f>
        <v>4.6397329718049409E-4</v>
      </c>
      <c r="BK6" s="14">
        <f t="shared" si="2"/>
        <v>-3.7471336086686298E-2</v>
      </c>
      <c r="BL6" s="15">
        <f>BI6+BJ6</f>
        <v>7.6927391419482488E-2</v>
      </c>
    </row>
    <row r="7" spans="1:64">
      <c r="A7" s="8">
        <v>2015</v>
      </c>
      <c r="B7" s="8">
        <v>1</v>
      </c>
      <c r="C7" s="9">
        <v>87220448.7038403</v>
      </c>
      <c r="D7" s="9"/>
      <c r="E7" s="9">
        <v>15853348.733999999</v>
      </c>
      <c r="F7" s="9"/>
      <c r="G7" s="9"/>
      <c r="H7" s="9"/>
      <c r="I7" s="9"/>
      <c r="J7" s="11"/>
      <c r="K7" s="11">
        <v>3002195.4358999999</v>
      </c>
      <c r="L7" s="9"/>
      <c r="M7" s="9">
        <v>654530.51300000004</v>
      </c>
      <c r="N7" s="9"/>
      <c r="O7" s="9">
        <v>19179435.069263499</v>
      </c>
      <c r="P7" s="9"/>
      <c r="Q7" s="9">
        <v>18139908.10636</v>
      </c>
      <c r="R7" s="9"/>
      <c r="S7" s="9">
        <v>69359510.930272505</v>
      </c>
      <c r="T7" s="9"/>
      <c r="U7" s="9">
        <v>167252.22263999999</v>
      </c>
      <c r="V7" s="11"/>
      <c r="W7" s="11">
        <v>420089.31603637501</v>
      </c>
      <c r="X7" s="9"/>
      <c r="Y7" s="9">
        <f t="shared" si="0"/>
        <v>-1202914.3538999986</v>
      </c>
      <c r="Z7" s="9"/>
      <c r="AA7" s="9">
        <f t="shared" si="1"/>
        <v>-37040372.842831299</v>
      </c>
      <c r="AB7" s="9"/>
      <c r="AC7" s="12"/>
      <c r="AD7" s="9"/>
      <c r="AE7" s="9"/>
      <c r="AF7" s="9"/>
      <c r="AG7" s="9"/>
      <c r="AH7" s="9"/>
      <c r="AI7" s="13"/>
      <c r="AJ7" s="10">
        <f t="shared" ref="AJ7:AJ29" si="4">AJ6+1</f>
        <v>2018</v>
      </c>
      <c r="AK7" s="14">
        <f>SUM(AB26:AB29)/AVERAGE(AF26:AF29)</f>
        <v>-3.5587669767892252E-2</v>
      </c>
      <c r="AL7" s="9">
        <v>34286154</v>
      </c>
      <c r="AM7" s="14">
        <f>AL7/AVERAGE(AF26:AF29)</f>
        <v>5.9787783910273309E-3</v>
      </c>
      <c r="AN7" s="14">
        <f>(AF29-AF25)/AF25</f>
        <v>6.3496226652873192E-3</v>
      </c>
      <c r="AO7" s="9">
        <f>+ (((((((((((AO6*((1+AN7)^(1/12))-AL7/12)*((1+AN7)^(1/12))-AL7/12)*((1+AN7)^(1/12))-AL7/12)*((1+AN7)^(1/12))-AL7/12)*((1+AN7)^(1/12))-AL7/12)*((1+AN7)^(1/12))-AL7/12)*((1+AN7)^(1/12))-AL7/12)*((1+AN7)^(1/12))-AL7/12)*((1+AN7)^(1/12))-AL7/12)*((1+AN7)^(1/12))-AL7/12)*((1+AN7)^(1/12))-AL7/12)*((1+AN7)^(1/12))-AL7/12</f>
        <v>12257495.744025653</v>
      </c>
      <c r="AP7" s="9">
        <f t="shared" ref="AP7:AP29" si="5">AP6*(1+AN7)</f>
        <v>584362590.44296944</v>
      </c>
      <c r="AQ7" s="9">
        <f>AP7</f>
        <v>584362590.44296944</v>
      </c>
      <c r="AR7" s="16">
        <f>AP7/AF29</f>
        <v>0.10103933176461724</v>
      </c>
      <c r="AS7" s="16">
        <f>AQ7/AF29</f>
        <v>0.10103933176461724</v>
      </c>
      <c r="AU7" s="8">
        <v>11012334</v>
      </c>
      <c r="AW7" s="8">
        <f t="shared" si="3"/>
        <v>-1.3547721048140941E-2</v>
      </c>
      <c r="BE7" s="13">
        <f t="shared" ref="BE7:BE38" si="6">T14/AF14</f>
        <v>1.3827254222720353E-2</v>
      </c>
      <c r="BF7" s="8">
        <f t="shared" ref="BF7:BF29" si="7">BF6+1</f>
        <v>2018</v>
      </c>
      <c r="BG7" s="13">
        <f>SUM(T26:T29)/AVERAGE(AF26:AF29)</f>
        <v>5.3046952907931239E-2</v>
      </c>
      <c r="BH7" s="13">
        <f>SUM(P26:P29)/AVERAGE(AF26:AF29)</f>
        <v>1.4822543636216533E-2</v>
      </c>
      <c r="BI7" s="13">
        <f>SUM(D26:D29)/AVERAGE(AF26:AF29)</f>
        <v>7.3812079039606959E-2</v>
      </c>
      <c r="BJ7" s="13">
        <f>(SUM(H26:H29)+SUM(J26:J29))/AVERAGE(AF26:AF29)</f>
        <v>8.6999995254414533E-4</v>
      </c>
      <c r="BK7" s="14">
        <f t="shared" si="2"/>
        <v>-3.6457669720436396E-2</v>
      </c>
    </row>
    <row r="8" spans="1:64">
      <c r="A8" s="8">
        <v>2015</v>
      </c>
      <c r="B8" s="8">
        <v>2</v>
      </c>
      <c r="C8" s="9">
        <v>94524704.7581871</v>
      </c>
      <c r="D8" s="9"/>
      <c r="E8" s="9">
        <v>17180984.028999999</v>
      </c>
      <c r="F8" s="9"/>
      <c r="G8" s="9"/>
      <c r="H8" s="9"/>
      <c r="I8" s="9"/>
      <c r="J8" s="11"/>
      <c r="K8" s="11">
        <v>2371185.1833000001</v>
      </c>
      <c r="L8" s="9"/>
      <c r="M8" s="9">
        <v>696491.069000002</v>
      </c>
      <c r="N8" s="11"/>
      <c r="O8" s="11">
        <v>16135978.221071601</v>
      </c>
      <c r="P8" s="11"/>
      <c r="Q8" s="9">
        <v>21552530.200959999</v>
      </c>
      <c r="R8" s="9"/>
      <c r="S8" s="9">
        <v>82407967.299702004</v>
      </c>
      <c r="T8" s="11"/>
      <c r="U8" s="11">
        <v>188439.08603999999</v>
      </c>
      <c r="V8" s="11"/>
      <c r="W8" s="11">
        <v>473304.60259085899</v>
      </c>
      <c r="X8" s="9"/>
      <c r="Y8" s="9">
        <f t="shared" si="0"/>
        <v>1492309.0056999996</v>
      </c>
      <c r="Z8" s="9"/>
      <c r="AA8" s="9">
        <f t="shared" si="1"/>
        <v>-28252715.679556698</v>
      </c>
      <c r="AB8" s="9"/>
      <c r="AC8" s="12"/>
      <c r="AD8" s="9"/>
      <c r="AE8" s="9"/>
      <c r="AF8" s="9"/>
      <c r="AG8" s="9"/>
      <c r="AH8" s="9"/>
      <c r="AI8" s="13"/>
      <c r="AJ8" s="10">
        <f t="shared" si="4"/>
        <v>2019</v>
      </c>
      <c r="AK8" s="14">
        <f>SUM(AB30:AB33)/AVERAGE(AF30:AF33)</f>
        <v>-3.7154560523430004E-2</v>
      </c>
      <c r="AL8" s="9">
        <v>32784694</v>
      </c>
      <c r="AM8" s="14">
        <f>AL8/AVERAGE(AF30:AF33)</f>
        <v>5.5759937983792564E-3</v>
      </c>
      <c r="AN8" s="14">
        <f>(AF33-AF29)/AF29</f>
        <v>2.536214044743847E-2</v>
      </c>
      <c r="AO8" s="9">
        <f>((((AO7*((1+AN8)^(1/12))-AL8/12)*((1+AN8)^(1/12))-AL8/12)*((1+AN8)^(1/12))-AL8/12)*((1+AN8)^(1/12))-AL8/12)*((1+AN8)^(1/12))-AL8/12</f>
        <v>-1331408.3972323015</v>
      </c>
      <c r="AP8" s="9">
        <f t="shared" si="5"/>
        <v>599183276.53401303</v>
      </c>
      <c r="AQ8" s="9">
        <f>((((((((AP7*((1+AN8)^(4/12)))*((1+AN8)^(1/12))+AO8)*((1+AN8)^(1/12))-AL8/12)*((1+AN8)^(1/12))-AL8/12)*((1+AN8)^(1/12))-AL8/12)*((1+AN8)^(1/12))-AL8/12)*((1+AN8)^(1/12))-AL8/12)*((1+AN8)^(1/12))-AL8/12)*((1+AN8)^(1/12))-AL8/12</f>
        <v>578587578.39552391</v>
      </c>
      <c r="AR8" s="16">
        <f>AP8/AF33</f>
        <v>0.10103933176461724</v>
      </c>
      <c r="AS8" s="16">
        <f>AQ8/AF33</f>
        <v>9.7566311640998049E-2</v>
      </c>
      <c r="AT8" s="15"/>
      <c r="AU8" s="8">
        <v>11082939</v>
      </c>
      <c r="AW8" s="8">
        <f t="shared" si="3"/>
        <v>6.4114473825439729E-3</v>
      </c>
      <c r="BE8" s="13">
        <f t="shared" si="6"/>
        <v>1.4927503834836226E-2</v>
      </c>
      <c r="BF8" s="8">
        <f t="shared" si="7"/>
        <v>2019</v>
      </c>
      <c r="BG8" s="13">
        <f>SUM(T30:T33)/AVERAGE(AF30:AF33)</f>
        <v>4.9593394514336926E-2</v>
      </c>
      <c r="BH8" s="13">
        <f>SUM(P30:P33)/AVERAGE(AF30:AF33)</f>
        <v>1.3554024077590602E-2</v>
      </c>
      <c r="BI8" s="13">
        <f>SUM(D30:D33)/AVERAGE(AF30:AF33)</f>
        <v>7.3193930960176332E-2</v>
      </c>
      <c r="BJ8" s="13">
        <f>(SUM(H30:H33)+SUM(J30:J33))/AVERAGE(AF30:AF33)</f>
        <v>1.2357406394835665E-3</v>
      </c>
      <c r="BK8" s="14">
        <f t="shared" si="2"/>
        <v>-3.8390301162913573E-2</v>
      </c>
    </row>
    <row r="9" spans="1:64">
      <c r="A9" s="8">
        <v>2016</v>
      </c>
      <c r="B9" s="8">
        <v>2</v>
      </c>
      <c r="C9" s="9">
        <v>97915025.902647793</v>
      </c>
      <c r="D9" s="9"/>
      <c r="E9" s="9">
        <v>17797214.875</v>
      </c>
      <c r="F9" s="9"/>
      <c r="G9" s="9"/>
      <c r="H9" s="9"/>
      <c r="I9" s="9"/>
      <c r="J9" s="11"/>
      <c r="K9" s="11"/>
      <c r="L9" s="9"/>
      <c r="M9" s="9">
        <v>732730.52299999795</v>
      </c>
      <c r="N9" s="11"/>
      <c r="O9" s="11"/>
      <c r="P9" s="11"/>
      <c r="Q9" s="9"/>
      <c r="R9" s="9"/>
      <c r="S9" s="9"/>
      <c r="T9" s="11"/>
      <c r="U9" s="11"/>
      <c r="V9" s="11"/>
      <c r="W9" s="11"/>
      <c r="X9" s="9"/>
      <c r="Y9" s="9"/>
      <c r="Z9" s="9"/>
      <c r="AA9" s="9"/>
      <c r="AB9" s="9"/>
      <c r="AC9" s="12"/>
      <c r="AD9" s="9"/>
      <c r="AE9" s="9"/>
      <c r="AF9" s="9"/>
      <c r="AG9" s="9"/>
      <c r="AH9" s="9"/>
      <c r="AI9" s="13"/>
      <c r="AJ9" s="10">
        <f t="shared" si="4"/>
        <v>2020</v>
      </c>
      <c r="AK9" s="14">
        <f>SUM(AB34:AB37)/AVERAGE(AF34:AF37)</f>
        <v>-4.0939486394813915E-2</v>
      </c>
      <c r="AL9" s="9">
        <v>31327423</v>
      </c>
      <c r="AM9" s="14">
        <f>AL9/AVERAGE(AF34:AF37)</f>
        <v>5.2437547951139042E-3</v>
      </c>
      <c r="AN9" s="14">
        <f>(AF37-AF33)/AF33</f>
        <v>1.2600007526042274E-2</v>
      </c>
      <c r="AO9" s="14"/>
      <c r="AP9" s="9">
        <f t="shared" si="5"/>
        <v>606732990.32782018</v>
      </c>
      <c r="AQ9" s="9">
        <f t="shared" ref="AQ9:AQ29" si="8">(((((((((((AQ8*((1+AN9)^(1/12))-AL9/12)*((1+AN9)^(1/12))-AL9/12)*((1+AN9)^(1/12))-AL9/12)*((1+AN9)^(1/12))-AL9/12)*((1+AN9)^(1/12))-AL9/12)*((1+AN9)^(1/12))-AL9/12)*((1+AN9)^(1/12))-AL9/12)*((1+AN9)^(1/12))-AL9/12)*((1+AN9)^(1/12))-AL9/12)*((1+AN9)^(1/12))-AL9/12)*((1+AN9)^(1/12))-AL9/12)*((1+AN9)^(1/12))-AL9/12</f>
        <v>554369856.27350461</v>
      </c>
      <c r="AR9" s="16">
        <f>AP9/AF37</f>
        <v>0.10103933176461723</v>
      </c>
      <c r="AS9" s="16">
        <f>AQ9/AF37</f>
        <v>9.2319291552051055E-2</v>
      </c>
      <c r="AU9" s="8">
        <v>11339977</v>
      </c>
      <c r="AW9" s="8">
        <f t="shared" si="3"/>
        <v>2.3192223651145243E-2</v>
      </c>
      <c r="BE9" s="13">
        <f t="shared" si="6"/>
        <v>1.3592051892300448E-2</v>
      </c>
      <c r="BF9" s="8">
        <f t="shared" si="7"/>
        <v>2020</v>
      </c>
      <c r="BG9" s="13">
        <f>SUM(T34:T37)/AVERAGE(AF34:AF37)</f>
        <v>4.6484701633114328E-2</v>
      </c>
      <c r="BH9" s="13">
        <f>SUM(P34:P37)/AVERAGE(AF34:AF37)</f>
        <v>1.3271909525757264E-2</v>
      </c>
      <c r="BI9" s="13">
        <f>SUM(D34:D37)/AVERAGE(AF34:AF37)</f>
        <v>7.4152278502170973E-2</v>
      </c>
      <c r="BJ9" s="13">
        <f>(SUM(H34:H37)+SUM(J34:J37))/AVERAGE(AF34:AF37)</f>
        <v>1.638482058325786E-3</v>
      </c>
      <c r="BK9" s="14">
        <f t="shared" si="2"/>
        <v>-4.25779684531397E-2</v>
      </c>
    </row>
    <row r="10" spans="1:64">
      <c r="A10" s="8">
        <v>2016</v>
      </c>
      <c r="B10" s="8">
        <v>3</v>
      </c>
      <c r="C10" s="9">
        <v>100917465.84456199</v>
      </c>
      <c r="D10" s="9"/>
      <c r="E10" s="9">
        <v>18342943.715</v>
      </c>
      <c r="F10" s="9"/>
      <c r="G10" s="9"/>
      <c r="H10" s="9"/>
      <c r="I10" s="9"/>
      <c r="J10" s="11"/>
      <c r="K10" s="11"/>
      <c r="L10" s="9"/>
      <c r="M10" s="9">
        <v>775294.91</v>
      </c>
      <c r="N10" s="11"/>
      <c r="O10" s="11"/>
      <c r="P10" s="11"/>
      <c r="Q10" s="9"/>
      <c r="R10" s="9"/>
      <c r="S10" s="9"/>
      <c r="T10" s="11"/>
      <c r="U10" s="9"/>
      <c r="V10" s="11"/>
      <c r="W10" s="11"/>
      <c r="X10" s="9"/>
      <c r="Y10" s="9"/>
      <c r="Z10" s="9"/>
      <c r="AA10" s="9"/>
      <c r="AB10" s="9"/>
      <c r="AC10" s="12"/>
      <c r="AD10" s="9"/>
      <c r="AE10" s="9"/>
      <c r="AF10" s="9"/>
      <c r="AG10" s="9"/>
      <c r="AH10" s="9"/>
      <c r="AI10" s="13"/>
      <c r="AJ10" s="10">
        <f t="shared" si="4"/>
        <v>2021</v>
      </c>
      <c r="AK10" s="14">
        <f>SUM(AB38:AB41)/AVERAGE(AF38:AF41)</f>
        <v>-4.3283150950122917E-2</v>
      </c>
      <c r="AL10" s="9">
        <v>29621327</v>
      </c>
      <c r="AM10" s="14">
        <f>AL10/AVERAGE(AF38:AF41)</f>
        <v>4.877227085340179E-3</v>
      </c>
      <c r="AN10" s="14">
        <f>(AF41-AF37)/AF37</f>
        <v>1.7667031969803449E-2</v>
      </c>
      <c r="AO10" s="14"/>
      <c r="AP10" s="9">
        <f t="shared" si="5"/>
        <v>617452161.46507621</v>
      </c>
      <c r="AQ10" s="9">
        <f t="shared" si="8"/>
        <v>534303502.24689114</v>
      </c>
      <c r="AR10" s="16">
        <f>AP10/AF41</f>
        <v>0.10103933176461723</v>
      </c>
      <c r="AS10" s="16">
        <f>AQ10/AF41</f>
        <v>8.7432957880371809E-2</v>
      </c>
      <c r="AU10" s="8">
        <v>11479064</v>
      </c>
      <c r="AW10" s="8">
        <f t="shared" si="3"/>
        <v>1.2265192424993455E-2</v>
      </c>
      <c r="BE10" s="13">
        <f t="shared" si="6"/>
        <v>1.5585340256804794E-2</v>
      </c>
      <c r="BF10" s="8">
        <f t="shared" si="7"/>
        <v>2021</v>
      </c>
      <c r="BG10" s="13">
        <f>SUM(T38:T41)/AVERAGE(AF38:AF41)</f>
        <v>4.339843700034253E-2</v>
      </c>
      <c r="BH10" s="13">
        <f>SUM(P38:P41)/AVERAGE(AF38:AF41)</f>
        <v>1.2921681049091412E-2</v>
      </c>
      <c r="BI10" s="13">
        <f>SUM(D38:D41)/AVERAGE(AF38:AF41)</f>
        <v>7.3759906901374031E-2</v>
      </c>
      <c r="BJ10" s="13">
        <f>(SUM(H38:H41)+SUM(J38:J41))/AVERAGE(AF38:AF41)</f>
        <v>1.9787236282921288E-3</v>
      </c>
      <c r="BK10" s="14">
        <f t="shared" si="2"/>
        <v>-4.5261874578415046E-2</v>
      </c>
    </row>
    <row r="11" spans="1:64">
      <c r="A11" s="8">
        <v>2016</v>
      </c>
      <c r="B11" s="8">
        <v>4</v>
      </c>
      <c r="C11" s="9">
        <v>108710229.285033</v>
      </c>
      <c r="D11" s="9"/>
      <c r="E11" s="9">
        <v>19759371.113000002</v>
      </c>
      <c r="F11" s="9"/>
      <c r="G11" s="9"/>
      <c r="H11" s="9"/>
      <c r="I11" s="9"/>
      <c r="J11" s="11"/>
      <c r="K11" s="11"/>
      <c r="L11" s="9"/>
      <c r="M11" s="9">
        <v>832906.25299999898</v>
      </c>
      <c r="N11" s="11"/>
      <c r="O11" s="11"/>
      <c r="P11" s="9"/>
      <c r="Q11" s="9"/>
      <c r="R11" s="9"/>
      <c r="S11" s="9"/>
      <c r="T11" s="11"/>
      <c r="U11" s="11"/>
      <c r="V11" s="11"/>
      <c r="W11" s="11"/>
      <c r="X11" s="9"/>
      <c r="Y11" s="9"/>
      <c r="Z11" s="9"/>
      <c r="AA11" s="9"/>
      <c r="AB11" s="9"/>
      <c r="AC11" s="12"/>
      <c r="AD11" s="9"/>
      <c r="AE11" s="9"/>
      <c r="AF11" s="9"/>
      <c r="AG11" s="9"/>
      <c r="AH11" s="9"/>
      <c r="AI11" s="13"/>
      <c r="AJ11" s="10">
        <f t="shared" si="4"/>
        <v>2022</v>
      </c>
      <c r="AK11" s="14">
        <f>SUM(AB42:AB45)/AVERAGE(AF42:AF45)</f>
        <v>-4.5549847931053163E-2</v>
      </c>
      <c r="AL11" s="9">
        <v>27946580</v>
      </c>
      <c r="AM11" s="14">
        <f>AL11/AVERAGE(AF42:AF45)</f>
        <v>4.5556703478295407E-3</v>
      </c>
      <c r="AN11" s="14">
        <f>(AF45-AF41)/AF41</f>
        <v>8.9814443683870326E-3</v>
      </c>
      <c r="AO11" s="14"/>
      <c r="AP11" s="9">
        <f t="shared" si="5"/>
        <v>622997773.70341516</v>
      </c>
      <c r="AQ11" s="9">
        <f t="shared" si="8"/>
        <v>511040883.18666363</v>
      </c>
      <c r="AR11" s="16">
        <f>AP11/AF45</f>
        <v>0.10103933176461723</v>
      </c>
      <c r="AS11" s="16">
        <f>AQ11/AF45</f>
        <v>8.2881884207441511E-2</v>
      </c>
      <c r="AU11" s="8">
        <v>11462881</v>
      </c>
      <c r="AW11" s="8">
        <f t="shared" si="3"/>
        <v>-1.4097839336029488E-3</v>
      </c>
      <c r="BE11" s="13">
        <f t="shared" si="6"/>
        <v>1.364893781379666E-2</v>
      </c>
      <c r="BF11" s="8">
        <f t="shared" si="7"/>
        <v>2022</v>
      </c>
      <c r="BG11" s="13">
        <f>SUM(T42:T45)/AVERAGE(AF42:AF45)</f>
        <v>4.1005180999482117E-2</v>
      </c>
      <c r="BH11" s="13">
        <f>SUM(P42:P45)/AVERAGE(AF42:AF45)</f>
        <v>1.2618292968024514E-2</v>
      </c>
      <c r="BI11" s="13">
        <f>SUM(D42:D45)/AVERAGE(AF42:AF45)</f>
        <v>7.3936735962510755E-2</v>
      </c>
      <c r="BJ11" s="13">
        <f>(SUM(H42:H45)+SUM(J42:J45))/AVERAGE(AF42:AF45)</f>
        <v>2.393767024657338E-3</v>
      </c>
      <c r="BK11" s="14">
        <f t="shared" si="2"/>
        <v>-4.7943614955710499E-2</v>
      </c>
      <c r="BL11" s="15">
        <f>BI11+BJ11</f>
        <v>7.6330502987168092E-2</v>
      </c>
    </row>
    <row r="12" spans="1:64" ht="11.5" customHeight="1">
      <c r="A12" s="8">
        <v>2017</v>
      </c>
      <c r="B12" s="8">
        <v>1</v>
      </c>
      <c r="C12" s="9">
        <v>106787377.90249901</v>
      </c>
      <c r="D12" s="9"/>
      <c r="E12" s="9">
        <v>19409869.568</v>
      </c>
      <c r="F12" s="9"/>
      <c r="G12" s="9"/>
      <c r="H12" s="9"/>
      <c r="I12" s="9"/>
      <c r="J12" s="11"/>
      <c r="K12" s="11"/>
      <c r="L12" s="9"/>
      <c r="M12" s="9">
        <v>832988.16000000003</v>
      </c>
      <c r="N12" s="11"/>
      <c r="O12" s="11"/>
      <c r="P12" s="11"/>
      <c r="Q12" s="9"/>
      <c r="R12" s="9"/>
      <c r="S12" s="9"/>
      <c r="T12" s="11"/>
      <c r="U12" s="11"/>
      <c r="V12" s="11"/>
      <c r="W12" s="11"/>
      <c r="X12" s="9"/>
      <c r="Y12" s="9"/>
      <c r="Z12" s="9"/>
      <c r="AA12" s="9"/>
      <c r="AB12" s="9"/>
      <c r="AC12" s="12"/>
      <c r="AD12" s="9"/>
      <c r="AE12" s="9"/>
      <c r="AF12" s="9"/>
      <c r="AG12" s="9"/>
      <c r="AH12" s="9"/>
      <c r="AI12" s="13"/>
      <c r="AJ12" s="10">
        <f t="shared" si="4"/>
        <v>2023</v>
      </c>
      <c r="AK12" s="14">
        <f>SUM(AB46:AB49)/AVERAGE(AF46:AF49)</f>
        <v>-4.5005459960804434E-2</v>
      </c>
      <c r="AL12" s="9">
        <v>26311552</v>
      </c>
      <c r="AM12" s="14">
        <f>AL12/AVERAGE(AF46:AF49)</f>
        <v>4.2174184051145423E-3</v>
      </c>
      <c r="AN12" s="14">
        <f>(AF49-AF45)/AF45</f>
        <v>1.7570314499131587E-2</v>
      </c>
      <c r="AO12" s="14"/>
      <c r="AP12" s="9">
        <f t="shared" si="5"/>
        <v>633944040.51964295</v>
      </c>
      <c r="AQ12" s="9">
        <f t="shared" si="8"/>
        <v>493497258.05631691</v>
      </c>
      <c r="AR12" s="16">
        <f>AP12/AF49</f>
        <v>0.10103933176461723</v>
      </c>
      <c r="AS12" s="16">
        <f>AQ12/AF49</f>
        <v>7.8654628791539394E-2</v>
      </c>
      <c r="AU12" s="8">
        <v>11332510</v>
      </c>
      <c r="AW12" s="8">
        <f t="shared" si="3"/>
        <v>-1.1373318801791626E-2</v>
      </c>
      <c r="BE12" s="13">
        <f t="shared" si="6"/>
        <v>1.4371126013635348E-2</v>
      </c>
      <c r="BF12" s="8">
        <f t="shared" si="7"/>
        <v>2023</v>
      </c>
      <c r="BG12" s="13">
        <f>SUM(T46:T49)/AVERAGE(AF46:AF49)</f>
        <v>4.1118298380210444E-2</v>
      </c>
      <c r="BH12" s="13">
        <f>SUM(P46:P49)/AVERAGE(AF46:AF49)</f>
        <v>1.2398368937240742E-2</v>
      </c>
      <c r="BI12" s="13">
        <f>SUM(D46:D49)/AVERAGE(AF46:AF49)</f>
        <v>7.3725389403774141E-2</v>
      </c>
      <c r="BJ12" s="13">
        <f>(SUM(H46:H49)+SUM(J46:J49))/AVERAGE(AF46:AF49)</f>
        <v>2.7355130018069129E-3</v>
      </c>
      <c r="BK12" s="14">
        <f t="shared" si="2"/>
        <v>-4.7740972962611344E-2</v>
      </c>
      <c r="BL12" s="15">
        <f t="shared" ref="BL12:BL29" si="9">BI12+BJ12</f>
        <v>7.6460902405581052E-2</v>
      </c>
    </row>
    <row r="13" spans="1:64">
      <c r="C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7"/>
      <c r="P13" s="18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9"/>
      <c r="AD13" s="18"/>
      <c r="AE13" s="18"/>
      <c r="AF13" s="18"/>
      <c r="AG13" s="18"/>
      <c r="AH13" s="18"/>
      <c r="AI13" s="15"/>
      <c r="AJ13" s="20">
        <f t="shared" si="4"/>
        <v>2024</v>
      </c>
      <c r="AK13" s="21">
        <f>SUM(AB50:AB53)/AVERAGE(AF50:AF53)</f>
        <v>-4.4561827672617987E-2</v>
      </c>
      <c r="AL13" s="18">
        <v>24746815</v>
      </c>
      <c r="AM13" s="21">
        <f>AL13/AVERAGE(AF50:AF53)</f>
        <v>3.8931195627695887E-3</v>
      </c>
      <c r="AN13" s="21">
        <f>(AF53-AF49)/AF49</f>
        <v>1.8535880816156453E-2</v>
      </c>
      <c r="AO13" s="21"/>
      <c r="AP13" s="18">
        <f t="shared" si="5"/>
        <v>645694751.69882774</v>
      </c>
      <c r="AQ13" s="18">
        <f t="shared" si="8"/>
        <v>477688307.24951553</v>
      </c>
      <c r="AR13" s="22">
        <f>AP13/AF53</f>
        <v>0.10103933176461724</v>
      </c>
      <c r="AS13" s="22">
        <f>AQ13/AF53</f>
        <v>7.4749418714146004E-2</v>
      </c>
      <c r="BE13" s="15">
        <f t="shared" si="6"/>
        <v>1.3371306482896885E-2</v>
      </c>
      <c r="BF13">
        <f t="shared" si="7"/>
        <v>2024</v>
      </c>
      <c r="BG13" s="15">
        <f>SUM(T50:T53)/AVERAGE(AF50:AF53)</f>
        <v>4.1052496067968111E-2</v>
      </c>
      <c r="BH13" s="15">
        <f>SUM(P50:P53)/AVERAGE(AF50:AF53)</f>
        <v>1.2188540155058721E-2</v>
      </c>
      <c r="BI13" s="15">
        <f>SUM(D50:D53)/AVERAGE(AF50:AF53)</f>
        <v>7.3425783585527385E-2</v>
      </c>
      <c r="BJ13" s="15">
        <f>(SUM(H50:H53)+SUM(J50:J53))/AVERAGE(AF50:AF53)</f>
        <v>3.1622172162390893E-3</v>
      </c>
      <c r="BK13" s="21">
        <f t="shared" si="2"/>
        <v>-4.7724044888857078E-2</v>
      </c>
      <c r="BL13" s="15">
        <f t="shared" si="9"/>
        <v>7.6588000801766476E-2</v>
      </c>
    </row>
    <row r="14" spans="1:64" s="23" customFormat="1">
      <c r="A14" s="23">
        <v>2015</v>
      </c>
      <c r="B14" s="23">
        <v>1</v>
      </c>
      <c r="C14" s="24"/>
      <c r="D14" s="24">
        <v>94935467.946458384</v>
      </c>
      <c r="E14" s="24"/>
      <c r="F14" s="52">
        <v>17255645.0717646</v>
      </c>
      <c r="G14" s="53">
        <v>0</v>
      </c>
      <c r="H14" s="53">
        <v>0</v>
      </c>
      <c r="I14" s="25">
        <v>0</v>
      </c>
      <c r="J14" s="24">
        <v>0</v>
      </c>
      <c r="K14" s="24"/>
      <c r="L14" s="52">
        <v>2539896.5458378801</v>
      </c>
      <c r="M14" s="25"/>
      <c r="N14" s="25">
        <v>705811.99727709964</v>
      </c>
      <c r="O14" s="24"/>
      <c r="P14" s="24">
        <v>17062704.611325134</v>
      </c>
      <c r="Q14" s="25"/>
      <c r="R14" s="25">
        <v>17864532.40085613</v>
      </c>
      <c r="S14" s="25"/>
      <c r="T14" s="24">
        <v>68306587.984066308</v>
      </c>
      <c r="U14" s="24"/>
      <c r="V14" s="25">
        <v>116424.766458671</v>
      </c>
      <c r="W14" s="25"/>
      <c r="X14" s="25">
        <v>292425.44715261337</v>
      </c>
      <c r="Y14" s="24"/>
      <c r="Z14" s="24">
        <f t="shared" ref="Z14:Z45" si="10">R14+V14-N14-L14-F14</f>
        <v>-2520396.447564777</v>
      </c>
      <c r="AA14" s="24"/>
      <c r="AB14" s="24">
        <f t="shared" ref="AB14:AB45" si="11">T14-P14-D14</f>
        <v>-43691584.573717207</v>
      </c>
      <c r="AC14" s="12"/>
      <c r="AD14" s="24">
        <v>5092693740.32864</v>
      </c>
      <c r="AE14" s="24">
        <v>103.09103866</v>
      </c>
      <c r="AF14" s="24">
        <f t="shared" ref="AF14:AF25" si="12">AD14*100/AE14</f>
        <v>4939996537.5502996</v>
      </c>
      <c r="AG14" s="24"/>
      <c r="AH14" s="24"/>
      <c r="AI14" s="26">
        <f t="shared" ref="AI14:AI45" si="13">AB14/AF14</f>
        <v>-8.8444565176524336E-3</v>
      </c>
      <c r="AJ14" s="27">
        <f t="shared" si="4"/>
        <v>2025</v>
      </c>
      <c r="AK14" s="28">
        <f>SUM(AB54:AB57)/AVERAGE(AF54:AF57)</f>
        <v>-4.4012236437402402E-2</v>
      </c>
      <c r="AL14" s="24">
        <v>23163008</v>
      </c>
      <c r="AM14" s="28">
        <f>AL14/AVERAGE(AF54:AF57)</f>
        <v>3.582011522900168E-3</v>
      </c>
      <c r="AN14" s="28">
        <f>(AF57-AF53)/AF53</f>
        <v>1.3124374787473674E-2</v>
      </c>
      <c r="AO14" s="28"/>
      <c r="AP14" s="24">
        <f t="shared" si="5"/>
        <v>654169091.61842787</v>
      </c>
      <c r="AQ14" s="24">
        <f t="shared" si="8"/>
        <v>460655654.31935066</v>
      </c>
      <c r="AR14" s="29">
        <f>AP14/AF57</f>
        <v>0.10103933176461723</v>
      </c>
      <c r="AS14" s="29">
        <f>AQ14/AF57</f>
        <v>7.1150318904349391E-2</v>
      </c>
      <c r="AV14" s="23">
        <v>11004289</v>
      </c>
      <c r="AX14" s="23">
        <f>(AV14-AU6)/AU6</f>
        <v>-1.4268368331829186E-2</v>
      </c>
      <c r="AY14" s="30">
        <v>6368.9065332603996</v>
      </c>
      <c r="BE14" s="26">
        <f t="shared" si="6"/>
        <v>1.5435953799932024E-2</v>
      </c>
      <c r="BF14" s="23">
        <f t="shared" si="7"/>
        <v>2025</v>
      </c>
      <c r="BG14" s="26">
        <f>SUM(T54:T57)/AVERAGE(AF54:AF57)</f>
        <v>4.0969870761536756E-2</v>
      </c>
      <c r="BH14" s="26">
        <f>SUM(P54:P57)/AVERAGE(AF54:AF57)</f>
        <v>1.1976279052889819E-2</v>
      </c>
      <c r="BI14" s="26">
        <f>SUM(D54:D57)/AVERAGE(AF54:AF57)</f>
        <v>7.3005828146049348E-2</v>
      </c>
      <c r="BJ14" s="26">
        <f>(SUM(H54:H57)+SUM(J54:J57))/AVERAGE(AF54:AF57)</f>
        <v>4.1994554108376481E-3</v>
      </c>
      <c r="BK14" s="28">
        <f t="shared" si="2"/>
        <v>-4.8211691848240049E-2</v>
      </c>
      <c r="BL14" s="15">
        <f t="shared" si="9"/>
        <v>7.7205283556886994E-2</v>
      </c>
    </row>
    <row r="15" spans="1:64" s="31" customFormat="1">
      <c r="A15" s="31">
        <v>2015</v>
      </c>
      <c r="B15" s="31">
        <v>2</v>
      </c>
      <c r="C15" s="32"/>
      <c r="D15" s="32">
        <v>109339014.25973876</v>
      </c>
      <c r="E15" s="32"/>
      <c r="F15" s="33">
        <v>19873660.112222001</v>
      </c>
      <c r="G15" s="32">
        <v>0</v>
      </c>
      <c r="H15" s="32">
        <v>0</v>
      </c>
      <c r="I15" s="33">
        <v>0</v>
      </c>
      <c r="J15" s="32">
        <v>0</v>
      </c>
      <c r="K15" s="32"/>
      <c r="L15" s="33">
        <v>2236649.19177722</v>
      </c>
      <c r="M15" s="33"/>
      <c r="N15" s="33">
        <v>815524.15203280002</v>
      </c>
      <c r="O15" s="32"/>
      <c r="P15" s="32">
        <v>16092756.554674037</v>
      </c>
      <c r="Q15" s="33"/>
      <c r="R15" s="33">
        <v>21768919.327668261</v>
      </c>
      <c r="S15" s="33"/>
      <c r="T15" s="32">
        <v>83235349.798584893</v>
      </c>
      <c r="U15" s="32"/>
      <c r="V15" s="33">
        <v>117941.839121197</v>
      </c>
      <c r="W15" s="33"/>
      <c r="X15" s="33">
        <v>296235.89629669354</v>
      </c>
      <c r="Y15" s="32"/>
      <c r="Z15" s="32">
        <f t="shared" si="10"/>
        <v>-1038972.2892425656</v>
      </c>
      <c r="AA15" s="32"/>
      <c r="AB15" s="32">
        <f t="shared" si="11"/>
        <v>-42196421.015827909</v>
      </c>
      <c r="AC15" s="12"/>
      <c r="AD15" s="32">
        <v>5951478855.3666</v>
      </c>
      <c r="AE15" s="32">
        <v>106.73436665</v>
      </c>
      <c r="AF15" s="32">
        <f t="shared" si="12"/>
        <v>5575972427.7771788</v>
      </c>
      <c r="AG15" s="32"/>
      <c r="AH15" s="32"/>
      <c r="AI15" s="34">
        <f t="shared" si="13"/>
        <v>-7.5675447757996197E-3</v>
      </c>
      <c r="AJ15" s="35">
        <f t="shared" si="4"/>
        <v>2026</v>
      </c>
      <c r="AK15" s="36">
        <f>SUM(AB58:AB61)/AVERAGE(AF58:AF61)</f>
        <v>-4.2921487206345359E-2</v>
      </c>
      <c r="AL15" s="32">
        <v>21643660</v>
      </c>
      <c r="AM15" s="36">
        <f>AL15/AVERAGE(AF58:AF61)</f>
        <v>3.2769087468549345E-3</v>
      </c>
      <c r="AN15" s="36">
        <f>(AF61-AF57)/AF57</f>
        <v>3.3624230192030431E-2</v>
      </c>
      <c r="AO15" s="36"/>
      <c r="AP15" s="32">
        <f t="shared" si="5"/>
        <v>676165023.73951733</v>
      </c>
      <c r="AQ15" s="32">
        <f t="shared" si="8"/>
        <v>454169625.02726138</v>
      </c>
      <c r="AR15" s="37">
        <f>AP15/AF61</f>
        <v>0.10103933176461723</v>
      </c>
      <c r="AS15" s="37">
        <f>AQ15/AF61</f>
        <v>6.7866561873835302E-2</v>
      </c>
      <c r="AV15" s="31">
        <v>11039157</v>
      </c>
      <c r="AX15" s="31">
        <f t="shared" ref="AX15:AX46" si="14">(AV15-AV14)/AV14</f>
        <v>3.1685827226093388E-3</v>
      </c>
      <c r="AY15" s="38">
        <v>6691.6267211455997</v>
      </c>
      <c r="AZ15" s="34">
        <f>(AY15-AY14)/AY14</f>
        <v>5.06712080323138E-2</v>
      </c>
      <c r="BE15" s="34">
        <f t="shared" si="6"/>
        <v>1.3822787597134706E-2</v>
      </c>
      <c r="BF15" s="31">
        <f t="shared" si="7"/>
        <v>2026</v>
      </c>
      <c r="BG15" s="34">
        <f>SUM(T58:T61)/AVERAGE(AF58:AF61)</f>
        <v>4.1246748562067642E-2</v>
      </c>
      <c r="BH15" s="34">
        <f>SUM(P58:P61)/AVERAGE(AF58:AF61)</f>
        <v>1.1653839339486822E-2</v>
      </c>
      <c r="BI15" s="34">
        <f>SUM(D58:D61)/AVERAGE(AF58:AF61)</f>
        <v>7.2514396428926181E-2</v>
      </c>
      <c r="BJ15" s="34">
        <f>(SUM(H58:H61)+SUM(J58:J61))/AVERAGE(AF58:AF61)</f>
        <v>5.158720546932628E-3</v>
      </c>
      <c r="BK15" s="36">
        <f t="shared" si="2"/>
        <v>-4.8080207753277988E-2</v>
      </c>
      <c r="BL15" s="15">
        <f t="shared" si="9"/>
        <v>7.7673116975858811E-2</v>
      </c>
    </row>
    <row r="16" spans="1:64" s="31" customFormat="1">
      <c r="A16" s="31">
        <v>2015</v>
      </c>
      <c r="B16" s="31">
        <v>3</v>
      </c>
      <c r="C16" s="32"/>
      <c r="D16" s="32">
        <v>106210928.69184949</v>
      </c>
      <c r="E16" s="32"/>
      <c r="F16" s="33">
        <v>19305093.532405399</v>
      </c>
      <c r="G16" s="32">
        <v>0</v>
      </c>
      <c r="H16" s="32">
        <v>0</v>
      </c>
      <c r="I16" s="33">
        <v>0</v>
      </c>
      <c r="J16" s="32">
        <v>0</v>
      </c>
      <c r="K16" s="32"/>
      <c r="L16" s="33">
        <v>2734803.8185367598</v>
      </c>
      <c r="M16" s="33"/>
      <c r="N16" s="33">
        <v>793894.77474950254</v>
      </c>
      <c r="O16" s="32"/>
      <c r="P16" s="32">
        <v>18558684.828942068</v>
      </c>
      <c r="Q16" s="33"/>
      <c r="R16" s="33">
        <v>20018134.006362755</v>
      </c>
      <c r="S16" s="33"/>
      <c r="T16" s="32">
        <v>76541070.379033163</v>
      </c>
      <c r="U16" s="32"/>
      <c r="V16" s="33">
        <v>123359.29092606</v>
      </c>
      <c r="W16" s="33"/>
      <c r="X16" s="33">
        <v>309842.97333581443</v>
      </c>
      <c r="Y16" s="32"/>
      <c r="Z16" s="32">
        <f t="shared" si="10"/>
        <v>-2692298.8284028452</v>
      </c>
      <c r="AA16" s="32"/>
      <c r="AB16" s="32">
        <f t="shared" si="11"/>
        <v>-48228543.14175839</v>
      </c>
      <c r="AC16" s="12"/>
      <c r="AD16" s="32">
        <v>6221730755.7715998</v>
      </c>
      <c r="AE16" s="32">
        <v>110.48458934999999</v>
      </c>
      <c r="AF16" s="32">
        <f t="shared" si="12"/>
        <v>5631310929.7641611</v>
      </c>
      <c r="AG16" s="32"/>
      <c r="AH16" s="32"/>
      <c r="AI16" s="34">
        <f t="shared" si="13"/>
        <v>-8.5643545070203039E-3</v>
      </c>
      <c r="AJ16" s="35">
        <f t="shared" si="4"/>
        <v>2027</v>
      </c>
      <c r="AK16" s="36">
        <f>SUM(AB62:AB65)/AVERAGE(AF62:AF65)</f>
        <v>-4.0982436229815941E-2</v>
      </c>
      <c r="AL16" s="32">
        <v>20161972</v>
      </c>
      <c r="AM16" s="36">
        <f>AL16/AVERAGE(AF62:AF65)</f>
        <v>2.9839377240367931E-3</v>
      </c>
      <c r="AN16" s="36">
        <f>(AF65-AF61)/AF61</f>
        <v>1.8831289088485536E-2</v>
      </c>
      <c r="AO16" s="36"/>
      <c r="AP16" s="32">
        <f t="shared" si="5"/>
        <v>688898082.77307892</v>
      </c>
      <c r="AQ16" s="32">
        <f t="shared" si="8"/>
        <v>442386820.57232934</v>
      </c>
      <c r="AR16" s="37">
        <f>AP16/AF65</f>
        <v>0.10103933176461724</v>
      </c>
      <c r="AS16" s="37">
        <f>AQ16/AF65</f>
        <v>6.4884008026518683E-2</v>
      </c>
      <c r="AV16" s="31">
        <v>11069835</v>
      </c>
      <c r="AX16" s="31">
        <f t="shared" si="14"/>
        <v>2.7790165499050334E-3</v>
      </c>
      <c r="AY16" s="38">
        <v>6984.1911310187998</v>
      </c>
      <c r="AZ16" s="34">
        <f t="shared" ref="AZ16:AZ46" si="15">(AY16-AY15)/AY15</f>
        <v>4.372096981272041E-2</v>
      </c>
      <c r="BE16" s="34">
        <f t="shared" si="6"/>
        <v>1.4452308760858797E-2</v>
      </c>
      <c r="BF16" s="31">
        <f t="shared" si="7"/>
        <v>2027</v>
      </c>
      <c r="BG16" s="34">
        <f>SUM(T62:T65)/AVERAGE(AF62:AF65)</f>
        <v>4.1153450631606324E-2</v>
      </c>
      <c r="BH16" s="34">
        <f>SUM(P62:P65)/AVERAGE(AF62:AF65)</f>
        <v>1.1231668778594547E-2</v>
      </c>
      <c r="BI16" s="34">
        <f>SUM(D62:D65)/AVERAGE(AF62:AF65)</f>
        <v>7.0904218082827722E-2</v>
      </c>
      <c r="BJ16" s="34">
        <f>(SUM(H62:H65)+SUM(J62:J65))/AVERAGE(AF62:AF65)</f>
        <v>6.3228023599580596E-3</v>
      </c>
      <c r="BK16" s="36">
        <f t="shared" si="2"/>
        <v>-4.7305238589774E-2</v>
      </c>
      <c r="BL16" s="15">
        <f t="shared" si="9"/>
        <v>7.7227020442785788E-2</v>
      </c>
    </row>
    <row r="17" spans="1:64" s="31" customFormat="1">
      <c r="A17" s="31">
        <v>2015</v>
      </c>
      <c r="B17" s="31">
        <v>4</v>
      </c>
      <c r="C17" s="32"/>
      <c r="D17" s="32">
        <v>114771012.9094142</v>
      </c>
      <c r="E17" s="32"/>
      <c r="F17" s="33">
        <v>20860990.166590799</v>
      </c>
      <c r="G17" s="32">
        <v>0</v>
      </c>
      <c r="H17" s="32">
        <v>0</v>
      </c>
      <c r="I17" s="33">
        <v>0</v>
      </c>
      <c r="J17" s="32">
        <v>0</v>
      </c>
      <c r="K17" s="32"/>
      <c r="L17" s="33">
        <v>2602828.7029223</v>
      </c>
      <c r="M17" s="33"/>
      <c r="N17" s="33">
        <v>858883.92638400197</v>
      </c>
      <c r="O17" s="32"/>
      <c r="P17" s="32">
        <v>18231416.464028634</v>
      </c>
      <c r="Q17" s="33"/>
      <c r="R17" s="33">
        <v>23064733.345551129</v>
      </c>
      <c r="S17" s="33"/>
      <c r="T17" s="32">
        <v>88190007.006363854</v>
      </c>
      <c r="U17" s="32"/>
      <c r="V17" s="33">
        <v>115904.1045511</v>
      </c>
      <c r="W17" s="33"/>
      <c r="X17" s="33">
        <v>291117.69455178827</v>
      </c>
      <c r="Y17" s="32"/>
      <c r="Z17" s="32">
        <f t="shared" si="10"/>
        <v>-1142065.3457948714</v>
      </c>
      <c r="AA17" s="32"/>
      <c r="AB17" s="32">
        <f t="shared" si="11"/>
        <v>-44812422.36707899</v>
      </c>
      <c r="AC17" s="12"/>
      <c r="AD17" s="32">
        <v>6552140231.3025303</v>
      </c>
      <c r="AE17" s="32">
        <v>115.79241048</v>
      </c>
      <c r="AF17" s="32">
        <f t="shared" si="12"/>
        <v>5658523044.9401817</v>
      </c>
      <c r="AG17" s="32"/>
      <c r="AH17" s="32"/>
      <c r="AI17" s="34">
        <f t="shared" si="13"/>
        <v>-7.9194556620477141E-3</v>
      </c>
      <c r="AJ17" s="35">
        <f t="shared" si="4"/>
        <v>2028</v>
      </c>
      <c r="AK17" s="36">
        <f>SUM(AB66:AB69)/AVERAGE(AF66:AF69)</f>
        <v>-3.9206410717049368E-2</v>
      </c>
      <c r="AL17" s="32">
        <v>18722270</v>
      </c>
      <c r="AM17" s="36">
        <f>AL17/AVERAGE(AF66:AF69)</f>
        <v>2.7193966566446178E-3</v>
      </c>
      <c r="AN17" s="36">
        <f>(AF69-AF65)/AF65</f>
        <v>1.2354121721952591E-2</v>
      </c>
      <c r="AO17" s="36"/>
      <c r="AP17" s="32">
        <f t="shared" si="5"/>
        <v>697408813.54167724</v>
      </c>
      <c r="AQ17" s="32">
        <f t="shared" si="8"/>
        <v>429024075.00388485</v>
      </c>
      <c r="AR17" s="37">
        <f>AP17/AF69</f>
        <v>0.10103933176461723</v>
      </c>
      <c r="AS17" s="37">
        <f>AQ17/AF69</f>
        <v>6.2156234632579743E-2</v>
      </c>
      <c r="AV17" s="31">
        <v>11079853</v>
      </c>
      <c r="AX17" s="31">
        <f t="shared" si="14"/>
        <v>9.0498187190685316E-4</v>
      </c>
      <c r="AY17" s="38">
        <v>6967.8308273950997</v>
      </c>
      <c r="AZ17" s="34">
        <f t="shared" si="15"/>
        <v>-2.3424765039775628E-3</v>
      </c>
      <c r="BE17" s="34">
        <f t="shared" si="6"/>
        <v>1.3109265162362008E-2</v>
      </c>
      <c r="BF17" s="31">
        <f t="shared" si="7"/>
        <v>2028</v>
      </c>
      <c r="BG17" s="34">
        <f>SUM(T66:T69)/AVERAGE(AF66:AF69)</f>
        <v>4.1379066153457995E-2</v>
      </c>
      <c r="BH17" s="34">
        <f>SUM(P66:P69)/AVERAGE(AF66:AF69)</f>
        <v>1.082592699825677E-2</v>
      </c>
      <c r="BI17" s="34">
        <f>SUM(D66:D69)/AVERAGE(AF66:AF69)</f>
        <v>6.9759549872250581E-2</v>
      </c>
      <c r="BJ17" s="34">
        <f>(SUM(H66:H69)+SUM(J66:J69))/AVERAGE(AF66:AF69)</f>
        <v>7.5071609980908701E-3</v>
      </c>
      <c r="BK17" s="36">
        <f t="shared" si="2"/>
        <v>-4.6713571715140241E-2</v>
      </c>
      <c r="BL17" s="15">
        <f t="shared" si="9"/>
        <v>7.7266710870341454E-2</v>
      </c>
    </row>
    <row r="18" spans="1:64" s="23" customFormat="1">
      <c r="A18" s="23">
        <f t="shared" ref="A18:A49" si="16">A14+1</f>
        <v>2016</v>
      </c>
      <c r="B18" s="23">
        <f t="shared" ref="B18:B49" si="17">B14</f>
        <v>1</v>
      </c>
      <c r="C18" s="24"/>
      <c r="D18" s="24">
        <v>100240264.60724892</v>
      </c>
      <c r="E18" s="24"/>
      <c r="F18" s="52">
        <v>18219854.658934999</v>
      </c>
      <c r="G18" s="53">
        <v>0</v>
      </c>
      <c r="H18" s="53">
        <v>0</v>
      </c>
      <c r="I18" s="25">
        <v>0</v>
      </c>
      <c r="J18" s="24">
        <v>0</v>
      </c>
      <c r="K18" s="24"/>
      <c r="L18" s="52">
        <v>2640788.5999428201</v>
      </c>
      <c r="M18" s="25"/>
      <c r="N18" s="25">
        <v>746581.10840870067</v>
      </c>
      <c r="O18" s="24"/>
      <c r="P18" s="24">
        <v>17810533.580309913</v>
      </c>
      <c r="Q18" s="25"/>
      <c r="R18" s="25">
        <v>18956103.483738676</v>
      </c>
      <c r="S18" s="25"/>
      <c r="T18" s="24">
        <v>72480304.62778914</v>
      </c>
      <c r="U18" s="24"/>
      <c r="V18" s="25">
        <v>109424.910354893</v>
      </c>
      <c r="W18" s="25"/>
      <c r="X18" s="25">
        <v>274843.82673443662</v>
      </c>
      <c r="Y18" s="24"/>
      <c r="Z18" s="24">
        <f t="shared" si="10"/>
        <v>-2541695.9731929507</v>
      </c>
      <c r="AA18" s="24"/>
      <c r="AB18" s="24">
        <f t="shared" si="11"/>
        <v>-45570493.55976969</v>
      </c>
      <c r="AC18" s="12"/>
      <c r="AD18" s="24">
        <v>6962845278.2518702</v>
      </c>
      <c r="AE18" s="24">
        <v>131.11898839</v>
      </c>
      <c r="AF18" s="24">
        <f t="shared" si="12"/>
        <v>5310325654.3908043</v>
      </c>
      <c r="AG18" s="24"/>
      <c r="AH18" s="24"/>
      <c r="AI18" s="26">
        <f t="shared" si="13"/>
        <v>-8.581487563213766E-3</v>
      </c>
      <c r="AJ18" s="27">
        <f t="shared" si="4"/>
        <v>2029</v>
      </c>
      <c r="AK18" s="28">
        <f>SUM(AB70:AB73)/AVERAGE(AF70:AF73)</f>
        <v>-3.8660782358627584E-2</v>
      </c>
      <c r="AL18" s="24">
        <v>17359511</v>
      </c>
      <c r="AM18" s="28">
        <f>AL18/AVERAGE(AF70:AF73)</f>
        <v>2.4999942503424453E-3</v>
      </c>
      <c r="AN18" s="28">
        <f>(AF73-AF69)/AF69</f>
        <v>5.5018268354035367E-3</v>
      </c>
      <c r="AO18" s="28"/>
      <c r="AP18" s="24">
        <f t="shared" si="5"/>
        <v>701245836.06726778</v>
      </c>
      <c r="AQ18" s="24">
        <f t="shared" si="8"/>
        <v>413981248.56989092</v>
      </c>
      <c r="AR18" s="29">
        <f>AP18/AF73</f>
        <v>0.10103933176461723</v>
      </c>
      <c r="AS18" s="29">
        <f>AQ18/AF73</f>
        <v>5.9648680344636294E-2</v>
      </c>
      <c r="AV18" s="23">
        <v>11091626</v>
      </c>
      <c r="AX18" s="23">
        <f t="shared" si="14"/>
        <v>1.0625592234842828E-3</v>
      </c>
      <c r="AY18" s="30">
        <v>6546.8359095505002</v>
      </c>
      <c r="AZ18" s="26">
        <f t="shared" si="15"/>
        <v>-6.0419796099152288E-2</v>
      </c>
      <c r="BE18" s="26">
        <f t="shared" si="6"/>
        <v>1.4943352905037363E-2</v>
      </c>
      <c r="BF18" s="23">
        <f t="shared" si="7"/>
        <v>2029</v>
      </c>
      <c r="BG18" s="26">
        <f>SUM(T70:T73)/AVERAGE(AF70:AF73)</f>
        <v>4.1381883151175303E-2</v>
      </c>
      <c r="BH18" s="26">
        <f>SUM(P70:P73)/AVERAGE(AF70:AF73)</f>
        <v>1.0694686770253778E-2</v>
      </c>
      <c r="BI18" s="26">
        <f>SUM(D70:D73)/AVERAGE(AF70:AF73)</f>
        <v>6.9347978739549107E-2</v>
      </c>
      <c r="BJ18" s="26">
        <f>(SUM(H70:H73)+SUM(J70:J73))/AVERAGE(AF70:AF73)</f>
        <v>8.665561739511541E-3</v>
      </c>
      <c r="BK18" s="28">
        <f t="shared" si="2"/>
        <v>-4.7326344098139128E-2</v>
      </c>
      <c r="BL18" s="15">
        <f t="shared" si="9"/>
        <v>7.8013540479060645E-2</v>
      </c>
    </row>
    <row r="19" spans="1:64" s="31" customFormat="1">
      <c r="A19" s="31">
        <f t="shared" si="16"/>
        <v>2016</v>
      </c>
      <c r="B19" s="31">
        <f t="shared" si="17"/>
        <v>2</v>
      </c>
      <c r="C19" s="32"/>
      <c r="D19" s="32">
        <v>103301064.50831549</v>
      </c>
      <c r="E19" s="32"/>
      <c r="F19" s="33">
        <v>18776191.272330999</v>
      </c>
      <c r="G19" s="32">
        <v>0</v>
      </c>
      <c r="H19" s="32">
        <v>0</v>
      </c>
      <c r="I19" s="33">
        <v>0</v>
      </c>
      <c r="J19" s="32">
        <v>0</v>
      </c>
      <c r="K19" s="32"/>
      <c r="L19" s="33">
        <v>2605355.52042699</v>
      </c>
      <c r="M19" s="33"/>
      <c r="N19" s="33">
        <v>770770.9933442995</v>
      </c>
      <c r="O19" s="32"/>
      <c r="P19" s="32">
        <v>17759756.772006247</v>
      </c>
      <c r="Q19" s="33"/>
      <c r="R19" s="33">
        <v>21350096.797455873</v>
      </c>
      <c r="S19" s="33"/>
      <c r="T19" s="32">
        <v>81633945.55425714</v>
      </c>
      <c r="U19" s="32"/>
      <c r="V19" s="33">
        <v>106122.576781039</v>
      </c>
      <c r="W19" s="33"/>
      <c r="X19" s="33">
        <v>266549.31688610336</v>
      </c>
      <c r="Y19" s="32"/>
      <c r="Z19" s="32">
        <f t="shared" si="10"/>
        <v>-696098.41186537594</v>
      </c>
      <c r="AA19" s="32"/>
      <c r="AB19" s="32">
        <f t="shared" si="11"/>
        <v>-39426875.726064593</v>
      </c>
      <c r="AC19" s="12"/>
      <c r="AD19" s="32">
        <v>8401125356.75455</v>
      </c>
      <c r="AE19" s="32">
        <v>147.89635652000001</v>
      </c>
      <c r="AF19" s="32">
        <f t="shared" si="12"/>
        <v>5680414010.4820404</v>
      </c>
      <c r="AG19" s="32"/>
      <c r="AH19" s="32"/>
      <c r="AI19" s="34">
        <f t="shared" si="13"/>
        <v>-6.9408454477632034E-3</v>
      </c>
      <c r="AJ19" s="35">
        <f t="shared" si="4"/>
        <v>2030</v>
      </c>
      <c r="AK19" s="36">
        <f>SUM(AB74:AB77)/AVERAGE(AF74:AF77)</f>
        <v>-3.8411934911648585E-2</v>
      </c>
      <c r="AL19" s="32">
        <v>16025230</v>
      </c>
      <c r="AM19" s="36">
        <f>AL19/AVERAGE(AF74:AF77)</f>
        <v>2.2831775750447366E-3</v>
      </c>
      <c r="AN19" s="36">
        <f>(AF77-AF73)/AF73</f>
        <v>2.1585309329586414E-2</v>
      </c>
      <c r="AO19" s="36"/>
      <c r="AP19" s="32">
        <f t="shared" si="5"/>
        <v>716382444.35486412</v>
      </c>
      <c r="AQ19" s="32">
        <f t="shared" si="8"/>
        <v>406734001.31522298</v>
      </c>
      <c r="AR19" s="37">
        <f>AP19/AF77</f>
        <v>0.10103933176461721</v>
      </c>
      <c r="AS19" s="37">
        <f>AQ19/AF77</f>
        <v>5.7366190395478016E-2</v>
      </c>
      <c r="AV19" s="31">
        <v>11171229</v>
      </c>
      <c r="AX19" s="31">
        <f t="shared" si="14"/>
        <v>7.1768557648806408E-3</v>
      </c>
      <c r="AY19" s="38">
        <v>6356.2046503346</v>
      </c>
      <c r="AZ19" s="34">
        <f t="shared" si="15"/>
        <v>-2.9118075028855998E-2</v>
      </c>
      <c r="BE19" s="34">
        <f t="shared" si="6"/>
        <v>1.2255051179107742E-2</v>
      </c>
      <c r="BF19" s="31">
        <f t="shared" si="7"/>
        <v>2030</v>
      </c>
      <c r="BG19" s="34">
        <f>SUM(T74:T77)/AVERAGE(AF74:AF77)</f>
        <v>4.1246245322245953E-2</v>
      </c>
      <c r="BH19" s="34">
        <f>SUM(P74:P77)/AVERAGE(AF74:AF77)</f>
        <v>1.0552417260081831E-2</v>
      </c>
      <c r="BI19" s="34">
        <f>SUM(D74:D77)/AVERAGE(AF74:AF77)</f>
        <v>6.9105762973812712E-2</v>
      </c>
      <c r="BJ19" s="34">
        <f>(SUM(H74:H77)+SUM(J74:J77))/AVERAGE(AF74:AF77)</f>
        <v>9.6014146863029649E-3</v>
      </c>
      <c r="BK19" s="36">
        <f t="shared" si="2"/>
        <v>-4.8013349597951546E-2</v>
      </c>
      <c r="BL19" s="15">
        <f t="shared" si="9"/>
        <v>7.8707177660115674E-2</v>
      </c>
    </row>
    <row r="20" spans="1:64" s="31" customFormat="1">
      <c r="A20" s="31">
        <f t="shared" si="16"/>
        <v>2016</v>
      </c>
      <c r="B20" s="31">
        <f t="shared" si="17"/>
        <v>3</v>
      </c>
      <c r="C20" s="32"/>
      <c r="D20" s="32">
        <v>98292405.29868786</v>
      </c>
      <c r="E20" s="32"/>
      <c r="F20" s="33">
        <v>17865808.172355101</v>
      </c>
      <c r="G20" s="32">
        <v>0</v>
      </c>
      <c r="H20" s="32">
        <v>0</v>
      </c>
      <c r="I20" s="33">
        <v>0</v>
      </c>
      <c r="J20" s="32">
        <v>0</v>
      </c>
      <c r="K20" s="32"/>
      <c r="L20" s="33">
        <v>2268350.2564357999</v>
      </c>
      <c r="M20" s="33"/>
      <c r="N20" s="33">
        <v>735585.02939260006</v>
      </c>
      <c r="O20" s="32"/>
      <c r="P20" s="32">
        <v>15817452.062975822</v>
      </c>
      <c r="Q20" s="33"/>
      <c r="R20" s="33">
        <v>18954291.24004633</v>
      </c>
      <c r="S20" s="33"/>
      <c r="T20" s="32">
        <v>72473375.356961221</v>
      </c>
      <c r="U20" s="32"/>
      <c r="V20" s="33">
        <v>115976.965700388</v>
      </c>
      <c r="W20" s="33"/>
      <c r="X20" s="33">
        <v>291300.70075234747</v>
      </c>
      <c r="Y20" s="32"/>
      <c r="Z20" s="32">
        <f t="shared" si="10"/>
        <v>-1799475.2524367832</v>
      </c>
      <c r="AA20" s="32"/>
      <c r="AB20" s="32">
        <f t="shared" si="11"/>
        <v>-41636482.004702464</v>
      </c>
      <c r="AC20" s="12"/>
      <c r="AD20" s="32">
        <v>8448889759.2748203</v>
      </c>
      <c r="AE20" s="32">
        <v>155.88165151000001</v>
      </c>
      <c r="AF20" s="32">
        <f t="shared" si="12"/>
        <v>5420066876.0125456</v>
      </c>
      <c r="AG20" s="32"/>
      <c r="AH20" s="32"/>
      <c r="AI20" s="34">
        <f t="shared" si="13"/>
        <v>-7.6819129647591623E-3</v>
      </c>
      <c r="AJ20" s="35">
        <f t="shared" si="4"/>
        <v>2031</v>
      </c>
      <c r="AK20" s="36">
        <f>SUM(AB78:AB81)/AVERAGE(AF78:AF81)</f>
        <v>-3.7205514272429657E-2</v>
      </c>
      <c r="AL20" s="32">
        <v>14737286</v>
      </c>
      <c r="AM20" s="36">
        <f>AL20/AVERAGE(AF78:AF81)</f>
        <v>2.0642225631020399E-3</v>
      </c>
      <c r="AN20" s="36">
        <f>(AF81-AF77)/AF77</f>
        <v>5.9371675054605234E-3</v>
      </c>
      <c r="AO20" s="36"/>
      <c r="AP20" s="32">
        <f t="shared" si="5"/>
        <v>720635726.92497015</v>
      </c>
      <c r="AQ20" s="32">
        <f t="shared" si="8"/>
        <v>394371502.94535422</v>
      </c>
      <c r="AR20" s="37">
        <f>AP20/AF81</f>
        <v>0.10103933176461721</v>
      </c>
      <c r="AS20" s="37">
        <f>AQ20/AF81</f>
        <v>5.5294279253455716E-2</v>
      </c>
      <c r="AV20" s="31">
        <v>11262070</v>
      </c>
      <c r="AX20" s="31">
        <f t="shared" si="14"/>
        <v>8.1316925827946054E-3</v>
      </c>
      <c r="AY20" s="38">
        <v>6421.7509021330998</v>
      </c>
      <c r="AZ20" s="34">
        <f t="shared" si="15"/>
        <v>1.0312168252016441E-2</v>
      </c>
      <c r="BE20" s="34">
        <f t="shared" si="6"/>
        <v>1.4144878468138852E-2</v>
      </c>
      <c r="BF20" s="31">
        <f t="shared" si="7"/>
        <v>2031</v>
      </c>
      <c r="BG20" s="34">
        <f>SUM(T78:T81)/AVERAGE(AF78:AF81)</f>
        <v>4.1202348678730329E-2</v>
      </c>
      <c r="BH20" s="34">
        <f>SUM(P78:P81)/AVERAGE(AF78:AF81)</f>
        <v>1.0158983536557529E-2</v>
      </c>
      <c r="BI20" s="34">
        <f>SUM(D78:D81)/AVERAGE(AF78:AF81)</f>
        <v>6.8248879414602462E-2</v>
      </c>
      <c r="BJ20" s="34">
        <f>(SUM(H78:H81)+SUM(J78:J81))/AVERAGE(AF78:AF81)</f>
        <v>1.0430264140956618E-2</v>
      </c>
      <c r="BK20" s="36">
        <f t="shared" si="2"/>
        <v>-4.7635778413386273E-2</v>
      </c>
      <c r="BL20" s="15">
        <f t="shared" si="9"/>
        <v>7.8679143555559078E-2</v>
      </c>
    </row>
    <row r="21" spans="1:64" s="31" customFormat="1">
      <c r="A21" s="31">
        <f t="shared" si="16"/>
        <v>2016</v>
      </c>
      <c r="B21" s="31">
        <f t="shared" si="17"/>
        <v>4</v>
      </c>
      <c r="C21" s="32"/>
      <c r="D21" s="32">
        <v>107380385.59189004</v>
      </c>
      <c r="E21" s="32"/>
      <c r="F21" s="33">
        <v>19540370.1162895</v>
      </c>
      <c r="G21" s="32">
        <v>22713.949177262301</v>
      </c>
      <c r="H21" s="32">
        <v>124965.4466748345</v>
      </c>
      <c r="I21" s="33">
        <v>702.49327352359978</v>
      </c>
      <c r="J21" s="32">
        <v>3864.9107219022271</v>
      </c>
      <c r="K21" s="32"/>
      <c r="L21" s="33">
        <v>3682918.2738983599</v>
      </c>
      <c r="M21" s="33"/>
      <c r="N21" s="33">
        <v>805276.03250077739</v>
      </c>
      <c r="O21" s="32"/>
      <c r="P21" s="32">
        <v>23541071.567093499</v>
      </c>
      <c r="Q21" s="33"/>
      <c r="R21" s="33">
        <v>22010676.469193127</v>
      </c>
      <c r="S21" s="33"/>
      <c r="T21" s="32">
        <v>84159729.182707667</v>
      </c>
      <c r="U21" s="32"/>
      <c r="V21" s="33">
        <v>116561.02930682201</v>
      </c>
      <c r="W21" s="33"/>
      <c r="X21" s="33">
        <v>292767.70014149946</v>
      </c>
      <c r="Y21" s="32"/>
      <c r="Z21" s="32">
        <f t="shared" si="10"/>
        <v>-1901326.9241886884</v>
      </c>
      <c r="AA21" s="32"/>
      <c r="AB21" s="32">
        <f t="shared" si="11"/>
        <v>-46761727.976275869</v>
      </c>
      <c r="AC21" s="12"/>
      <c r="AD21" s="32">
        <v>8942134800.3519897</v>
      </c>
      <c r="AE21" s="32">
        <v>164.01000929</v>
      </c>
      <c r="AF21" s="32">
        <f t="shared" si="12"/>
        <v>5452188460.364418</v>
      </c>
      <c r="AG21" s="32"/>
      <c r="AH21" s="32"/>
      <c r="AI21" s="34">
        <f t="shared" si="13"/>
        <v>-8.5766895836814801E-3</v>
      </c>
      <c r="AJ21" s="35">
        <f t="shared" si="4"/>
        <v>2032</v>
      </c>
      <c r="AK21" s="36">
        <f>SUM(AB82:AB85)/AVERAGE(AF82:AF85)</f>
        <v>-3.7197025464773152E-2</v>
      </c>
      <c r="AL21" s="32">
        <v>13495709</v>
      </c>
      <c r="AM21" s="36">
        <f>AL21/AVERAGE(AF82:AF85)</f>
        <v>1.8761748122282681E-3</v>
      </c>
      <c r="AN21" s="36">
        <f>(AF85-AF81)/AF81</f>
        <v>1.537209003406006E-2</v>
      </c>
      <c r="AO21" s="36"/>
      <c r="AP21" s="32">
        <f t="shared" si="5"/>
        <v>731713404.20102119</v>
      </c>
      <c r="AQ21" s="32">
        <f t="shared" si="8"/>
        <v>386843285.52072483</v>
      </c>
      <c r="AR21" s="37">
        <f>AP21/AF85</f>
        <v>0.10103933176461721</v>
      </c>
      <c r="AS21" s="37">
        <f>AQ21/AF85</f>
        <v>5.3417617939256701E-2</v>
      </c>
      <c r="AV21" s="31">
        <v>11267048</v>
      </c>
      <c r="AX21" s="31">
        <f t="shared" si="14"/>
        <v>4.4201465627544492E-4</v>
      </c>
      <c r="AY21" s="38">
        <v>6485.7556979743003</v>
      </c>
      <c r="AZ21" s="34">
        <f t="shared" si="15"/>
        <v>9.966876139642887E-3</v>
      </c>
      <c r="BE21" s="34">
        <f t="shared" si="6"/>
        <v>1.238315025379967E-2</v>
      </c>
      <c r="BF21" s="31">
        <f t="shared" si="7"/>
        <v>2032</v>
      </c>
      <c r="BG21" s="34">
        <f>SUM(T82:T85)/AVERAGE(AF82:AF85)</f>
        <v>4.119113000589146E-2</v>
      </c>
      <c r="BH21" s="34">
        <f>SUM(P82:P85)/AVERAGE(AF82:AF85)</f>
        <v>1.0104619575962676E-2</v>
      </c>
      <c r="BI21" s="34">
        <f>SUM(D82:D85)/AVERAGE(AF82:AF85)</f>
        <v>6.828353589470193E-2</v>
      </c>
      <c r="BJ21" s="34">
        <f>(SUM(H82:H85)+SUM(J82:J85))/AVERAGE(AF82:AF85)</f>
        <v>1.1455035275950343E-2</v>
      </c>
      <c r="BK21" s="36">
        <f t="shared" si="2"/>
        <v>-4.8652060740723493E-2</v>
      </c>
      <c r="BL21" s="15">
        <f t="shared" si="9"/>
        <v>7.9738571170652278E-2</v>
      </c>
    </row>
    <row r="22" spans="1:64" s="23" customFormat="1">
      <c r="A22" s="23">
        <f t="shared" si="16"/>
        <v>2017</v>
      </c>
      <c r="B22" s="23">
        <f t="shared" si="17"/>
        <v>1</v>
      </c>
      <c r="C22" s="24"/>
      <c r="D22" s="24">
        <v>102535854.50495079</v>
      </c>
      <c r="E22" s="24"/>
      <c r="F22" s="52">
        <v>18705902.607805099</v>
      </c>
      <c r="G22" s="53">
        <v>68797.311548627898</v>
      </c>
      <c r="H22" s="53">
        <v>378502.50965201209</v>
      </c>
      <c r="I22" s="25">
        <v>2127.7519035658042</v>
      </c>
      <c r="J22" s="24">
        <v>11706.263185113738</v>
      </c>
      <c r="K22" s="24"/>
      <c r="L22" s="52">
        <v>4044937.0903777201</v>
      </c>
      <c r="M22" s="25"/>
      <c r="N22" s="25">
        <v>770217.78778343275</v>
      </c>
      <c r="O22" s="24"/>
      <c r="P22" s="24">
        <v>25226708.808189593</v>
      </c>
      <c r="Q22" s="25"/>
      <c r="R22" s="25">
        <v>19236463.486876279</v>
      </c>
      <c r="S22" s="25"/>
      <c r="T22" s="24">
        <v>73552285.399063855</v>
      </c>
      <c r="U22" s="24"/>
      <c r="V22" s="25">
        <v>87135.567113885394</v>
      </c>
      <c r="W22" s="25"/>
      <c r="X22" s="25">
        <v>218859.42270899663</v>
      </c>
      <c r="Y22" s="24"/>
      <c r="Z22" s="24">
        <f t="shared" si="10"/>
        <v>-4197458.4319760893</v>
      </c>
      <c r="AA22" s="24"/>
      <c r="AB22" s="24">
        <f t="shared" si="11"/>
        <v>-54210277.914076529</v>
      </c>
      <c r="AC22" s="12"/>
      <c r="AD22" s="24">
        <v>9157377218.4824009</v>
      </c>
      <c r="AE22" s="24">
        <v>172.09591728000001</v>
      </c>
      <c r="AF22" s="24">
        <f t="shared" si="12"/>
        <v>5321089171.2110472</v>
      </c>
      <c r="AG22" s="24"/>
      <c r="AH22" s="24"/>
      <c r="AI22" s="26">
        <f t="shared" si="13"/>
        <v>-1.0187816097383425E-2</v>
      </c>
      <c r="AJ22" s="27">
        <f t="shared" si="4"/>
        <v>2033</v>
      </c>
      <c r="AK22" s="28">
        <f>SUM(AB86:AB89)/AVERAGE(AF86:AF89)</f>
        <v>-3.6852120860907854E-2</v>
      </c>
      <c r="AL22" s="24">
        <v>12301209</v>
      </c>
      <c r="AM22" s="28">
        <f>AL22/AVERAGE(AF86:AF89)</f>
        <v>1.6941422617198448E-3</v>
      </c>
      <c r="AN22" s="28">
        <f>(AF89-AF85)/AF85</f>
        <v>9.1972825892413356E-3</v>
      </c>
      <c r="AO22" s="28"/>
      <c r="AP22" s="24">
        <f t="shared" si="5"/>
        <v>738443179.15379369</v>
      </c>
      <c r="AQ22" s="24">
        <f t="shared" si="8"/>
        <v>378048214.47576922</v>
      </c>
      <c r="AR22" s="29">
        <f>AP22/AF89</f>
        <v>0.10103933176461721</v>
      </c>
      <c r="AS22" s="29">
        <f>AQ22/AF89</f>
        <v>5.1727390872796E-2</v>
      </c>
      <c r="AV22" s="23">
        <v>11118502</v>
      </c>
      <c r="AX22" s="23">
        <f t="shared" si="14"/>
        <v>-1.3184109981602989E-2</v>
      </c>
      <c r="AY22" s="30">
        <v>6583.2437564605998</v>
      </c>
      <c r="AZ22" s="26">
        <f t="shared" si="15"/>
        <v>1.5031102469176869E-2</v>
      </c>
      <c r="BE22" s="26">
        <f t="shared" si="6"/>
        <v>1.4257783701376871E-2</v>
      </c>
      <c r="BF22" s="23">
        <f t="shared" si="7"/>
        <v>2033</v>
      </c>
      <c r="BG22" s="26">
        <f>SUM(T86:T89)/AVERAGE(AF86:AF89)</f>
        <v>4.1249043251667415E-2</v>
      </c>
      <c r="BH22" s="26">
        <f>SUM(P86:P89)/AVERAGE(AF86:AF89)</f>
        <v>1.0082887504073757E-2</v>
      </c>
      <c r="BI22" s="26">
        <f>SUM(D86:D89)/AVERAGE(AF86:AF89)</f>
        <v>6.8018276608501516E-2</v>
      </c>
      <c r="BJ22" s="26">
        <f>(SUM(H86:H89)+SUM(J86:J89))/AVERAGE(AF86:AF89)</f>
        <v>1.2360118164478E-2</v>
      </c>
      <c r="BK22" s="28">
        <f t="shared" si="2"/>
        <v>-4.9212239025385851E-2</v>
      </c>
      <c r="BL22" s="15">
        <f t="shared" si="9"/>
        <v>8.037839477297952E-2</v>
      </c>
    </row>
    <row r="23" spans="1:64" s="31" customFormat="1">
      <c r="A23" s="31">
        <f t="shared" si="16"/>
        <v>2017</v>
      </c>
      <c r="B23" s="31">
        <f t="shared" si="17"/>
        <v>2</v>
      </c>
      <c r="C23" s="32"/>
      <c r="D23" s="32">
        <v>109518708.34428991</v>
      </c>
      <c r="E23" s="32"/>
      <c r="F23" s="33">
        <v>20007746.7743144</v>
      </c>
      <c r="G23" s="32">
        <v>101425.135145915</v>
      </c>
      <c r="H23" s="32">
        <v>558011.16831997735</v>
      </c>
      <c r="I23" s="33">
        <v>3136.859849874003</v>
      </c>
      <c r="J23" s="32">
        <v>17258.077370722836</v>
      </c>
      <c r="K23" s="32"/>
      <c r="L23" s="33">
        <v>3730411.4550264599</v>
      </c>
      <c r="M23" s="33"/>
      <c r="N23" s="33">
        <v>825178.86208182573</v>
      </c>
      <c r="O23" s="32"/>
      <c r="P23" s="32">
        <v>23897013.405811135</v>
      </c>
      <c r="Q23" s="33"/>
      <c r="R23" s="33">
        <v>21829419.896147445</v>
      </c>
      <c r="S23" s="33"/>
      <c r="T23" s="32">
        <v>83466678.965852171</v>
      </c>
      <c r="U23" s="32"/>
      <c r="V23" s="33">
        <v>96012.055103505103</v>
      </c>
      <c r="W23" s="33"/>
      <c r="X23" s="33">
        <v>241154.60137642204</v>
      </c>
      <c r="Y23" s="32"/>
      <c r="Z23" s="32">
        <f t="shared" si="10"/>
        <v>-2637905.1401717328</v>
      </c>
      <c r="AA23" s="32"/>
      <c r="AB23" s="32">
        <f t="shared" si="11"/>
        <v>-49949042.784248874</v>
      </c>
      <c r="AC23" s="12"/>
      <c r="AD23" s="32">
        <v>10595155405.883801</v>
      </c>
      <c r="AE23" s="32">
        <v>183.45579240999999</v>
      </c>
      <c r="AF23" s="32">
        <f t="shared" si="12"/>
        <v>5775318002.6090412</v>
      </c>
      <c r="AG23" s="32"/>
      <c r="AH23" s="32"/>
      <c r="AI23" s="34">
        <f t="shared" si="13"/>
        <v>-8.6487086532177158E-3</v>
      </c>
      <c r="AJ23" s="35">
        <f t="shared" si="4"/>
        <v>2034</v>
      </c>
      <c r="AK23" s="36">
        <f>SUM(AB90:AB93)/AVERAGE(AF90:AF93)</f>
        <v>-3.6946764919952545E-2</v>
      </c>
      <c r="AL23" s="32">
        <v>11191463</v>
      </c>
      <c r="AM23" s="36">
        <f>AL23/AVERAGE(AF90:AF93)</f>
        <v>1.5276568129644356E-3</v>
      </c>
      <c r="AN23" s="36">
        <f>(AF93-AF89)/AF89</f>
        <v>8.4719142708188748E-3</v>
      </c>
      <c r="AO23" s="36"/>
      <c r="AP23" s="32">
        <f t="shared" si="5"/>
        <v>744699206.46145558</v>
      </c>
      <c r="AQ23" s="32">
        <f t="shared" si="8"/>
        <v>370016153.72042114</v>
      </c>
      <c r="AR23" s="37">
        <f>AP23/AF93</f>
        <v>0.10103933176461721</v>
      </c>
      <c r="AS23" s="37">
        <f>AQ23/AF93</f>
        <v>5.0203068016778235E-2</v>
      </c>
      <c r="AV23" s="31">
        <v>11135499</v>
      </c>
      <c r="AX23" s="31">
        <f t="shared" si="14"/>
        <v>1.5287131305997876E-3</v>
      </c>
      <c r="AY23" s="38">
        <v>6550.8123021846995</v>
      </c>
      <c r="AZ23" s="34">
        <f t="shared" si="15"/>
        <v>-4.9263638831651925E-3</v>
      </c>
      <c r="BE23" s="34">
        <f t="shared" si="6"/>
        <v>1.1451768943758409E-2</v>
      </c>
      <c r="BF23" s="31">
        <f t="shared" si="7"/>
        <v>2034</v>
      </c>
      <c r="BG23" s="34">
        <f>SUM(T90:T93)/AVERAGE(AF90:AF93)</f>
        <v>4.1166688110240858E-2</v>
      </c>
      <c r="BH23" s="34">
        <f>SUM(P90:P93)/AVERAGE(AF90:AF93)</f>
        <v>1.0104869265585495E-2</v>
      </c>
      <c r="BI23" s="34">
        <f>SUM(D90:D93)/AVERAGE(AF90:AF93)</f>
        <v>6.8008583764607916E-2</v>
      </c>
      <c r="BJ23" s="34">
        <f>(SUM(H90:H93)+SUM(J90:J93))/AVERAGE(AF90:AF93)</f>
        <v>1.3297984956809422E-2</v>
      </c>
      <c r="BK23" s="36">
        <f t="shared" si="2"/>
        <v>-5.0244749876761967E-2</v>
      </c>
      <c r="BL23" s="15">
        <f t="shared" si="9"/>
        <v>8.1306568721417338E-2</v>
      </c>
    </row>
    <row r="24" spans="1:64" s="31" customFormat="1">
      <c r="A24" s="31">
        <f t="shared" si="16"/>
        <v>2017</v>
      </c>
      <c r="B24" s="31">
        <f t="shared" si="17"/>
        <v>3</v>
      </c>
      <c r="C24" s="32"/>
      <c r="D24" s="32">
        <v>104922235.93755201</v>
      </c>
      <c r="E24" s="32"/>
      <c r="F24" s="33">
        <v>19192889.072075699</v>
      </c>
      <c r="G24" s="32">
        <v>122030.702309969</v>
      </c>
      <c r="H24" s="32">
        <v>671376.9192314035</v>
      </c>
      <c r="I24" s="33">
        <v>3774.1454322670033</v>
      </c>
      <c r="J24" s="32">
        <v>20764.234615403795</v>
      </c>
      <c r="K24" s="32"/>
      <c r="L24" s="33">
        <v>3334119.1810467402</v>
      </c>
      <c r="M24" s="33"/>
      <c r="N24" s="33">
        <v>790802.2545061335</v>
      </c>
      <c r="O24" s="32"/>
      <c r="P24" s="32">
        <v>21651520.960093699</v>
      </c>
      <c r="Q24" s="33"/>
      <c r="R24" s="33">
        <v>19580626.611161686</v>
      </c>
      <c r="S24" s="33"/>
      <c r="T24" s="32">
        <v>74868222.933972165</v>
      </c>
      <c r="U24" s="32"/>
      <c r="V24" s="33">
        <v>104520.384366161</v>
      </c>
      <c r="W24" s="33"/>
      <c r="X24" s="33">
        <v>262525.07146482059</v>
      </c>
      <c r="Y24" s="32"/>
      <c r="Z24" s="32">
        <f t="shared" si="10"/>
        <v>-3632663.5121007226</v>
      </c>
      <c r="AA24" s="32"/>
      <c r="AB24" s="32">
        <f t="shared" si="11"/>
        <v>-51705533.963673539</v>
      </c>
      <c r="AC24" s="12"/>
      <c r="AD24" s="32">
        <v>10937239663.7218</v>
      </c>
      <c r="AE24" s="32">
        <v>191.50871928999999</v>
      </c>
      <c r="AF24" s="32">
        <f t="shared" si="12"/>
        <v>5711092269.986743</v>
      </c>
      <c r="AG24" s="32"/>
      <c r="AH24" s="32"/>
      <c r="AI24" s="34">
        <f t="shared" si="13"/>
        <v>-9.0535280327021517E-3</v>
      </c>
      <c r="AJ24" s="35">
        <f t="shared" si="4"/>
        <v>2035</v>
      </c>
      <c r="AK24" s="36">
        <f>SUM(AB94:AB97)/AVERAGE(AF94:AF97)</f>
        <v>-3.5498232710763772E-2</v>
      </c>
      <c r="AL24" s="32">
        <v>10128281</v>
      </c>
      <c r="AM24" s="36">
        <f>AL24/AVERAGE(AF94:AF97)</f>
        <v>1.3600046669855854E-3</v>
      </c>
      <c r="AN24" s="36">
        <f>(AF97-AF93)/AF93</f>
        <v>1.9297356206609145E-2</v>
      </c>
      <c r="AO24" s="36"/>
      <c r="AP24" s="32">
        <f t="shared" si="5"/>
        <v>759069932.31532156</v>
      </c>
      <c r="AQ24" s="32">
        <f t="shared" si="8"/>
        <v>366938934.57433748</v>
      </c>
      <c r="AR24" s="37">
        <f>AP24/AF97</f>
        <v>0.10103933176461723</v>
      </c>
      <c r="AS24" s="37">
        <f>AQ24/AF97</f>
        <v>4.8843015866435878E-2</v>
      </c>
      <c r="AV24" s="31">
        <v>11142497</v>
      </c>
      <c r="AX24" s="31">
        <f t="shared" si="14"/>
        <v>6.2844062937817151E-4</v>
      </c>
      <c r="AY24" s="38">
        <v>6730.5417200480997</v>
      </c>
      <c r="AZ24" s="34">
        <f t="shared" si="15"/>
        <v>2.7436203263442656E-2</v>
      </c>
      <c r="BE24" s="34">
        <f t="shared" si="6"/>
        <v>1.3341980525331304E-2</v>
      </c>
      <c r="BF24" s="31">
        <f t="shared" si="7"/>
        <v>2035</v>
      </c>
      <c r="BG24" s="34">
        <f>SUM(T94:T97)/AVERAGE(AF94:AF97)</f>
        <v>4.1253609029278132E-2</v>
      </c>
      <c r="BH24" s="34">
        <f>SUM(P94:P97)/AVERAGE(AF94:AF97)</f>
        <v>9.7097488926871488E-3</v>
      </c>
      <c r="BI24" s="34">
        <f>SUM(D94:D97)/AVERAGE(AF94:AF97)</f>
        <v>6.7042092847354753E-2</v>
      </c>
      <c r="BJ24" s="34">
        <f>(SUM(H94:H97)+SUM(J94:J97))/AVERAGE(AF94:AF97)</f>
        <v>1.3957390129736151E-2</v>
      </c>
      <c r="BK24" s="36">
        <f t="shared" si="2"/>
        <v>-4.9455622840499924E-2</v>
      </c>
      <c r="BL24" s="15">
        <f t="shared" si="9"/>
        <v>8.0999482977090906E-2</v>
      </c>
    </row>
    <row r="25" spans="1:64">
      <c r="A25" s="31">
        <f t="shared" si="16"/>
        <v>2017</v>
      </c>
      <c r="B25" s="31">
        <f t="shared" si="17"/>
        <v>4</v>
      </c>
      <c r="C25" s="32"/>
      <c r="D25" s="32">
        <v>114172200.85362665</v>
      </c>
      <c r="E25" s="32"/>
      <c r="F25" s="33">
        <v>20921150.851169601</v>
      </c>
      <c r="G25" s="32">
        <v>169001.86399123599</v>
      </c>
      <c r="H25" s="32">
        <v>929798.39206851413</v>
      </c>
      <c r="I25" s="33">
        <v>5226.8617729250109</v>
      </c>
      <c r="J25" s="32">
        <v>28756.651301089089</v>
      </c>
      <c r="K25" s="32"/>
      <c r="L25" s="33">
        <v>3810173.3554979502</v>
      </c>
      <c r="M25" s="33"/>
      <c r="N25" s="33">
        <v>862026.55930786952</v>
      </c>
      <c r="O25" s="32"/>
      <c r="P25" s="32">
        <v>24513623.444839194</v>
      </c>
      <c r="Q25" s="33"/>
      <c r="R25" s="33">
        <v>22460538.586850993</v>
      </c>
      <c r="S25" s="33"/>
      <c r="T25" s="32">
        <v>85879815.979887009</v>
      </c>
      <c r="U25" s="32"/>
      <c r="V25" s="33">
        <v>107997.833010581</v>
      </c>
      <c r="W25" s="33"/>
      <c r="X25" s="33">
        <v>271259.41988333984</v>
      </c>
      <c r="Y25" s="32"/>
      <c r="Z25" s="32">
        <f t="shared" si="10"/>
        <v>-3024814.3461138457</v>
      </c>
      <c r="AA25" s="32"/>
      <c r="AB25" s="32">
        <f t="shared" si="11"/>
        <v>-52806008.318578839</v>
      </c>
      <c r="AC25" s="12"/>
      <c r="AD25" s="32">
        <v>11544217084.2855</v>
      </c>
      <c r="AE25" s="32">
        <v>200.87293846</v>
      </c>
      <c r="AF25" s="32">
        <f t="shared" si="12"/>
        <v>5747024548.3486614</v>
      </c>
      <c r="AG25" s="32"/>
      <c r="AH25" s="32"/>
      <c r="AI25" s="34">
        <f t="shared" si="13"/>
        <v>-9.1884083449325117E-3</v>
      </c>
      <c r="AJ25" s="35">
        <f t="shared" si="4"/>
        <v>2036</v>
      </c>
      <c r="AK25" s="36">
        <f>SUM(AB98:AB101)/AVERAGE(AF98:AF101)</f>
        <v>-3.4270744919457238E-2</v>
      </c>
      <c r="AL25" s="32">
        <v>9122979</v>
      </c>
      <c r="AM25" s="36">
        <f>AL25/AVERAGE(AF98:AF101)</f>
        <v>1.2042929617982342E-3</v>
      </c>
      <c r="AN25" s="36">
        <f>(AF101-AF97)/AF97</f>
        <v>1.1078235878616676E-2</v>
      </c>
      <c r="AO25" s="36"/>
      <c r="AP25" s="32">
        <f t="shared" si="5"/>
        <v>767479088.07387638</v>
      </c>
      <c r="AQ25" s="32">
        <f t="shared" si="8"/>
        <v>361834761.63830793</v>
      </c>
      <c r="AR25" s="37">
        <f>AP25/AF101</f>
        <v>0.10103933176461724</v>
      </c>
      <c r="AS25" s="37">
        <f>AQ25/AF101</f>
        <v>4.7635881020415535E-2</v>
      </c>
      <c r="AT25" s="31"/>
      <c r="AU25" s="31"/>
      <c r="AV25" s="31">
        <v>11181611</v>
      </c>
      <c r="AW25" s="31"/>
      <c r="AX25" s="31">
        <f t="shared" si="14"/>
        <v>3.5103442253563094E-3</v>
      </c>
      <c r="AY25" s="38">
        <v>6722.1339140824002</v>
      </c>
      <c r="AZ25" s="34">
        <f t="shared" si="15"/>
        <v>-1.2492019684916826E-3</v>
      </c>
      <c r="BA25" s="31"/>
      <c r="BB25">
        <v>100</v>
      </c>
      <c r="BE25" s="34">
        <f t="shared" si="6"/>
        <v>1.1420347920146713E-2</v>
      </c>
      <c r="BF25" s="31">
        <f t="shared" si="7"/>
        <v>2036</v>
      </c>
      <c r="BG25" s="34">
        <f>SUM(T98:T101)/AVERAGE(AF98:AF101)</f>
        <v>4.1428078600563016E-2</v>
      </c>
      <c r="BH25" s="34">
        <f>SUM(P98:P101)/AVERAGE(AF98:AF101)</f>
        <v>9.4454036713700583E-3</v>
      </c>
      <c r="BI25" s="34">
        <f>SUM(D98:D101)/AVERAGE(AF98:AF101)</f>
        <v>6.62534198486502E-2</v>
      </c>
      <c r="BJ25" s="34">
        <f>(SUM(H98:H101)+SUM(J98:J101))/AVERAGE(AF98:AF101)</f>
        <v>1.4753133291723777E-2</v>
      </c>
      <c r="BK25" s="36">
        <f t="shared" si="2"/>
        <v>-4.9023878211181017E-2</v>
      </c>
      <c r="BL25" s="15">
        <f t="shared" si="9"/>
        <v>8.1006553140373971E-2</v>
      </c>
    </row>
    <row r="26" spans="1:64" s="23" customFormat="1">
      <c r="A26" s="23">
        <f t="shared" si="16"/>
        <v>2018</v>
      </c>
      <c r="B26" s="23">
        <f t="shared" si="17"/>
        <v>1</v>
      </c>
      <c r="C26" s="24">
        <f>D26*0.081</f>
        <v>8665935.1456223018</v>
      </c>
      <c r="D26" s="24">
        <v>106986853.64965804</v>
      </c>
      <c r="E26" s="24"/>
      <c r="F26" s="52">
        <v>19627256.4592513</v>
      </c>
      <c r="G26" s="53">
        <v>181129.380965877</v>
      </c>
      <c r="H26" s="53">
        <v>996520.4122669989</v>
      </c>
      <c r="I26" s="25">
        <v>5601.9396175020083</v>
      </c>
      <c r="J26" s="24">
        <v>30820.218936096368</v>
      </c>
      <c r="K26" s="24"/>
      <c r="L26" s="52">
        <v>4075268.3892818098</v>
      </c>
      <c r="M26" s="25"/>
      <c r="N26" s="25">
        <v>810490.33981269598</v>
      </c>
      <c r="O26" s="24"/>
      <c r="P26" s="24">
        <v>25605665.761332996</v>
      </c>
      <c r="Q26" s="25"/>
      <c r="R26" s="25">
        <v>18228221.900902398</v>
      </c>
      <c r="S26" s="25"/>
      <c r="T26" s="24">
        <v>69697186.309080452</v>
      </c>
      <c r="U26" s="24"/>
      <c r="V26" s="25">
        <v>93350.920900574594</v>
      </c>
      <c r="W26" s="25"/>
      <c r="X26" s="25">
        <v>234470.59948494038</v>
      </c>
      <c r="Y26" s="24"/>
      <c r="Z26" s="24">
        <f t="shared" si="10"/>
        <v>-6191442.3665428311</v>
      </c>
      <c r="AA26" s="24"/>
      <c r="AB26" s="24">
        <f t="shared" si="11"/>
        <v>-62895333.101910584</v>
      </c>
      <c r="AC26" s="12"/>
      <c r="AD26" s="24"/>
      <c r="AE26" s="24"/>
      <c r="AF26" s="24">
        <f>BB26/100*AF25</f>
        <v>5687221153.9923506</v>
      </c>
      <c r="AG26" s="26">
        <f t="shared" ref="AG26:AG57" si="18">(AF26-AF25)/AF25</f>
        <v>-1.0405975101236453E-2</v>
      </c>
      <c r="AH26" s="26"/>
      <c r="AI26" s="26">
        <f t="shared" si="13"/>
        <v>-1.1059062308093809E-2</v>
      </c>
      <c r="AJ26" s="27">
        <f t="shared" si="4"/>
        <v>2037</v>
      </c>
      <c r="AK26" s="28">
        <f>SUM(AB102:AB105)/AVERAGE(AF102:AF105)</f>
        <v>-3.395249142448175E-2</v>
      </c>
      <c r="AL26" s="24">
        <v>8172054</v>
      </c>
      <c r="AM26" s="28">
        <f>AL26/AVERAGE(AF102:AF105)</f>
        <v>1.0728521908041373E-3</v>
      </c>
      <c r="AN26" s="28">
        <f>(AF105-AF101)/AF101</f>
        <v>2.8712784787538657E-3</v>
      </c>
      <c r="AO26" s="28"/>
      <c r="AP26" s="24">
        <f t="shared" si="5"/>
        <v>769682734.26235652</v>
      </c>
      <c r="AQ26" s="24">
        <f t="shared" si="8"/>
        <v>354690887.12504488</v>
      </c>
      <c r="AR26" s="29">
        <f>AP26/AF105</f>
        <v>0.10103933176461724</v>
      </c>
      <c r="AS26" s="29">
        <f>AQ26/AF105</f>
        <v>4.6561691750120579E-2</v>
      </c>
      <c r="AT26" s="26">
        <f>AVERAGE(AG26:AG29)</f>
        <v>1.6159691389227107E-3</v>
      </c>
      <c r="AV26" s="23">
        <v>11195427</v>
      </c>
      <c r="AX26" s="23">
        <f t="shared" si="14"/>
        <v>1.2356001295341073E-3</v>
      </c>
      <c r="AY26" s="30">
        <v>6643.9742604884004</v>
      </c>
      <c r="AZ26" s="26">
        <f t="shared" si="15"/>
        <v>-1.162720865025625E-2</v>
      </c>
      <c r="BB26" s="23">
        <f>BB25*(1+AX26)*(1+AZ26)</f>
        <v>98.959402489876354</v>
      </c>
      <c r="BD26" s="23">
        <f>AF25*(1+AX26)*(1+AZ26)</f>
        <v>5687221153.9923506</v>
      </c>
      <c r="BE26" s="26">
        <f t="shared" si="6"/>
        <v>1.3365869125974808E-2</v>
      </c>
      <c r="BF26" s="23">
        <f t="shared" si="7"/>
        <v>2037</v>
      </c>
      <c r="BG26" s="26">
        <f>SUM(T102:T105)/AVERAGE(AF102:AF105)</f>
        <v>4.1406686396351471E-2</v>
      </c>
      <c r="BH26" s="26">
        <f>SUM(P102:P105)/AVERAGE(AF102:AF105)</f>
        <v>9.3869560057863143E-3</v>
      </c>
      <c r="BI26" s="26">
        <f>SUM(D102:D105)/AVERAGE(AF102:AF105)</f>
        <v>6.5972221815046903E-2</v>
      </c>
      <c r="BJ26" s="26">
        <f>(SUM(H102:H105)+SUM(J102:J105))/AVERAGE(AF102:AF105)</f>
        <v>1.5845346667818869E-2</v>
      </c>
      <c r="BK26" s="28">
        <f t="shared" si="2"/>
        <v>-4.9797838092300623E-2</v>
      </c>
      <c r="BL26" s="15">
        <f t="shared" si="9"/>
        <v>8.1817568482865768E-2</v>
      </c>
    </row>
    <row r="27" spans="1:64" s="31" customFormat="1">
      <c r="A27" s="31">
        <f t="shared" si="16"/>
        <v>2018</v>
      </c>
      <c r="B27" s="31">
        <f t="shared" si="17"/>
        <v>2</v>
      </c>
      <c r="C27" s="32">
        <f>D27*0.081</f>
        <v>8566029.0756317098</v>
      </c>
      <c r="D27" s="32">
        <v>105753445.37816925</v>
      </c>
      <c r="E27" s="32"/>
      <c r="F27" s="33">
        <v>19433585.1900176</v>
      </c>
      <c r="G27" s="32">
        <v>211644.66520650801</v>
      </c>
      <c r="H27" s="32">
        <v>1164406.5026945206</v>
      </c>
      <c r="I27" s="33">
        <v>6545.7112950469891</v>
      </c>
      <c r="J27" s="32">
        <v>36012.572248286066</v>
      </c>
      <c r="K27" s="32"/>
      <c r="L27" s="33">
        <v>3035742.35236284</v>
      </c>
      <c r="M27" s="33"/>
      <c r="N27" s="33">
        <v>802459.23277335241</v>
      </c>
      <c r="O27" s="32"/>
      <c r="P27" s="32">
        <v>20167375.432690784</v>
      </c>
      <c r="Q27" s="33"/>
      <c r="R27" s="33">
        <v>21082768.712142572</v>
      </c>
      <c r="S27" s="33"/>
      <c r="T27" s="32">
        <v>80611793.450282112</v>
      </c>
      <c r="U27" s="32"/>
      <c r="V27" s="33">
        <v>96330.000568898206</v>
      </c>
      <c r="W27" s="33"/>
      <c r="X27" s="33">
        <v>241953.18871926828</v>
      </c>
      <c r="Y27" s="32"/>
      <c r="Z27" s="32">
        <f t="shared" si="10"/>
        <v>-2092688.0624423251</v>
      </c>
      <c r="AA27" s="32"/>
      <c r="AB27" s="32">
        <f t="shared" si="11"/>
        <v>-45309027.360577926</v>
      </c>
      <c r="AC27" s="12"/>
      <c r="AD27" s="32"/>
      <c r="AE27" s="32"/>
      <c r="AF27" s="32">
        <f>BB27/100*AF25</f>
        <v>5699009265.5698023</v>
      </c>
      <c r="AG27" s="34">
        <f>(AF27-AF26)/AF26</f>
        <v>2.0727366244895568E-3</v>
      </c>
      <c r="AH27" s="34"/>
      <c r="AI27" s="34">
        <f t="shared" si="13"/>
        <v>-7.9503340403935651E-3</v>
      </c>
      <c r="AJ27" s="35">
        <f t="shared" si="4"/>
        <v>2038</v>
      </c>
      <c r="AK27" s="36">
        <f>SUM(AB106:AB109)/AVERAGE(AF106:AF109)</f>
        <v>-3.3903792015650844E-2</v>
      </c>
      <c r="AL27" s="32">
        <v>7273134</v>
      </c>
      <c r="AM27" s="36">
        <f>AL27/AVERAGE(AF106:AF109)</f>
        <v>9.5080998279902635E-4</v>
      </c>
      <c r="AN27" s="36">
        <f>(AF109-AF105)/AF105</f>
        <v>9.4582992804909238E-3</v>
      </c>
      <c r="AO27" s="36"/>
      <c r="AP27" s="32">
        <f t="shared" si="5"/>
        <v>776962623.91403651</v>
      </c>
      <c r="AQ27" s="32">
        <f t="shared" si="8"/>
        <v>350741049.85129184</v>
      </c>
      <c r="AR27" s="37">
        <f>AP27/AF109</f>
        <v>0.10103933176461724</v>
      </c>
      <c r="AS27" s="37">
        <f>AQ27/AF109</f>
        <v>4.5611771028146363E-2</v>
      </c>
      <c r="AV27" s="31">
        <v>11278619</v>
      </c>
      <c r="AX27" s="31">
        <f t="shared" si="14"/>
        <v>7.4308912022739287E-3</v>
      </c>
      <c r="AY27" s="38">
        <v>6608.6374037279002</v>
      </c>
      <c r="AZ27" s="34">
        <f t="shared" si="15"/>
        <v>-5.3186323990819682E-3</v>
      </c>
      <c r="BB27" s="31">
        <f t="shared" ref="BB27:BB90" si="19">BB26*(1+AX27)*(1+AZ27)</f>
        <v>99.164519267754727</v>
      </c>
      <c r="BE27" s="34">
        <f t="shared" si="6"/>
        <v>1.0715783354589349E-2</v>
      </c>
      <c r="BF27" s="31">
        <f t="shared" si="7"/>
        <v>2038</v>
      </c>
      <c r="BG27" s="34">
        <f>SUM(T106:T109)/AVERAGE(AF106:AF109)</f>
        <v>4.1442254964803769E-2</v>
      </c>
      <c r="BH27" s="34">
        <f>SUM(P106:P109)/AVERAGE(AF106:AF109)</f>
        <v>9.3846248835636678E-3</v>
      </c>
      <c r="BI27" s="34">
        <f>SUM(D106:D109)/AVERAGE(AF106:AF109)</f>
        <v>6.5961422096890931E-2</v>
      </c>
      <c r="BJ27" s="34">
        <f>(SUM(H106:H109)+SUM(J106:J109))/AVERAGE(AF106:AF109)</f>
        <v>1.6958532607364143E-2</v>
      </c>
      <c r="BK27" s="36">
        <f t="shared" si="2"/>
        <v>-5.0862324623014987E-2</v>
      </c>
      <c r="BL27" s="15">
        <f t="shared" si="9"/>
        <v>8.2919954704255075E-2</v>
      </c>
    </row>
    <row r="28" spans="1:64">
      <c r="A28" s="31">
        <f t="shared" si="16"/>
        <v>2018</v>
      </c>
      <c r="B28" s="31">
        <f t="shared" si="17"/>
        <v>3</v>
      </c>
      <c r="C28" s="32">
        <f>D28*0.081</f>
        <v>8497868.0866525788</v>
      </c>
      <c r="D28" s="32">
        <v>104911951.68706888</v>
      </c>
      <c r="E28" s="32"/>
      <c r="F28" s="33">
        <v>19305521.287766401</v>
      </c>
      <c r="G28" s="32">
        <v>236532.20226296899</v>
      </c>
      <c r="H28" s="32">
        <v>1301330.3885686018</v>
      </c>
      <c r="I28" s="33">
        <v>7315.4289359679969</v>
      </c>
      <c r="J28" s="32">
        <v>40247.331605213847</v>
      </c>
      <c r="K28" s="32"/>
      <c r="L28" s="33">
        <v>2894836.52334709</v>
      </c>
      <c r="M28" s="33"/>
      <c r="N28" s="33">
        <v>797806.30737803131</v>
      </c>
      <c r="O28" s="32"/>
      <c r="P28" s="32">
        <v>19410615.393399805</v>
      </c>
      <c r="Q28" s="33"/>
      <c r="R28" s="33">
        <v>18683030.741520975</v>
      </c>
      <c r="S28" s="33"/>
      <c r="T28" s="32">
        <v>71436187.330240965</v>
      </c>
      <c r="U28" s="32"/>
      <c r="V28" s="33">
        <v>96581.086778893397</v>
      </c>
      <c r="W28" s="33"/>
      <c r="X28" s="33">
        <v>242583.84488861315</v>
      </c>
      <c r="Y28" s="32"/>
      <c r="Z28" s="32">
        <f t="shared" si="10"/>
        <v>-4218552.2901916541</v>
      </c>
      <c r="AA28" s="32"/>
      <c r="AB28" s="32">
        <f t="shared" si="11"/>
        <v>-52886379.75022772</v>
      </c>
      <c r="AC28" s="12"/>
      <c r="AD28" s="32"/>
      <c r="AE28" s="32"/>
      <c r="AF28" s="32">
        <f>BB28/100*AF25</f>
        <v>5768821815.6217031</v>
      </c>
      <c r="AG28" s="34">
        <f t="shared" si="18"/>
        <v>1.2249944998978839E-2</v>
      </c>
      <c r="AH28" s="34"/>
      <c r="AI28" s="34">
        <f t="shared" si="13"/>
        <v>-9.1676223396281453E-3</v>
      </c>
      <c r="AJ28" s="35">
        <f t="shared" si="4"/>
        <v>2039</v>
      </c>
      <c r="AK28" s="36">
        <f>SUM(AB110:AB113)/AVERAGE(AF110:AF113)</f>
        <v>-3.4405995574158181E-2</v>
      </c>
      <c r="AL28" s="32">
        <v>6456760</v>
      </c>
      <c r="AM28" s="36">
        <f>AL28/AVERAGE(AF110:AF113)</f>
        <v>8.4093533665070158E-4</v>
      </c>
      <c r="AN28" s="36">
        <f>(AF113-AF109)/AF109</f>
        <v>-3.8900015527614917E-5</v>
      </c>
      <c r="AO28" s="36"/>
      <c r="AP28" s="32">
        <f t="shared" si="5"/>
        <v>776932400.05590189</v>
      </c>
      <c r="AQ28" s="32">
        <f t="shared" si="8"/>
        <v>344270761.13851124</v>
      </c>
      <c r="AR28" s="37">
        <f>AP28/AF113</f>
        <v>0.10103933176461724</v>
      </c>
      <c r="AS28" s="37">
        <f>AQ28/AF113</f>
        <v>4.4772090401981553E-2</v>
      </c>
      <c r="AT28" s="32"/>
      <c r="AV28" s="31">
        <v>11305467</v>
      </c>
      <c r="AX28" s="31">
        <f t="shared" si="14"/>
        <v>2.3804332782231584E-3</v>
      </c>
      <c r="AY28" s="38">
        <v>6673.7065353159996</v>
      </c>
      <c r="AZ28" s="34">
        <f>(AY28-AY27)/AY27</f>
        <v>9.8460737990246367E-3</v>
      </c>
      <c r="BA28" s="31"/>
      <c r="BB28" s="31">
        <f t="shared" si="19"/>
        <v>100.3792791746349</v>
      </c>
      <c r="BC28" s="31"/>
      <c r="BE28" s="34">
        <f t="shared" si="6"/>
        <v>1.2545140280797777E-2</v>
      </c>
      <c r="BF28" s="31">
        <f t="shared" si="7"/>
        <v>2039</v>
      </c>
      <c r="BG28" s="34">
        <f>SUM(T110:T113)/AVERAGE(AF110:AF113)</f>
        <v>4.119727428832988E-2</v>
      </c>
      <c r="BH28" s="34">
        <f>SUM(P110:P113)/AVERAGE(AF110:AF113)</f>
        <v>9.3519966030105525E-3</v>
      </c>
      <c r="BI28" s="34">
        <f>SUM(D110:D113)/AVERAGE(AF110:AF113)</f>
        <v>6.6251273259477508E-2</v>
      </c>
      <c r="BJ28" s="34">
        <f>(SUM(H110:H113)+SUM(J110:J113))/AVERAGE(AF110:AF113)</f>
        <v>1.8107150455540566E-2</v>
      </c>
      <c r="BK28" s="36">
        <f t="shared" si="2"/>
        <v>-5.2513146029698747E-2</v>
      </c>
      <c r="BL28" s="15">
        <f t="shared" si="9"/>
        <v>8.4358423715018074E-2</v>
      </c>
    </row>
    <row r="29" spans="1:64">
      <c r="A29" s="31">
        <f t="shared" si="16"/>
        <v>2018</v>
      </c>
      <c r="B29" s="31">
        <f t="shared" si="17"/>
        <v>4</v>
      </c>
      <c r="C29" s="32">
        <f>D29*0.081</f>
        <v>8556321.7562114857</v>
      </c>
      <c r="D29" s="32">
        <v>105633601.92853685</v>
      </c>
      <c r="E29" s="32"/>
      <c r="F29" s="33">
        <v>19450481.208864</v>
      </c>
      <c r="G29" s="32">
        <v>250323.649637475</v>
      </c>
      <c r="H29" s="32">
        <v>1377206.8628883064</v>
      </c>
      <c r="I29" s="33">
        <v>7741.9685454890132</v>
      </c>
      <c r="J29" s="32">
        <v>42594.026687267731</v>
      </c>
      <c r="K29" s="32"/>
      <c r="L29" s="33">
        <v>2965409.9556081202</v>
      </c>
      <c r="M29" s="33"/>
      <c r="N29" s="33">
        <v>805350.19523801282</v>
      </c>
      <c r="O29" s="32"/>
      <c r="P29" s="32">
        <v>19818325.514093127</v>
      </c>
      <c r="Q29" s="33"/>
      <c r="R29" s="33">
        <v>21566169.943939459</v>
      </c>
      <c r="S29" s="33"/>
      <c r="T29" s="32">
        <v>82460119.957264051</v>
      </c>
      <c r="U29" s="32"/>
      <c r="V29" s="33">
        <v>104714.549124775</v>
      </c>
      <c r="W29" s="33"/>
      <c r="X29" s="33">
        <v>263012.75735920575</v>
      </c>
      <c r="Y29" s="32"/>
      <c r="Z29" s="32">
        <f t="shared" si="10"/>
        <v>-1550356.8666458987</v>
      </c>
      <c r="AA29" s="32"/>
      <c r="AB29" s="32">
        <f t="shared" si="11"/>
        <v>-42991807.485365927</v>
      </c>
      <c r="AC29" s="12"/>
      <c r="AD29" s="32"/>
      <c r="AE29" s="37"/>
      <c r="AF29" s="32">
        <f>BB29/100*AF25</f>
        <v>5783515985.6788187</v>
      </c>
      <c r="AG29" s="34">
        <f t="shared" si="18"/>
        <v>2.5471700334588981E-3</v>
      </c>
      <c r="AH29" s="34"/>
      <c r="AI29" s="34">
        <f t="shared" si="13"/>
        <v>-7.4335071592820925E-3</v>
      </c>
      <c r="AJ29" s="35">
        <f t="shared" si="4"/>
        <v>2040</v>
      </c>
      <c r="AK29" s="36">
        <f>SUM(AB114:AB117)/AVERAGE(AF114:AF117)</f>
        <v>-3.3887449456559686E-2</v>
      </c>
      <c r="AL29" s="32">
        <v>5692353</v>
      </c>
      <c r="AM29" s="36">
        <f>AL29/AVERAGE(AF114:AF117)</f>
        <v>7.3568535601577505E-4</v>
      </c>
      <c r="AN29" s="36">
        <f>(AF117-AF113)/AF113</f>
        <v>1.34456010620146E-2</v>
      </c>
      <c r="AO29" s="36"/>
      <c r="AP29" s="32">
        <f t="shared" si="5"/>
        <v>787378723.15920699</v>
      </c>
      <c r="AQ29" s="32">
        <f t="shared" si="8"/>
        <v>343172340.53652257</v>
      </c>
      <c r="AR29" s="37">
        <f>AP29/AF117</f>
        <v>0.10103933176461723</v>
      </c>
      <c r="AS29" s="37">
        <f>AQ29/AF117</f>
        <v>4.4037136066856719E-2</v>
      </c>
      <c r="AV29" s="31">
        <v>11298518</v>
      </c>
      <c r="AX29" s="31">
        <f t="shared" si="14"/>
        <v>-6.1465837722581474E-4</v>
      </c>
      <c r="AY29" s="38">
        <v>6694.8206281980001</v>
      </c>
      <c r="AZ29" s="34">
        <f t="shared" si="15"/>
        <v>3.1637730502935167E-3</v>
      </c>
      <c r="BA29" s="31"/>
      <c r="BB29" s="31">
        <f t="shared" si="19"/>
        <v>100.63496226652872</v>
      </c>
      <c r="BC29" s="54" t="e">
        <f>(BA29-BA25)/BA25</f>
        <v>#DIV/0!</v>
      </c>
      <c r="BE29" s="34">
        <f t="shared" si="6"/>
        <v>1.0711298976036579E-2</v>
      </c>
      <c r="BF29" s="31">
        <f t="shared" si="7"/>
        <v>2040</v>
      </c>
      <c r="BG29" s="34">
        <f>SUM(T114:T117)/AVERAGE(AF114:AF117)</f>
        <v>4.1116736479424397E-2</v>
      </c>
      <c r="BH29" s="34">
        <f>SUM(P114:P117)/AVERAGE(AF114:AF117)</f>
        <v>9.2514929513468538E-3</v>
      </c>
      <c r="BI29" s="34">
        <f>SUM(D114:D117)/AVERAGE(AF114:AF117)</f>
        <v>6.575269298463722E-2</v>
      </c>
      <c r="BJ29" s="34">
        <f>(SUM(H114:H117)+SUM(J114:J117))/AVERAGE(AF114:AF117)</f>
        <v>1.9264723571346235E-2</v>
      </c>
      <c r="BK29" s="36">
        <f t="shared" si="2"/>
        <v>-5.3152173027905925E-2</v>
      </c>
      <c r="BL29" s="15">
        <f t="shared" si="9"/>
        <v>8.5017416555983452E-2</v>
      </c>
    </row>
    <row r="30" spans="1:64" s="23" customFormat="1">
      <c r="A30" s="23">
        <f t="shared" si="16"/>
        <v>2019</v>
      </c>
      <c r="B30" s="23">
        <f t="shared" si="17"/>
        <v>1</v>
      </c>
      <c r="C30" s="24"/>
      <c r="D30" s="24">
        <v>106437091.80163974</v>
      </c>
      <c r="E30" s="24"/>
      <c r="F30" s="52">
        <v>19627027.543553099</v>
      </c>
      <c r="G30" s="53">
        <v>280826.18879970099</v>
      </c>
      <c r="H30" s="53">
        <v>1545022.8336548498</v>
      </c>
      <c r="I30" s="25">
        <v>8685.3460453510052</v>
      </c>
      <c r="J30" s="24">
        <v>47784.211350146841</v>
      </c>
      <c r="K30" s="24"/>
      <c r="L30" s="52">
        <v>3398141.4848152902</v>
      </c>
      <c r="M30" s="25"/>
      <c r="N30" s="25">
        <v>812918.31888595223</v>
      </c>
      <c r="O30" s="24"/>
      <c r="P30" s="24">
        <v>22105409.059621766</v>
      </c>
      <c r="Q30" s="25"/>
      <c r="R30" s="25">
        <v>17513839.864891361</v>
      </c>
      <c r="S30" s="25"/>
      <c r="T30" s="24">
        <v>66965684.677686743</v>
      </c>
      <c r="U30" s="24"/>
      <c r="V30" s="25">
        <v>103680.54153648199</v>
      </c>
      <c r="W30" s="25"/>
      <c r="X30" s="25">
        <v>260415.62841007346</v>
      </c>
      <c r="Y30" s="24"/>
      <c r="Z30" s="24">
        <f t="shared" si="10"/>
        <v>-6220566.9408264998</v>
      </c>
      <c r="AA30" s="24"/>
      <c r="AB30" s="24">
        <f t="shared" si="11"/>
        <v>-61576816.183574758</v>
      </c>
      <c r="AC30" s="12"/>
      <c r="AD30" s="24"/>
      <c r="AE30" s="24"/>
      <c r="AF30" s="24">
        <f>BB30/100*AF25</f>
        <v>5847627995.8639269</v>
      </c>
      <c r="AG30" s="26">
        <f t="shared" si="18"/>
        <v>1.1085300074187185E-2</v>
      </c>
      <c r="AH30" s="26"/>
      <c r="AI30" s="26">
        <f t="shared" si="13"/>
        <v>-1.0530221181499324E-2</v>
      </c>
      <c r="AL30" s="24"/>
      <c r="AQ30" s="39">
        <f>(AQ29-AQ6)/AQ6</f>
        <v>-0.40901186856211441</v>
      </c>
      <c r="AR30" s="29"/>
      <c r="AT30" s="26">
        <f>AVERAGE(AG30:AG33)</f>
        <v>6.2913276047641339E-3</v>
      </c>
      <c r="AV30" s="23">
        <v>11397825</v>
      </c>
      <c r="AX30" s="23">
        <f t="shared" si="14"/>
        <v>8.7893828199415176E-3</v>
      </c>
      <c r="AY30" s="30">
        <v>6710.0574600442997</v>
      </c>
      <c r="AZ30" s="26">
        <f t="shared" si="15"/>
        <v>2.2759133802813672E-3</v>
      </c>
      <c r="BB30" s="23">
        <f t="shared" si="19"/>
        <v>101.75053102120769</v>
      </c>
      <c r="BE30" s="26">
        <f t="shared" si="6"/>
        <v>1.2503899373505972E-2</v>
      </c>
    </row>
    <row r="31" spans="1:64" s="31" customFormat="1">
      <c r="A31" s="31">
        <f t="shared" si="16"/>
        <v>2019</v>
      </c>
      <c r="B31" s="31">
        <f t="shared" si="17"/>
        <v>2</v>
      </c>
      <c r="C31" s="32"/>
      <c r="D31" s="32">
        <v>107418770.09299029</v>
      </c>
      <c r="E31" s="32"/>
      <c r="F31" s="33">
        <v>19826811.7719643</v>
      </c>
      <c r="G31" s="32">
        <v>302178.76741111203</v>
      </c>
      <c r="H31" s="32">
        <v>1662498.4211456249</v>
      </c>
      <c r="I31" s="33">
        <v>9345.735074569995</v>
      </c>
      <c r="J31" s="32">
        <v>51417.476942645553</v>
      </c>
      <c r="K31" s="32"/>
      <c r="L31" s="33">
        <v>2843194.0566224102</v>
      </c>
      <c r="M31" s="33"/>
      <c r="N31" s="33">
        <v>820951.46263393015</v>
      </c>
      <c r="O31" s="32"/>
      <c r="P31" s="32">
        <v>19269980.203360617</v>
      </c>
      <c r="Q31" s="33"/>
      <c r="R31" s="33">
        <v>20482748.847976908</v>
      </c>
      <c r="S31" s="33"/>
      <c r="T31" s="32">
        <v>78317565.494903043</v>
      </c>
      <c r="U31" s="32"/>
      <c r="V31" s="33">
        <v>104031.360943418</v>
      </c>
      <c r="W31" s="33"/>
      <c r="X31" s="33">
        <v>261296.78561625513</v>
      </c>
      <c r="Y31" s="32"/>
      <c r="Z31" s="32">
        <f t="shared" si="10"/>
        <v>-2904177.0823003165</v>
      </c>
      <c r="AA31" s="32"/>
      <c r="AB31" s="32">
        <f t="shared" si="11"/>
        <v>-48371184.801447868</v>
      </c>
      <c r="AC31" s="12"/>
      <c r="AD31" s="32"/>
      <c r="AE31" s="32"/>
      <c r="AF31" s="32">
        <f>BB31/100*AF25</f>
        <v>5870010479.044548</v>
      </c>
      <c r="AG31" s="34">
        <f t="shared" si="18"/>
        <v>3.8276174880571153E-3</v>
      </c>
      <c r="AH31" s="34"/>
      <c r="AI31" s="34">
        <f t="shared" si="13"/>
        <v>-8.2403915587764276E-3</v>
      </c>
      <c r="AQ31" s="31">
        <f>AQ28*(1+AN29)-AL29*((1+AN29)^(11/12)+(1+AN29)^(10/12)+(1+AN29)^(9/12)+(1+AN29)^(8/12)+(1+AN29)^(7/12)+(1+AN29)^(6/12)+(1+AN29)^(5/12)+(1+AN29)^(4/12)+(1+AN29)^(3/12)+(1+AN29)^(2/12)+(1+AN29)^(1/12)+1)/12</f>
        <v>343172340.53652221</v>
      </c>
      <c r="AV31" s="31">
        <v>11395972</v>
      </c>
      <c r="AX31" s="31">
        <f t="shared" si="14"/>
        <v>-1.6257487722438273E-4</v>
      </c>
      <c r="AY31" s="38">
        <v>6736.8362336478003</v>
      </c>
      <c r="AZ31" s="34">
        <f t="shared" si="15"/>
        <v>3.9908411757958138E-3</v>
      </c>
      <c r="BB31" s="31">
        <f t="shared" si="19"/>
        <v>102.13999313316359</v>
      </c>
      <c r="BE31" s="34">
        <f t="shared" si="6"/>
        <v>9.9650282613587427E-3</v>
      </c>
    </row>
    <row r="32" spans="1:64">
      <c r="A32" s="31">
        <f t="shared" si="16"/>
        <v>2019</v>
      </c>
      <c r="B32" s="31">
        <f t="shared" si="17"/>
        <v>3</v>
      </c>
      <c r="C32" s="32">
        <f>SUM(C26:C29)</f>
        <v>34286154.064118072</v>
      </c>
      <c r="D32" s="32">
        <v>108148385.42042035</v>
      </c>
      <c r="E32" s="32"/>
      <c r="F32" s="33">
        <v>19988123.312770899</v>
      </c>
      <c r="G32" s="32">
        <v>330874.08583649801</v>
      </c>
      <c r="H32" s="32">
        <v>1820371.5966343964</v>
      </c>
      <c r="I32" s="33">
        <v>10233.219149581972</v>
      </c>
      <c r="J32" s="32">
        <v>56300.152473226328</v>
      </c>
      <c r="K32" s="32"/>
      <c r="L32" s="33">
        <v>2794154.8343779901</v>
      </c>
      <c r="M32" s="33"/>
      <c r="N32" s="33">
        <v>827874.25420881808</v>
      </c>
      <c r="O32" s="32"/>
      <c r="P32" s="32">
        <v>19053602.602702968</v>
      </c>
      <c r="Q32" s="33"/>
      <c r="R32" s="33">
        <v>17534462.377534091</v>
      </c>
      <c r="S32" s="33"/>
      <c r="T32" s="32">
        <v>67044536.642164446</v>
      </c>
      <c r="U32" s="32"/>
      <c r="V32" s="33">
        <v>106507.442421728</v>
      </c>
      <c r="W32" s="33"/>
      <c r="X32" s="33">
        <v>267515.98841567105</v>
      </c>
      <c r="Y32" s="32"/>
      <c r="Z32" s="32">
        <f t="shared" si="10"/>
        <v>-5969182.5814018883</v>
      </c>
      <c r="AA32" s="32"/>
      <c r="AB32" s="32">
        <f t="shared" si="11"/>
        <v>-60157451.38095887</v>
      </c>
      <c r="AC32" s="12"/>
      <c r="AD32" s="32"/>
      <c r="AE32" s="32"/>
      <c r="AF32" s="32">
        <f>BB32/100*AF25</f>
        <v>5870621202.6947727</v>
      </c>
      <c r="AG32" s="34">
        <f t="shared" si="18"/>
        <v>1.0404132197121599E-4</v>
      </c>
      <c r="AH32" s="34"/>
      <c r="AI32" s="34">
        <f t="shared" si="13"/>
        <v>-1.0247203712163372E-2</v>
      </c>
      <c r="AJ32" s="31"/>
      <c r="AK32" s="31"/>
      <c r="AL32" s="31"/>
      <c r="AM32" s="31"/>
      <c r="AN32" s="31"/>
      <c r="AO32" s="31"/>
      <c r="AP32" s="31"/>
      <c r="AQ32" s="31">
        <f>AQ28*(1+AN29)</f>
        <v>348899688.45009577</v>
      </c>
      <c r="AR32" s="31"/>
      <c r="AS32" s="31"/>
      <c r="AT32" s="32"/>
      <c r="AV32" s="31">
        <v>11393818</v>
      </c>
      <c r="AX32" s="31">
        <f t="shared" si="14"/>
        <v>-1.8901415342192839E-4</v>
      </c>
      <c r="AY32" s="38">
        <v>6738.8108736278</v>
      </c>
      <c r="AZ32" s="34">
        <f t="shared" si="15"/>
        <v>2.9311087749723364E-4</v>
      </c>
      <c r="BA32" s="31"/>
      <c r="BB32" s="31">
        <f t="shared" si="19"/>
        <v>102.15061991307527</v>
      </c>
      <c r="BC32" s="31"/>
      <c r="BE32" s="34">
        <f t="shared" si="6"/>
        <v>1.176880945275998E-2</v>
      </c>
    </row>
    <row r="33" spans="1:57" ht="48" customHeight="1">
      <c r="A33" s="31">
        <f t="shared" si="16"/>
        <v>2019</v>
      </c>
      <c r="B33" s="31">
        <f t="shared" si="17"/>
        <v>4</v>
      </c>
      <c r="C33" s="32"/>
      <c r="D33" s="32">
        <v>108347850.61662191</v>
      </c>
      <c r="E33" s="32"/>
      <c r="F33" s="33">
        <v>20060629.740990501</v>
      </c>
      <c r="G33" s="32">
        <v>367125.35353205202</v>
      </c>
      <c r="H33" s="32">
        <v>2019815.3756421788</v>
      </c>
      <c r="I33" s="33">
        <v>11354.39237727999</v>
      </c>
      <c r="J33" s="32">
        <v>62468.516772438692</v>
      </c>
      <c r="K33" s="32"/>
      <c r="L33" s="33">
        <v>2831622.6966120498</v>
      </c>
      <c r="M33" s="33"/>
      <c r="N33" s="33">
        <v>830677.22956391796</v>
      </c>
      <c r="O33" s="32"/>
      <c r="P33" s="32">
        <v>19263444.661342554</v>
      </c>
      <c r="Q33" s="33"/>
      <c r="R33" s="33">
        <v>20729817.728911169</v>
      </c>
      <c r="S33" s="33"/>
      <c r="T33" s="32">
        <v>79262254.775035113</v>
      </c>
      <c r="U33" s="32"/>
      <c r="V33" s="33">
        <v>104174.10864047099</v>
      </c>
      <c r="W33" s="33"/>
      <c r="X33" s="33">
        <v>261655.32667594921</v>
      </c>
      <c r="Y33" s="32"/>
      <c r="Z33" s="32">
        <f t="shared" si="10"/>
        <v>-2888937.8296148293</v>
      </c>
      <c r="AA33" s="32"/>
      <c r="AB33" s="32">
        <f t="shared" si="11"/>
        <v>-48349040.502929352</v>
      </c>
      <c r="AC33" s="12"/>
      <c r="AD33" s="32"/>
      <c r="AE33" s="32"/>
      <c r="AF33" s="32">
        <f>BB33/100*AF25</f>
        <v>5930198330.3876104</v>
      </c>
      <c r="AG33" s="34">
        <f t="shared" si="18"/>
        <v>1.0148351534841017E-2</v>
      </c>
      <c r="AH33" s="34">
        <f>(AF33-AF29)/AF29</f>
        <v>2.536214044743847E-2</v>
      </c>
      <c r="AI33" s="34">
        <f t="shared" si="13"/>
        <v>-8.1530225144711404E-3</v>
      </c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V33" s="31">
        <v>11468374</v>
      </c>
      <c r="AX33" s="31">
        <f t="shared" si="14"/>
        <v>6.5435484400400284E-3</v>
      </c>
      <c r="AY33" s="38">
        <v>6762.9450368542002</v>
      </c>
      <c r="AZ33" s="34">
        <f t="shared" si="15"/>
        <v>3.581368238252359E-3</v>
      </c>
      <c r="BA33" s="31"/>
      <c r="BB33" s="31">
        <f t="shared" si="19"/>
        <v>103.18728031345509</v>
      </c>
      <c r="BC33" s="54" t="e">
        <f>(BA33-BA29)/BA29</f>
        <v>#DIV/0!</v>
      </c>
      <c r="BE33" s="34">
        <f t="shared" si="6"/>
        <v>9.9695353450680313E-3</v>
      </c>
    </row>
    <row r="34" spans="1:57" s="23" customFormat="1">
      <c r="A34" s="23">
        <f t="shared" si="16"/>
        <v>2020</v>
      </c>
      <c r="B34" s="23">
        <f t="shared" si="17"/>
        <v>1</v>
      </c>
      <c r="C34" s="24"/>
      <c r="D34" s="24">
        <v>110328583.00902781</v>
      </c>
      <c r="E34" s="24"/>
      <c r="F34" s="52">
        <v>20465786.518417601</v>
      </c>
      <c r="G34" s="53">
        <v>412260.57226436102</v>
      </c>
      <c r="H34" s="53">
        <v>2268136.0320648672</v>
      </c>
      <c r="I34" s="25">
        <v>12750.326977247954</v>
      </c>
      <c r="J34" s="24">
        <v>70148.537074169362</v>
      </c>
      <c r="K34" s="24"/>
      <c r="L34" s="52">
        <v>3345979.2063153102</v>
      </c>
      <c r="M34" s="25"/>
      <c r="N34" s="25">
        <v>847197.80911455303</v>
      </c>
      <c r="O34" s="24"/>
      <c r="P34" s="24">
        <v>22023334.389669344</v>
      </c>
      <c r="Q34" s="25"/>
      <c r="R34" s="25">
        <v>16604421.658093119</v>
      </c>
      <c r="S34" s="25"/>
      <c r="T34" s="24">
        <v>63488445.343171671</v>
      </c>
      <c r="U34" s="24"/>
      <c r="V34" s="25">
        <v>106117.094768543</v>
      </c>
      <c r="W34" s="25"/>
      <c r="X34" s="25">
        <v>266535.54765122151</v>
      </c>
      <c r="Y34" s="24"/>
      <c r="Z34" s="24">
        <f t="shared" si="10"/>
        <v>-7948424.7809858024</v>
      </c>
      <c r="AA34" s="24"/>
      <c r="AB34" s="24">
        <f t="shared" si="11"/>
        <v>-68863472.055525482</v>
      </c>
      <c r="AC34" s="12"/>
      <c r="AD34" s="24"/>
      <c r="AE34" s="24"/>
      <c r="AF34" s="24">
        <f>BB34/100*AF25</f>
        <v>5924760070.4787378</v>
      </c>
      <c r="AG34" s="26">
        <f t="shared" si="18"/>
        <v>-9.17045199147184E-4</v>
      </c>
      <c r="AH34" s="26"/>
      <c r="AI34" s="26">
        <f t="shared" si="13"/>
        <v>-1.1622997595911275E-2</v>
      </c>
      <c r="AT34" s="26">
        <f>AVERAGE(AG34:AG37)</f>
        <v>3.1405730242818021E-3</v>
      </c>
      <c r="AV34" s="23">
        <v>11491158</v>
      </c>
      <c r="AX34" s="23">
        <f t="shared" si="14"/>
        <v>1.9866809366349582E-3</v>
      </c>
      <c r="AY34" s="30">
        <v>6743.3462331655001</v>
      </c>
      <c r="AZ34" s="26">
        <f t="shared" si="15"/>
        <v>-2.8979687964189936E-3</v>
      </c>
      <c r="BB34" s="23">
        <f t="shared" si="19"/>
        <v>103.0926529134306</v>
      </c>
      <c r="BE34" s="26">
        <f t="shared" si="6"/>
        <v>1.1690002706609907E-2</v>
      </c>
    </row>
    <row r="35" spans="1:57" s="31" customFormat="1">
      <c r="A35" s="31">
        <f t="shared" si="16"/>
        <v>2020</v>
      </c>
      <c r="B35" s="31">
        <f t="shared" si="17"/>
        <v>2</v>
      </c>
      <c r="C35" s="32"/>
      <c r="D35" s="32">
        <v>110399849.62668981</v>
      </c>
      <c r="E35" s="32"/>
      <c r="F35" s="33">
        <v>20494575.565536201</v>
      </c>
      <c r="G35" s="32">
        <v>428096.06802390399</v>
      </c>
      <c r="H35" s="32">
        <v>2355258.2575072702</v>
      </c>
      <c r="I35" s="33">
        <v>13240.084578059032</v>
      </c>
      <c r="J35" s="32">
        <v>72843.038891978227</v>
      </c>
      <c r="K35" s="32"/>
      <c r="L35" s="33">
        <v>2776809.0548573402</v>
      </c>
      <c r="M35" s="33"/>
      <c r="N35" s="33">
        <v>849136.44736373797</v>
      </c>
      <c r="O35" s="32"/>
      <c r="P35" s="32">
        <v>19080573.583689127</v>
      </c>
      <c r="Q35" s="33"/>
      <c r="R35" s="33">
        <v>19595083.045628313</v>
      </c>
      <c r="S35" s="33"/>
      <c r="T35" s="32">
        <v>74923498.364119068</v>
      </c>
      <c r="U35" s="32"/>
      <c r="V35" s="33">
        <v>106886.51831855001</v>
      </c>
      <c r="W35" s="33"/>
      <c r="X35" s="33">
        <v>268468.11777787423</v>
      </c>
      <c r="Y35" s="32"/>
      <c r="Z35" s="32">
        <f t="shared" si="10"/>
        <v>-4418551.5038104169</v>
      </c>
      <c r="AA35" s="32"/>
      <c r="AB35" s="32">
        <f t="shared" si="11"/>
        <v>-54556924.846259862</v>
      </c>
      <c r="AC35" s="12"/>
      <c r="AD35" s="32"/>
      <c r="AE35" s="32"/>
      <c r="AF35" s="32">
        <f>BB35/100*AF25</f>
        <v>5972312519.9963484</v>
      </c>
      <c r="AG35" s="34">
        <f t="shared" si="18"/>
        <v>8.0260548869396115E-3</v>
      </c>
      <c r="AH35" s="34"/>
      <c r="AI35" s="34">
        <f t="shared" si="13"/>
        <v>-9.1349748800977383E-3</v>
      </c>
      <c r="AV35" s="31">
        <v>11519026</v>
      </c>
      <c r="AX35" s="31">
        <f t="shared" si="14"/>
        <v>2.4251689864502775E-3</v>
      </c>
      <c r="AY35" s="38">
        <v>6781.0235720910996</v>
      </c>
      <c r="AZ35" s="34">
        <f t="shared" si="15"/>
        <v>5.5873356673119884E-3</v>
      </c>
      <c r="BB35" s="31">
        <f t="shared" si="19"/>
        <v>103.920080204154</v>
      </c>
      <c r="BE35" s="34">
        <f t="shared" si="6"/>
        <v>9.4175492446448242E-3</v>
      </c>
    </row>
    <row r="36" spans="1:57">
      <c r="A36" s="31">
        <f t="shared" si="16"/>
        <v>2020</v>
      </c>
      <c r="B36" s="31">
        <f t="shared" si="17"/>
        <v>3</v>
      </c>
      <c r="C36" s="32"/>
      <c r="D36" s="32">
        <v>110854863.17828062</v>
      </c>
      <c r="E36" s="32"/>
      <c r="F36" s="33">
        <v>20582527.161520399</v>
      </c>
      <c r="G36" s="32">
        <v>433343.56490867899</v>
      </c>
      <c r="H36" s="32">
        <v>2384128.4371054159</v>
      </c>
      <c r="I36" s="33">
        <v>13402.378296144016</v>
      </c>
      <c r="J36" s="32">
        <v>73735.931044493569</v>
      </c>
      <c r="K36" s="32"/>
      <c r="L36" s="33">
        <v>2771449.54542328</v>
      </c>
      <c r="M36" s="33"/>
      <c r="N36" s="33">
        <v>854936.70925245807</v>
      </c>
      <c r="O36" s="32"/>
      <c r="P36" s="32">
        <v>19084674.393315561</v>
      </c>
      <c r="Q36" s="33"/>
      <c r="R36" s="33">
        <v>16794096.256586447</v>
      </c>
      <c r="S36" s="33"/>
      <c r="T36" s="32">
        <v>64213682.609930806</v>
      </c>
      <c r="U36" s="32"/>
      <c r="V36" s="33">
        <v>108371.69464879</v>
      </c>
      <c r="W36" s="33"/>
      <c r="X36" s="33">
        <v>272198.45253121969</v>
      </c>
      <c r="Y36" s="32"/>
      <c r="Z36" s="32">
        <f t="shared" si="10"/>
        <v>-7306445.4649608992</v>
      </c>
      <c r="AA36" s="32"/>
      <c r="AB36" s="32">
        <f t="shared" si="11"/>
        <v>-65725854.961665377</v>
      </c>
      <c r="AC36" s="12"/>
      <c r="AD36" s="32"/>
      <c r="AE36" s="32"/>
      <c r="AF36" s="32">
        <f>BB36/100*AF25</f>
        <v>5994948208.7644339</v>
      </c>
      <c r="AG36" s="34">
        <f t="shared" si="18"/>
        <v>3.7901045352695842E-3</v>
      </c>
      <c r="AH36" s="34"/>
      <c r="AI36" s="34">
        <f t="shared" si="13"/>
        <v>-1.0963540079558345E-2</v>
      </c>
      <c r="AJ36" s="31"/>
      <c r="AK36" s="34"/>
      <c r="AL36" s="34"/>
      <c r="AM36" s="34"/>
      <c r="AN36" s="34"/>
      <c r="AO36" s="34"/>
      <c r="AP36" s="34"/>
      <c r="AQ36" s="34"/>
      <c r="AR36" s="34"/>
      <c r="AS36" s="34"/>
      <c r="AT36" s="32"/>
      <c r="AV36" s="31">
        <v>11594810</v>
      </c>
      <c r="AX36" s="31">
        <f t="shared" si="14"/>
        <v>6.5790284699418161E-3</v>
      </c>
      <c r="AY36" s="38">
        <v>6762.2354209306995</v>
      </c>
      <c r="AZ36" s="34">
        <f t="shared" si="15"/>
        <v>-2.7706954504224278E-3</v>
      </c>
      <c r="BA36" s="31"/>
      <c r="BB36" s="31">
        <f t="shared" si="19"/>
        <v>104.31394817144135</v>
      </c>
      <c r="BC36" s="31"/>
      <c r="BE36" s="34">
        <f t="shared" si="6"/>
        <v>1.1100521704798949E-2</v>
      </c>
    </row>
    <row r="37" spans="1:57">
      <c r="A37" s="31">
        <f t="shared" si="16"/>
        <v>2020</v>
      </c>
      <c r="B37" s="31">
        <f t="shared" si="17"/>
        <v>4</v>
      </c>
      <c r="C37" s="32"/>
      <c r="D37" s="32">
        <v>111419835.68556623</v>
      </c>
      <c r="E37" s="32"/>
      <c r="F37" s="33">
        <v>20704005.462044999</v>
      </c>
      <c r="G37" s="32">
        <v>452131.42452742701</v>
      </c>
      <c r="H37" s="32">
        <v>2487493.6974129989</v>
      </c>
      <c r="I37" s="33">
        <v>13983.44611940498</v>
      </c>
      <c r="J37" s="32">
        <v>76932.794765350598</v>
      </c>
      <c r="K37" s="32"/>
      <c r="L37" s="33">
        <v>2767768.3033177499</v>
      </c>
      <c r="M37" s="33"/>
      <c r="N37" s="33">
        <v>861362.08910639584</v>
      </c>
      <c r="O37" s="32"/>
      <c r="P37" s="32">
        <v>19100922.954692896</v>
      </c>
      <c r="Q37" s="33"/>
      <c r="R37" s="33">
        <v>19637295.501123562</v>
      </c>
      <c r="S37" s="33"/>
      <c r="T37" s="32">
        <v>75084901.346330434</v>
      </c>
      <c r="U37" s="32"/>
      <c r="V37" s="33">
        <v>108117.13599348</v>
      </c>
      <c r="W37" s="33"/>
      <c r="X37" s="33">
        <v>271559.07458037772</v>
      </c>
      <c r="Y37" s="32"/>
      <c r="Z37" s="32">
        <f t="shared" si="10"/>
        <v>-4587723.2173521016</v>
      </c>
      <c r="AA37" s="32"/>
      <c r="AB37" s="32">
        <f t="shared" si="11"/>
        <v>-55435857.293928698</v>
      </c>
      <c r="AC37" s="12"/>
      <c r="AD37" s="32"/>
      <c r="AE37" s="32"/>
      <c r="AF37" s="32">
        <f>BB37/100*AF25</f>
        <v>6004918873.9814177</v>
      </c>
      <c r="AG37" s="34">
        <f t="shared" si="18"/>
        <v>1.6631778740651974E-3</v>
      </c>
      <c r="AH37" s="34">
        <f>(AF37-AF33)/AF33</f>
        <v>1.2600007526042274E-2</v>
      </c>
      <c r="AI37" s="34">
        <f t="shared" si="13"/>
        <v>-9.2317412536788001E-3</v>
      </c>
      <c r="AJ37" s="54"/>
      <c r="AV37" s="31">
        <v>11641835</v>
      </c>
      <c r="AX37" s="31">
        <f t="shared" si="14"/>
        <v>4.0556938837290136E-3</v>
      </c>
      <c r="AY37" s="38">
        <v>6746.122015465</v>
      </c>
      <c r="AZ37" s="34">
        <f t="shared" si="15"/>
        <v>-2.3828518918203863E-3</v>
      </c>
      <c r="BA37" s="31"/>
      <c r="BB37" s="31">
        <f t="shared" si="19"/>
        <v>104.48744082199647</v>
      </c>
      <c r="BC37" s="54" t="e">
        <f>(BA37-BA33)/BA33</f>
        <v>#DIV/0!</v>
      </c>
      <c r="BE37" s="34">
        <f t="shared" si="6"/>
        <v>9.3953306974432996E-3</v>
      </c>
    </row>
    <row r="38" spans="1:57" s="23" customFormat="1">
      <c r="A38" s="23">
        <f t="shared" si="16"/>
        <v>2021</v>
      </c>
      <c r="B38" s="23">
        <f t="shared" si="17"/>
        <v>1</v>
      </c>
      <c r="C38" s="24"/>
      <c r="D38" s="24">
        <v>111572612.78277418</v>
      </c>
      <c r="E38" s="24"/>
      <c r="F38" s="52">
        <v>20764829.266726099</v>
      </c>
      <c r="G38" s="53">
        <v>485186.18333410501</v>
      </c>
      <c r="H38" s="53">
        <v>2669351.2276367811</v>
      </c>
      <c r="I38" s="25">
        <v>15005.758247446967</v>
      </c>
      <c r="J38" s="24">
        <v>82557.254462995552</v>
      </c>
      <c r="K38" s="24"/>
      <c r="L38" s="52">
        <v>3269673.2650157898</v>
      </c>
      <c r="M38" s="25"/>
      <c r="N38" s="25">
        <v>864372.03952785581</v>
      </c>
      <c r="O38" s="24"/>
      <c r="P38" s="24">
        <v>21721870.046039756</v>
      </c>
      <c r="Q38" s="25"/>
      <c r="R38" s="25">
        <v>15704596.460818099</v>
      </c>
      <c r="S38" s="25"/>
      <c r="T38" s="24">
        <v>60047885.712011077</v>
      </c>
      <c r="U38" s="24"/>
      <c r="V38" s="25">
        <v>110839.638583861</v>
      </c>
      <c r="W38" s="25"/>
      <c r="X38" s="25">
        <v>278397.21616813802</v>
      </c>
      <c r="Y38" s="24"/>
      <c r="Z38" s="24">
        <f t="shared" si="10"/>
        <v>-9083438.4718677849</v>
      </c>
      <c r="AA38" s="24"/>
      <c r="AB38" s="24">
        <f t="shared" si="11"/>
        <v>-73246597.116802856</v>
      </c>
      <c r="AC38" s="12"/>
      <c r="AD38" s="24"/>
      <c r="AE38" s="24"/>
      <c r="AF38" s="24">
        <f>BB38/100*AF25</f>
        <v>6025862058.5009241</v>
      </c>
      <c r="AG38" s="26">
        <f t="shared" si="18"/>
        <v>3.4876715171375124E-3</v>
      </c>
      <c r="AH38" s="26"/>
      <c r="AI38" s="26">
        <f t="shared" si="13"/>
        <v>-1.2155372360950573E-2</v>
      </c>
      <c r="AT38" s="26">
        <f>AVERAGE(AG38:AG41)</f>
        <v>4.3905500937108377E-3</v>
      </c>
      <c r="AV38" s="23">
        <v>11663401</v>
      </c>
      <c r="AX38" s="23">
        <f t="shared" si="14"/>
        <v>1.8524571083510461E-3</v>
      </c>
      <c r="AY38" s="30">
        <v>6757.1329740596002</v>
      </c>
      <c r="AZ38" s="26">
        <f t="shared" si="15"/>
        <v>1.6321908452527787E-3</v>
      </c>
      <c r="BB38" s="23">
        <f t="shared" si="19"/>
        <v>104.85185869324992</v>
      </c>
      <c r="BE38" s="26">
        <f t="shared" si="6"/>
        <v>1.1085376469691301E-2</v>
      </c>
    </row>
    <row r="39" spans="1:57" s="31" customFormat="1">
      <c r="A39" s="31">
        <f t="shared" si="16"/>
        <v>2021</v>
      </c>
      <c r="B39" s="31">
        <f t="shared" si="17"/>
        <v>2</v>
      </c>
      <c r="C39" s="32"/>
      <c r="D39" s="32">
        <v>111835083.94707748</v>
      </c>
      <c r="E39" s="32"/>
      <c r="F39" s="33">
        <v>20833744.387960602</v>
      </c>
      <c r="G39" s="32">
        <v>506394.06352625001</v>
      </c>
      <c r="H39" s="32">
        <v>2786030.7271176903</v>
      </c>
      <c r="I39" s="33">
        <v>15661.672067821957</v>
      </c>
      <c r="J39" s="32">
        <v>86165.898776834641</v>
      </c>
      <c r="K39" s="32"/>
      <c r="L39" s="33">
        <v>2743070.6466975999</v>
      </c>
      <c r="M39" s="33"/>
      <c r="N39" s="33">
        <v>868046.43672987819</v>
      </c>
      <c r="O39" s="32"/>
      <c r="P39" s="32">
        <v>19009542.005506225</v>
      </c>
      <c r="Q39" s="33"/>
      <c r="R39" s="33">
        <v>18635125.17978004</v>
      </c>
      <c r="S39" s="33"/>
      <c r="T39" s="32">
        <v>71253016.262868032</v>
      </c>
      <c r="U39" s="32"/>
      <c r="V39" s="33">
        <v>107145.192786656</v>
      </c>
      <c r="W39" s="33"/>
      <c r="X39" s="33">
        <v>269117.83346383792</v>
      </c>
      <c r="Y39" s="32"/>
      <c r="Z39" s="32">
        <f t="shared" si="10"/>
        <v>-5702591.098821383</v>
      </c>
      <c r="AA39" s="32"/>
      <c r="AB39" s="32">
        <f t="shared" si="11"/>
        <v>-59591609.689715676</v>
      </c>
      <c r="AC39" s="12"/>
      <c r="AD39" s="32"/>
      <c r="AE39" s="32"/>
      <c r="AF39" s="32">
        <f>BB39/100*AF25</f>
        <v>6054394588.4142103</v>
      </c>
      <c r="AG39" s="34">
        <f t="shared" si="18"/>
        <v>4.7350121254492094E-3</v>
      </c>
      <c r="AH39" s="34"/>
      <c r="AI39" s="34">
        <f t="shared" si="13"/>
        <v>-9.8427033156628357E-3</v>
      </c>
      <c r="AV39" s="31">
        <v>11662781</v>
      </c>
      <c r="AX39" s="31">
        <f t="shared" si="14"/>
        <v>-5.3157736752770485E-5</v>
      </c>
      <c r="AY39" s="38">
        <v>6789.4889944937004</v>
      </c>
      <c r="AZ39" s="34">
        <f t="shared" si="15"/>
        <v>4.7884244040059323E-3</v>
      </c>
      <c r="BB39" s="31">
        <f t="shared" si="19"/>
        <v>105.34833351553836</v>
      </c>
      <c r="BE39" s="34">
        <f t="shared" ref="BE39:BE70" si="20">T46/AF46</f>
        <v>9.4276092012858075E-3</v>
      </c>
    </row>
    <row r="40" spans="1:57">
      <c r="A40" s="31">
        <f t="shared" si="16"/>
        <v>2021</v>
      </c>
      <c r="B40" s="31">
        <f t="shared" si="17"/>
        <v>3</v>
      </c>
      <c r="C40" s="32"/>
      <c r="D40" s="32">
        <v>112075406.52566804</v>
      </c>
      <c r="E40" s="32"/>
      <c r="F40" s="33">
        <v>20918619.508657299</v>
      </c>
      <c r="G40" s="32">
        <v>547587.71081167401</v>
      </c>
      <c r="H40" s="32">
        <v>3012666.0203912072</v>
      </c>
      <c r="I40" s="33">
        <v>16935.702396236942</v>
      </c>
      <c r="J40" s="32">
        <v>93175.237744055761</v>
      </c>
      <c r="K40" s="32"/>
      <c r="L40" s="33">
        <v>2682960.0652120998</v>
      </c>
      <c r="M40" s="33"/>
      <c r="N40" s="33">
        <v>873071.5752116628</v>
      </c>
      <c r="O40" s="32"/>
      <c r="P40" s="32">
        <v>18725274.741695512</v>
      </c>
      <c r="Q40" s="33"/>
      <c r="R40" s="33">
        <v>15911043.076767055</v>
      </c>
      <c r="S40" s="33"/>
      <c r="T40" s="32">
        <v>60837252.241171077</v>
      </c>
      <c r="U40" s="32"/>
      <c r="V40" s="33">
        <v>108370.386629207</v>
      </c>
      <c r="W40" s="33"/>
      <c r="X40" s="33">
        <v>272195.16716313967</v>
      </c>
      <c r="Y40" s="32"/>
      <c r="Z40" s="32">
        <f t="shared" si="10"/>
        <v>-8455237.6856848001</v>
      </c>
      <c r="AA40" s="32"/>
      <c r="AB40" s="32">
        <f t="shared" si="11"/>
        <v>-69963429.026192471</v>
      </c>
      <c r="AC40" s="12"/>
      <c r="AD40" s="32"/>
      <c r="AE40" s="32"/>
      <c r="AF40" s="32">
        <f>BB40/100*AF25</f>
        <v>6102315718.3817501</v>
      </c>
      <c r="AG40" s="34">
        <f t="shared" si="18"/>
        <v>7.9150985730666538E-3</v>
      </c>
      <c r="AH40" s="34"/>
      <c r="AI40" s="34">
        <f t="shared" si="13"/>
        <v>-1.1465062159180747E-2</v>
      </c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2"/>
      <c r="AV40" s="31">
        <v>11720545</v>
      </c>
      <c r="AX40" s="31">
        <f t="shared" si="14"/>
        <v>4.9528495819307593E-3</v>
      </c>
      <c r="AY40" s="38">
        <v>6809.5020298641002</v>
      </c>
      <c r="AZ40" s="34">
        <f t="shared" si="15"/>
        <v>2.9476497254256528E-3</v>
      </c>
      <c r="BA40" s="31"/>
      <c r="BB40" s="31">
        <f t="shared" si="19"/>
        <v>106.18217595982215</v>
      </c>
      <c r="BC40" s="31"/>
      <c r="BE40" s="34">
        <f t="shared" si="20"/>
        <v>1.1104681942846665E-2</v>
      </c>
    </row>
    <row r="41" spans="1:57">
      <c r="A41" s="31">
        <f t="shared" si="16"/>
        <v>2021</v>
      </c>
      <c r="B41" s="31">
        <f t="shared" si="17"/>
        <v>4</v>
      </c>
      <c r="C41" s="32"/>
      <c r="D41" s="32">
        <v>112489952.66028166</v>
      </c>
      <c r="E41" s="32"/>
      <c r="F41" s="33">
        <v>21026018.103951801</v>
      </c>
      <c r="G41" s="32">
        <v>579637.63906427799</v>
      </c>
      <c r="H41" s="32">
        <v>3188995.2693794179</v>
      </c>
      <c r="I41" s="33">
        <v>17926.937290647998</v>
      </c>
      <c r="J41" s="32">
        <v>98628.71967152963</v>
      </c>
      <c r="K41" s="32"/>
      <c r="L41" s="33">
        <v>2734123.2663312401</v>
      </c>
      <c r="M41" s="33"/>
      <c r="N41" s="33">
        <v>878711.01287415251</v>
      </c>
      <c r="O41" s="32"/>
      <c r="P41" s="32">
        <v>19021787.357638262</v>
      </c>
      <c r="Q41" s="33"/>
      <c r="R41" s="33">
        <v>18683426.273900595</v>
      </c>
      <c r="S41" s="33"/>
      <c r="T41" s="32">
        <v>71437699.682575911</v>
      </c>
      <c r="U41" s="32"/>
      <c r="V41" s="33">
        <v>114710.65483144</v>
      </c>
      <c r="W41" s="33"/>
      <c r="X41" s="33">
        <v>288120.09293710411</v>
      </c>
      <c r="Y41" s="32"/>
      <c r="Z41" s="32">
        <f t="shared" si="10"/>
        <v>-5840715.4544251598</v>
      </c>
      <c r="AA41" s="32"/>
      <c r="AB41" s="32">
        <f t="shared" si="11"/>
        <v>-60074040.335344009</v>
      </c>
      <c r="AC41" s="12"/>
      <c r="AD41" s="32"/>
      <c r="AE41" s="32"/>
      <c r="AF41" s="32">
        <f>BB41/100*AF25</f>
        <v>6111007967.7041235</v>
      </c>
      <c r="AG41" s="34">
        <f t="shared" si="18"/>
        <v>1.4244181591899763E-3</v>
      </c>
      <c r="AH41" s="34">
        <f>(AF41-AF37)/AF37</f>
        <v>1.7667031969803449E-2</v>
      </c>
      <c r="AI41" s="34">
        <f t="shared" si="13"/>
        <v>-9.8304634281001502E-3</v>
      </c>
      <c r="AJ41" s="54"/>
      <c r="AK41" s="31"/>
      <c r="AL41" s="31"/>
      <c r="AM41" s="31"/>
      <c r="AN41" s="31"/>
      <c r="AO41" s="31"/>
      <c r="AP41" s="31"/>
      <c r="AQ41" s="31"/>
      <c r="AR41" s="31"/>
      <c r="AS41" s="31"/>
      <c r="AV41" s="31">
        <v>11725050</v>
      </c>
      <c r="AX41" s="31">
        <f t="shared" si="14"/>
        <v>3.8436779177077518E-4</v>
      </c>
      <c r="AY41" s="38">
        <v>6816.5815338189004</v>
      </c>
      <c r="AZ41" s="34">
        <f t="shared" si="15"/>
        <v>1.0396507591527203E-3</v>
      </c>
      <c r="BA41" s="31"/>
      <c r="BB41" s="31">
        <f t="shared" si="19"/>
        <v>106.33342377944163</v>
      </c>
      <c r="BC41" s="54" t="e">
        <f>(BA41-BA37)/BA37</f>
        <v>#DIV/0!</v>
      </c>
      <c r="BE41" s="34">
        <f t="shared" si="20"/>
        <v>9.4665831275566621E-3</v>
      </c>
    </row>
    <row r="42" spans="1:57" s="23" customFormat="1">
      <c r="A42" s="23">
        <f t="shared" si="16"/>
        <v>2022</v>
      </c>
      <c r="B42" s="23">
        <f t="shared" si="17"/>
        <v>1</v>
      </c>
      <c r="C42" s="24"/>
      <c r="D42" s="24">
        <v>112892822.46444643</v>
      </c>
      <c r="E42" s="24"/>
      <c r="F42" s="52">
        <v>21132860.955098499</v>
      </c>
      <c r="G42" s="53">
        <v>613254.13444350497</v>
      </c>
      <c r="H42" s="53">
        <v>3373943.3084862814</v>
      </c>
      <c r="I42" s="25">
        <v>18966.622714746976</v>
      </c>
      <c r="J42" s="24">
        <v>104348.7621181291</v>
      </c>
      <c r="K42" s="24"/>
      <c r="L42" s="52">
        <v>3191007.85101985</v>
      </c>
      <c r="M42" s="25"/>
      <c r="N42" s="25">
        <v>884289.45922435448</v>
      </c>
      <c r="O42" s="24"/>
      <c r="P42" s="24">
        <v>21423254.605436444</v>
      </c>
      <c r="Q42" s="25"/>
      <c r="R42" s="25">
        <v>15042567.000253664</v>
      </c>
      <c r="S42" s="25"/>
      <c r="T42" s="24">
        <v>57516558.690324165</v>
      </c>
      <c r="U42" s="24"/>
      <c r="V42" s="25">
        <v>113783.053866623</v>
      </c>
      <c r="W42" s="25"/>
      <c r="X42" s="25">
        <v>285790.22674826276</v>
      </c>
      <c r="Y42" s="24"/>
      <c r="Z42" s="24">
        <f t="shared" si="10"/>
        <v>-10051808.211222416</v>
      </c>
      <c r="AA42" s="24"/>
      <c r="AB42" s="24">
        <f t="shared" si="11"/>
        <v>-76799518.379558712</v>
      </c>
      <c r="AC42" s="12"/>
      <c r="AD42" s="24"/>
      <c r="AE42" s="24"/>
      <c r="AF42" s="24">
        <f>BB42/100*AF25</f>
        <v>6107380720.417285</v>
      </c>
      <c r="AG42" s="26">
        <f t="shared" si="18"/>
        <v>-5.935595741337694E-4</v>
      </c>
      <c r="AH42" s="26"/>
      <c r="AI42" s="26">
        <f t="shared" si="13"/>
        <v>-1.2574869963946083E-2</v>
      </c>
      <c r="AT42" s="26">
        <f>AVERAGE(AG42:AG45)</f>
        <v>2.2396420028720442E-3</v>
      </c>
      <c r="AV42" s="23">
        <v>11717986</v>
      </c>
      <c r="AX42" s="23">
        <f t="shared" si="14"/>
        <v>-6.024707783762116E-4</v>
      </c>
      <c r="AY42" s="30">
        <v>6816.6423143877</v>
      </c>
      <c r="AZ42" s="26">
        <f t="shared" si="15"/>
        <v>8.9165762190405531E-6</v>
      </c>
      <c r="BB42" s="23">
        <f t="shared" si="19"/>
        <v>106.27030855770691</v>
      </c>
      <c r="BE42" s="26">
        <f t="shared" si="20"/>
        <v>1.1113300938731875E-2</v>
      </c>
    </row>
    <row r="43" spans="1:57" s="31" customFormat="1">
      <c r="A43" s="31">
        <f t="shared" si="16"/>
        <v>2022</v>
      </c>
      <c r="B43" s="31">
        <f t="shared" si="17"/>
        <v>2</v>
      </c>
      <c r="C43" s="32"/>
      <c r="D43" s="32">
        <v>113018193.13274981</v>
      </c>
      <c r="E43" s="32"/>
      <c r="F43" s="33">
        <v>21174589.607011501</v>
      </c>
      <c r="G43" s="32">
        <v>632195.18335155596</v>
      </c>
      <c r="H43" s="32">
        <v>3478151.371065462</v>
      </c>
      <c r="I43" s="33">
        <v>19552.428351078997</v>
      </c>
      <c r="J43" s="32">
        <v>107571.69188862224</v>
      </c>
      <c r="K43" s="32"/>
      <c r="L43" s="33">
        <v>2663551.0560311298</v>
      </c>
      <c r="M43" s="33"/>
      <c r="N43" s="33">
        <v>886897.40923631936</v>
      </c>
      <c r="O43" s="32"/>
      <c r="P43" s="32">
        <v>18700626.960312039</v>
      </c>
      <c r="Q43" s="33"/>
      <c r="R43" s="33">
        <v>17786833.502025519</v>
      </c>
      <c r="S43" s="33"/>
      <c r="T43" s="32">
        <v>68009499.510091811</v>
      </c>
      <c r="U43" s="32"/>
      <c r="V43" s="33">
        <v>114088.423895263</v>
      </c>
      <c r="W43" s="33"/>
      <c r="X43" s="33">
        <v>286557.22821958427</v>
      </c>
      <c r="Y43" s="32"/>
      <c r="Z43" s="32">
        <f t="shared" si="10"/>
        <v>-6824116.1463581696</v>
      </c>
      <c r="AA43" s="32"/>
      <c r="AB43" s="32">
        <f t="shared" si="11"/>
        <v>-63709320.582970038</v>
      </c>
      <c r="AC43" s="12"/>
      <c r="AD43" s="32"/>
      <c r="AE43" s="32"/>
      <c r="AF43" s="32">
        <f>BB43/100*AF25</f>
        <v>6126693980.5802212</v>
      </c>
      <c r="AG43" s="34">
        <f t="shared" si="18"/>
        <v>3.1622820071411299E-3</v>
      </c>
      <c r="AH43" s="34"/>
      <c r="AI43" s="34">
        <f t="shared" si="13"/>
        <v>-1.0398645792479507E-2</v>
      </c>
      <c r="AV43" s="31">
        <v>11695249</v>
      </c>
      <c r="AX43" s="31">
        <f t="shared" si="14"/>
        <v>-1.9403505005040969E-3</v>
      </c>
      <c r="AY43" s="38">
        <v>6851.4927571280996</v>
      </c>
      <c r="AZ43" s="34">
        <f t="shared" si="15"/>
        <v>5.112552651742E-3</v>
      </c>
      <c r="BB43" s="31">
        <f t="shared" si="19"/>
        <v>106.6063652423523</v>
      </c>
      <c r="BE43" s="34">
        <f t="shared" si="20"/>
        <v>9.4498570161402184E-3</v>
      </c>
    </row>
    <row r="44" spans="1:57">
      <c r="A44" s="31">
        <f t="shared" si="16"/>
        <v>2022</v>
      </c>
      <c r="B44" s="31">
        <f t="shared" si="17"/>
        <v>3</v>
      </c>
      <c r="C44" s="32"/>
      <c r="D44" s="32">
        <v>113514643.31438318</v>
      </c>
      <c r="E44" s="32"/>
      <c r="F44" s="33">
        <v>21290649.129251599</v>
      </c>
      <c r="G44" s="32">
        <v>658019.008487285</v>
      </c>
      <c r="H44" s="32">
        <v>3620226.4377020313</v>
      </c>
      <c r="I44" s="33">
        <v>20351.10335527698</v>
      </c>
      <c r="J44" s="32">
        <v>111965.76611449651</v>
      </c>
      <c r="K44" s="32"/>
      <c r="L44" s="33">
        <v>2609402.42006229</v>
      </c>
      <c r="M44" s="33"/>
      <c r="N44" s="33">
        <v>893702.42904762179</v>
      </c>
      <c r="O44" s="32"/>
      <c r="P44" s="32">
        <v>18457088.64205429</v>
      </c>
      <c r="Q44" s="33"/>
      <c r="R44" s="33">
        <v>15082005.288240708</v>
      </c>
      <c r="S44" s="33"/>
      <c r="T44" s="32">
        <v>57667354.40262609</v>
      </c>
      <c r="U44" s="32"/>
      <c r="V44" s="33">
        <v>114186.68073455901</v>
      </c>
      <c r="W44" s="33"/>
      <c r="X44" s="33">
        <v>286804.02107166301</v>
      </c>
      <c r="Y44" s="32"/>
      <c r="Z44" s="32">
        <f t="shared" si="10"/>
        <v>-9597562.0093862433</v>
      </c>
      <c r="AA44" s="32"/>
      <c r="AB44" s="32">
        <f t="shared" si="11"/>
        <v>-74304377.553811371</v>
      </c>
      <c r="AC44" s="12"/>
      <c r="AD44" s="32"/>
      <c r="AE44" s="32"/>
      <c r="AF44" s="32">
        <f>BB44/100*AF25</f>
        <v>6137873828.9987803</v>
      </c>
      <c r="AG44" s="34">
        <f t="shared" si="18"/>
        <v>1.8247766991457113E-3</v>
      </c>
      <c r="AH44" s="34"/>
      <c r="AI44" s="34">
        <f t="shared" si="13"/>
        <v>-1.2105882203501081E-2</v>
      </c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2"/>
      <c r="AV44" s="31">
        <v>11760267</v>
      </c>
      <c r="AX44" s="31">
        <f t="shared" si="14"/>
        <v>5.5593514939271498E-3</v>
      </c>
      <c r="AY44" s="38">
        <v>6826.0468079462999</v>
      </c>
      <c r="AZ44" s="34">
        <f t="shared" si="15"/>
        <v>-3.7139277649131989E-3</v>
      </c>
      <c r="BA44" s="31"/>
      <c r="BB44" s="31">
        <f t="shared" si="19"/>
        <v>106.80089805362717</v>
      </c>
      <c r="BC44" s="31"/>
      <c r="BE44" s="34">
        <f t="shared" si="20"/>
        <v>1.1083376224241217E-2</v>
      </c>
    </row>
    <row r="45" spans="1:57">
      <c r="A45" s="31">
        <f t="shared" si="16"/>
        <v>2022</v>
      </c>
      <c r="B45" s="31">
        <f t="shared" si="17"/>
        <v>4</v>
      </c>
      <c r="C45" s="32"/>
      <c r="D45" s="32">
        <v>114136330.59883849</v>
      </c>
      <c r="E45" s="32"/>
      <c r="F45" s="33">
        <v>21431164.6638803</v>
      </c>
      <c r="G45" s="32">
        <v>685535.52011395502</v>
      </c>
      <c r="H45" s="32">
        <v>3771614.1659885026</v>
      </c>
      <c r="I45" s="33">
        <v>21202.129488060949</v>
      </c>
      <c r="J45" s="32">
        <v>116647.86080377079</v>
      </c>
      <c r="K45" s="32"/>
      <c r="L45" s="33">
        <v>2672231.7343521798</v>
      </c>
      <c r="M45" s="33"/>
      <c r="N45" s="33">
        <v>901398.20414294302</v>
      </c>
      <c r="O45" s="32"/>
      <c r="P45" s="32">
        <v>18825450.136536233</v>
      </c>
      <c r="Q45" s="33"/>
      <c r="R45" s="33">
        <v>17876213.671753921</v>
      </c>
      <c r="S45" s="54">
        <f>SUM(T42:T45)/AVERAGE(AF42:AF45)</f>
        <v>4.1005180999482117E-2</v>
      </c>
      <c r="T45" s="32">
        <v>68351252.335779607</v>
      </c>
      <c r="U45" s="32"/>
      <c r="V45" s="33">
        <v>109984.394139116</v>
      </c>
      <c r="W45" s="33"/>
      <c r="X45" s="33">
        <v>276249.08869675396</v>
      </c>
      <c r="Y45" s="32"/>
      <c r="Z45" s="32">
        <f t="shared" si="10"/>
        <v>-7018596.5364823863</v>
      </c>
      <c r="AA45" s="32"/>
      <c r="AB45" s="32">
        <f t="shared" si="11"/>
        <v>-64610528.399595119</v>
      </c>
      <c r="AC45" s="12"/>
      <c r="AD45" s="32"/>
      <c r="AE45" s="32"/>
      <c r="AF45" s="32">
        <f>BB45/100*AF25</f>
        <v>6165893645.800828</v>
      </c>
      <c r="AG45" s="34">
        <f t="shared" si="18"/>
        <v>4.565068879335105E-3</v>
      </c>
      <c r="AH45" s="34">
        <f>(AF45-AF41)/AF41</f>
        <v>8.9814443683870326E-3</v>
      </c>
      <c r="AI45" s="34">
        <f t="shared" si="13"/>
        <v>-1.0478696537945796E-2</v>
      </c>
      <c r="AJ45" s="54"/>
      <c r="AK45" s="31"/>
      <c r="AL45" s="31"/>
      <c r="AM45" s="31"/>
      <c r="AN45" s="31"/>
      <c r="AO45" s="31"/>
      <c r="AP45" s="31"/>
      <c r="AQ45" s="31"/>
      <c r="AR45" s="31"/>
      <c r="AS45" s="31"/>
      <c r="AV45" s="31">
        <v>11772049</v>
      </c>
      <c r="AX45" s="31">
        <f t="shared" si="14"/>
        <v>1.0018480022604929E-3</v>
      </c>
      <c r="AY45" s="38">
        <v>6850.3451771676</v>
      </c>
      <c r="AZ45" s="34">
        <f t="shared" si="15"/>
        <v>3.5596546441805936E-3</v>
      </c>
      <c r="BA45" s="31"/>
      <c r="BB45" s="31">
        <f t="shared" si="19"/>
        <v>107.28845150961681</v>
      </c>
      <c r="BC45" s="54" t="e">
        <f>(BA45-BA41)/BA41</f>
        <v>#DIV/0!</v>
      </c>
      <c r="BE45" s="34">
        <f t="shared" si="20"/>
        <v>9.4314494298875177E-3</v>
      </c>
    </row>
    <row r="46" spans="1:57" s="23" customFormat="1">
      <c r="A46" s="23">
        <f t="shared" si="16"/>
        <v>2023</v>
      </c>
      <c r="B46" s="23">
        <f t="shared" si="17"/>
        <v>1</v>
      </c>
      <c r="C46" s="24"/>
      <c r="D46" s="24">
        <v>114575600.08446147</v>
      </c>
      <c r="E46" s="24"/>
      <c r="F46" s="52">
        <v>21533682.664396901</v>
      </c>
      <c r="G46" s="53">
        <v>708211.09188684099</v>
      </c>
      <c r="H46" s="53">
        <v>3896368.4715076233</v>
      </c>
      <c r="I46" s="25">
        <v>21903.435831552022</v>
      </c>
      <c r="J46" s="24">
        <v>120506.24138683503</v>
      </c>
      <c r="K46" s="24"/>
      <c r="L46" s="52">
        <v>3201559.8371700598</v>
      </c>
      <c r="M46" s="25"/>
      <c r="N46" s="25">
        <v>907353.18798884749</v>
      </c>
      <c r="O46" s="24"/>
      <c r="P46" s="24">
        <v>21604898.742494028</v>
      </c>
      <c r="Q46" s="25"/>
      <c r="R46" s="25">
        <v>15310879.220914301</v>
      </c>
      <c r="S46" s="25"/>
      <c r="T46" s="24">
        <v>58542473.721096404</v>
      </c>
      <c r="U46" s="24"/>
      <c r="V46" s="25">
        <v>114115.795280284</v>
      </c>
      <c r="W46" s="25"/>
      <c r="X46" s="25">
        <v>286625.97724736773</v>
      </c>
      <c r="Y46" s="24"/>
      <c r="Z46" s="24">
        <f t="shared" ref="Z46:Z77" si="21">R46+V46-N46-L46-F46</f>
        <v>-10217600.673361223</v>
      </c>
      <c r="AA46" s="24"/>
      <c r="AB46" s="24">
        <f t="shared" ref="AB46:AB77" si="22">T46-P46-D46</f>
        <v>-77638025.105859086</v>
      </c>
      <c r="AC46" s="12"/>
      <c r="AD46" s="24"/>
      <c r="AE46" s="24"/>
      <c r="AF46" s="24">
        <f>BB46/100*AF25</f>
        <v>6209683968.774601</v>
      </c>
      <c r="AG46" s="26">
        <f t="shared" si="18"/>
        <v>7.1020237275087649E-3</v>
      </c>
      <c r="AH46" s="26"/>
      <c r="AI46" s="26">
        <f t="shared" ref="AI46:AI77" si="23">AB46/AF46</f>
        <v>-1.2502733713384116E-2</v>
      </c>
      <c r="AT46" s="26">
        <f>AVERAGE(AG46:AG49)</f>
        <v>4.3654411575953901E-3</v>
      </c>
      <c r="AV46" s="23">
        <v>11817916</v>
      </c>
      <c r="AX46" s="23">
        <f t="shared" si="14"/>
        <v>3.896263088949086E-3</v>
      </c>
      <c r="AY46" s="30">
        <v>6872.2205120373001</v>
      </c>
      <c r="AZ46" s="26">
        <f t="shared" si="15"/>
        <v>3.193318629054078E-3</v>
      </c>
      <c r="BB46" s="23">
        <f t="shared" si="19"/>
        <v>108.05041663792579</v>
      </c>
      <c r="BE46" s="26">
        <f t="shared" si="20"/>
        <v>1.1084208878438497E-2</v>
      </c>
    </row>
    <row r="47" spans="1:57" s="31" customFormat="1">
      <c r="A47" s="31">
        <f t="shared" si="16"/>
        <v>2023</v>
      </c>
      <c r="B47" s="31">
        <f t="shared" si="17"/>
        <v>2</v>
      </c>
      <c r="C47" s="32"/>
      <c r="D47" s="32">
        <v>114846163.08722426</v>
      </c>
      <c r="E47" s="32"/>
      <c r="F47" s="33">
        <v>21609754.1330305</v>
      </c>
      <c r="G47" s="32">
        <v>735104.53205315699</v>
      </c>
      <c r="H47" s="32">
        <v>4044328.2444550279</v>
      </c>
      <c r="I47" s="33">
        <v>22735.191712984</v>
      </c>
      <c r="J47" s="32">
        <v>125082.31683881399</v>
      </c>
      <c r="K47" s="32"/>
      <c r="L47" s="33">
        <v>2602901.5260560098</v>
      </c>
      <c r="M47" s="33"/>
      <c r="N47" s="33">
        <v>910778.11734031513</v>
      </c>
      <c r="O47" s="32"/>
      <c r="P47" s="32">
        <v>18517300.870995592</v>
      </c>
      <c r="Q47" s="33"/>
      <c r="R47" s="33">
        <v>18081254.397233043</v>
      </c>
      <c r="S47" s="33"/>
      <c r="T47" s="32">
        <v>69135243.320877284</v>
      </c>
      <c r="U47" s="32"/>
      <c r="V47" s="33">
        <v>113470.24419707801</v>
      </c>
      <c r="W47" s="33"/>
      <c r="X47" s="33">
        <v>285004.53904389596</v>
      </c>
      <c r="Y47" s="32"/>
      <c r="Z47" s="32">
        <f t="shared" si="21"/>
        <v>-6928709.1349967048</v>
      </c>
      <c r="AA47" s="32"/>
      <c r="AB47" s="32">
        <f t="shared" si="22"/>
        <v>-64228220.637342572</v>
      </c>
      <c r="AC47" s="12"/>
      <c r="AD47" s="32"/>
      <c r="AE47" s="32"/>
      <c r="AF47" s="32">
        <f>BB47/100*AF25</f>
        <v>6225774288.4218607</v>
      </c>
      <c r="AG47" s="34">
        <f t="shared" si="18"/>
        <v>2.5911656258466443E-3</v>
      </c>
      <c r="AH47" s="34"/>
      <c r="AI47" s="34">
        <f t="shared" si="23"/>
        <v>-1.0316503243104794E-2</v>
      </c>
      <c r="AV47" s="31">
        <v>11808542</v>
      </c>
      <c r="AX47" s="31">
        <f t="shared" ref="AX47:AX78" si="24">(AV47-AV46)/AV46</f>
        <v>-7.9320245633832565E-4</v>
      </c>
      <c r="AY47" s="38">
        <v>6895.4970988378</v>
      </c>
      <c r="AZ47" s="34">
        <f t="shared" ref="AZ47:AZ78" si="25">(AY47-AY46)/AY46</f>
        <v>3.3870547022943902E-3</v>
      </c>
      <c r="BB47" s="31">
        <f t="shared" si="19"/>
        <v>108.33039316337639</v>
      </c>
      <c r="BE47" s="34">
        <f t="shared" si="20"/>
        <v>9.3979225232310639E-3</v>
      </c>
    </row>
    <row r="48" spans="1:57">
      <c r="A48" s="31">
        <f t="shared" si="16"/>
        <v>2023</v>
      </c>
      <c r="B48" s="31">
        <f t="shared" si="17"/>
        <v>3</v>
      </c>
      <c r="C48" s="32"/>
      <c r="D48" s="32">
        <v>115150713.82944764</v>
      </c>
      <c r="E48" s="32"/>
      <c r="F48" s="33">
        <v>21696043.5995575</v>
      </c>
      <c r="G48" s="32">
        <v>766038.29614539398</v>
      </c>
      <c r="H48" s="32">
        <v>4214516.6875545681</v>
      </c>
      <c r="I48" s="33">
        <v>23691.906066352967</v>
      </c>
      <c r="J48" s="32">
        <v>130345.87693468053</v>
      </c>
      <c r="K48" s="32"/>
      <c r="L48" s="33">
        <v>2572120.5424150899</v>
      </c>
      <c r="M48" s="33"/>
      <c r="N48" s="33">
        <v>915597.68501934782</v>
      </c>
      <c r="O48" s="32"/>
      <c r="P48" s="32">
        <v>18384094.039923899</v>
      </c>
      <c r="Q48" s="33"/>
      <c r="R48" s="33">
        <v>15462694.62126665</v>
      </c>
      <c r="S48" s="33"/>
      <c r="T48" s="32">
        <v>59122953.062442444</v>
      </c>
      <c r="U48" s="32"/>
      <c r="V48" s="33">
        <v>110107.690793929</v>
      </c>
      <c r="W48" s="33"/>
      <c r="X48" s="33">
        <v>276558.77434623224</v>
      </c>
      <c r="Y48" s="32"/>
      <c r="Z48" s="32">
        <f t="shared" si="21"/>
        <v>-9610959.5149313584</v>
      </c>
      <c r="AA48" s="32"/>
      <c r="AB48" s="32">
        <f t="shared" si="22"/>
        <v>-74411854.806929097</v>
      </c>
      <c r="AC48" s="12"/>
      <c r="AD48" s="32"/>
      <c r="AE48" s="32"/>
      <c r="AF48" s="32">
        <f>BB48/100*AF25</f>
        <v>6245437478.9504604</v>
      </c>
      <c r="AG48" s="34">
        <f t="shared" si="18"/>
        <v>3.1583526189132146E-3</v>
      </c>
      <c r="AH48" s="34"/>
      <c r="AI48" s="34">
        <f t="shared" si="23"/>
        <v>-1.1914594463194263E-2</v>
      </c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2"/>
      <c r="AV48" s="31">
        <v>11855572</v>
      </c>
      <c r="AX48" s="31">
        <f t="shared" si="24"/>
        <v>3.9827101432166646E-3</v>
      </c>
      <c r="AY48" s="38">
        <v>6889.8352932510998</v>
      </c>
      <c r="AZ48" s="34">
        <f t="shared" si="25"/>
        <v>-8.2108737130126249E-4</v>
      </c>
      <c r="BA48" s="31"/>
      <c r="BB48" s="31">
        <f t="shared" si="19"/>
        <v>108.67253874433183</v>
      </c>
      <c r="BC48" s="31"/>
      <c r="BE48" s="34">
        <f t="shared" si="20"/>
        <v>1.1051730244643055E-2</v>
      </c>
    </row>
    <row r="49" spans="1:57">
      <c r="A49" s="31">
        <f t="shared" si="16"/>
        <v>2023</v>
      </c>
      <c r="B49" s="31">
        <f t="shared" si="17"/>
        <v>4</v>
      </c>
      <c r="C49" s="32"/>
      <c r="D49" s="32">
        <v>115384119.8271976</v>
      </c>
      <c r="E49" s="32"/>
      <c r="F49" s="33">
        <v>21772012.0184021</v>
      </c>
      <c r="G49" s="32">
        <v>799582.41201962403</v>
      </c>
      <c r="H49" s="32">
        <v>4399066.5159803443</v>
      </c>
      <c r="I49" s="33">
        <v>24729.352949059918</v>
      </c>
      <c r="J49" s="32">
        <v>136053.60358701757</v>
      </c>
      <c r="K49" s="32"/>
      <c r="L49" s="33">
        <v>2656784.3342906502</v>
      </c>
      <c r="M49" s="33"/>
      <c r="N49" s="33">
        <v>919415.85934814066</v>
      </c>
      <c r="O49" s="32"/>
      <c r="P49" s="32">
        <v>18844421.327054378</v>
      </c>
      <c r="Q49" s="33"/>
      <c r="R49" s="33">
        <v>18236126.410469856</v>
      </c>
      <c r="S49" s="33"/>
      <c r="T49" s="32">
        <v>69727409.886508912</v>
      </c>
      <c r="U49" s="32"/>
      <c r="V49" s="33">
        <v>113830.07712334899</v>
      </c>
      <c r="W49" s="33"/>
      <c r="X49" s="33">
        <v>285908.33561197738</v>
      </c>
      <c r="Y49" s="32"/>
      <c r="Z49" s="32">
        <f t="shared" si="21"/>
        <v>-6998255.7244476862</v>
      </c>
      <c r="AA49" s="32"/>
      <c r="AB49" s="32">
        <f t="shared" si="22"/>
        <v>-64501131.267743066</v>
      </c>
      <c r="AC49" s="12"/>
      <c r="AD49" s="32"/>
      <c r="AE49" s="32"/>
      <c r="AF49" s="32">
        <f>BB49/100*AF25</f>
        <v>6274230336.3257456</v>
      </c>
      <c r="AG49" s="34">
        <f t="shared" si="18"/>
        <v>4.6102226581129363E-3</v>
      </c>
      <c r="AH49" s="34">
        <f>(AF49-AF45)/AF45</f>
        <v>1.7570314499131587E-2</v>
      </c>
      <c r="AI49" s="34">
        <f t="shared" si="23"/>
        <v>-1.0280325683024828E-2</v>
      </c>
      <c r="AJ49" s="54"/>
      <c r="AK49" s="31"/>
      <c r="AL49" s="31"/>
      <c r="AM49" s="31"/>
      <c r="AN49" s="31"/>
      <c r="AO49" s="31"/>
      <c r="AP49" s="31"/>
      <c r="AQ49" s="31"/>
      <c r="AR49" s="31"/>
      <c r="AS49" s="31"/>
      <c r="AV49" s="31">
        <v>11894602</v>
      </c>
      <c r="AX49" s="31">
        <f t="shared" si="24"/>
        <v>3.2921228937751804E-3</v>
      </c>
      <c r="AY49" s="38">
        <v>6898.8869842483</v>
      </c>
      <c r="AZ49" s="34">
        <f t="shared" si="25"/>
        <v>1.3137746567130238E-3</v>
      </c>
      <c r="BA49" s="31"/>
      <c r="BB49" s="31">
        <f t="shared" si="19"/>
        <v>109.1735433447656</v>
      </c>
      <c r="BC49" s="54" t="e">
        <f>(BA49-BA45)/BA45</f>
        <v>#DIV/0!</v>
      </c>
      <c r="BE49" s="34">
        <f t="shared" si="20"/>
        <v>9.4490114714923489E-3</v>
      </c>
    </row>
    <row r="50" spans="1:57" s="23" customFormat="1">
      <c r="A50" s="23">
        <f t="shared" ref="A50:A81" si="26">A46+1</f>
        <v>2024</v>
      </c>
      <c r="B50" s="23">
        <f t="shared" ref="B50:B81" si="27">B46</f>
        <v>1</v>
      </c>
      <c r="C50" s="24"/>
      <c r="D50" s="24">
        <v>116030801.02618283</v>
      </c>
      <c r="E50" s="24"/>
      <c r="F50" s="52">
        <v>21917819.113136899</v>
      </c>
      <c r="G50" s="53">
        <v>827847.543927992</v>
      </c>
      <c r="H50" s="53">
        <v>4554572.9321780251</v>
      </c>
      <c r="I50" s="25">
        <v>25603.53228643199</v>
      </c>
      <c r="J50" s="24">
        <v>140863.08037663583</v>
      </c>
      <c r="K50" s="24"/>
      <c r="L50" s="52">
        <v>3128900.2401386099</v>
      </c>
      <c r="M50" s="25"/>
      <c r="N50" s="25">
        <v>926493.70649566874</v>
      </c>
      <c r="O50" s="24"/>
      <c r="P50" s="24">
        <v>21333173.233547211</v>
      </c>
      <c r="Q50" s="25"/>
      <c r="R50" s="25">
        <v>15662099.869760267</v>
      </c>
      <c r="S50" s="25"/>
      <c r="T50" s="24">
        <v>59885396.312849671</v>
      </c>
      <c r="U50" s="24"/>
      <c r="V50" s="25">
        <v>115343.916670904</v>
      </c>
      <c r="W50" s="25"/>
      <c r="X50" s="25">
        <v>289710.66410338331</v>
      </c>
      <c r="Y50" s="24"/>
      <c r="Z50" s="24">
        <f t="shared" si="21"/>
        <v>-10195769.273340005</v>
      </c>
      <c r="AA50" s="24"/>
      <c r="AB50" s="24">
        <f t="shared" si="22"/>
        <v>-77478577.94688037</v>
      </c>
      <c r="AC50" s="12"/>
      <c r="AD50" s="24"/>
      <c r="AE50" s="24"/>
      <c r="AF50" s="24">
        <f>BB50/100*AF25</f>
        <v>6337174859.9546309</v>
      </c>
      <c r="AG50" s="26">
        <f t="shared" si="18"/>
        <v>1.0032230290376339E-2</v>
      </c>
      <c r="AH50" s="26"/>
      <c r="AI50" s="26">
        <f t="shared" si="23"/>
        <v>-1.2226043885340265E-2</v>
      </c>
      <c r="AT50" s="26">
        <f>AVERAGE(AG50:AG53)</f>
        <v>4.6085495112759417E-3</v>
      </c>
      <c r="AV50" s="23">
        <v>11949006</v>
      </c>
      <c r="AX50" s="23">
        <f t="shared" si="24"/>
        <v>4.5738394609588454E-3</v>
      </c>
      <c r="AY50" s="30">
        <v>6936.3723536345997</v>
      </c>
      <c r="AZ50" s="26">
        <f t="shared" si="25"/>
        <v>5.4335386957181861E-3</v>
      </c>
      <c r="BB50" s="23">
        <f t="shared" si="19"/>
        <v>110.26879747321667</v>
      </c>
      <c r="BE50" s="26">
        <f t="shared" si="20"/>
        <v>1.1061431768423372E-2</v>
      </c>
    </row>
    <row r="51" spans="1:57" s="31" customFormat="1">
      <c r="A51" s="31">
        <f t="shared" si="26"/>
        <v>2024</v>
      </c>
      <c r="B51" s="31">
        <f t="shared" si="27"/>
        <v>2</v>
      </c>
      <c r="C51" s="32"/>
      <c r="D51" s="32">
        <v>116624240.08614165</v>
      </c>
      <c r="E51" s="32"/>
      <c r="F51" s="33">
        <v>22055110.415026199</v>
      </c>
      <c r="G51" s="32">
        <v>857274.271998098</v>
      </c>
      <c r="H51" s="32">
        <v>4716470.1077313125</v>
      </c>
      <c r="I51" s="33">
        <v>26513.637278291979</v>
      </c>
      <c r="J51" s="32">
        <v>145870.20951746486</v>
      </c>
      <c r="K51" s="32"/>
      <c r="L51" s="33">
        <v>2639174.34182119</v>
      </c>
      <c r="M51" s="33"/>
      <c r="N51" s="33">
        <v>933696.3335622102</v>
      </c>
      <c r="O51" s="32"/>
      <c r="P51" s="32">
        <v>18831609.948120706</v>
      </c>
      <c r="Q51" s="33"/>
      <c r="R51" s="33">
        <v>18367937.163615953</v>
      </c>
      <c r="S51" s="33"/>
      <c r="T51" s="32">
        <v>70231399.725425065</v>
      </c>
      <c r="U51" s="32"/>
      <c r="V51" s="33">
        <v>117395.864190498</v>
      </c>
      <c r="W51" s="33"/>
      <c r="X51" s="33">
        <v>294864.56467971794</v>
      </c>
      <c r="Y51" s="32"/>
      <c r="Z51" s="32">
        <f t="shared" si="21"/>
        <v>-7142648.0626031496</v>
      </c>
      <c r="AA51" s="32"/>
      <c r="AB51" s="32">
        <f t="shared" si="22"/>
        <v>-65224450.308837287</v>
      </c>
      <c r="AC51" s="12"/>
      <c r="AD51" s="32"/>
      <c r="AE51" s="32"/>
      <c r="AF51" s="32">
        <f>BB51/100*AF25</f>
        <v>6336643122.5006266</v>
      </c>
      <c r="AG51" s="34">
        <f t="shared" si="18"/>
        <v>-8.3907650610116598E-5</v>
      </c>
      <c r="AH51" s="34"/>
      <c r="AI51" s="34">
        <f t="shared" si="23"/>
        <v>-1.0293218198959861E-2</v>
      </c>
      <c r="AV51" s="31">
        <v>11958837</v>
      </c>
      <c r="AX51" s="31">
        <f t="shared" si="24"/>
        <v>8.2274626023285953E-4</v>
      </c>
      <c r="AY51" s="38">
        <v>6930.0886344195997</v>
      </c>
      <c r="AZ51" s="34">
        <f t="shared" si="25"/>
        <v>-9.0590857794815534E-4</v>
      </c>
      <c r="BB51" s="31">
        <f t="shared" si="19"/>
        <v>110.2595450774851</v>
      </c>
      <c r="BE51" s="34">
        <f t="shared" si="20"/>
        <v>9.4460296903520393E-3</v>
      </c>
    </row>
    <row r="52" spans="1:57">
      <c r="A52" s="31">
        <f t="shared" si="26"/>
        <v>2024</v>
      </c>
      <c r="B52" s="31">
        <f t="shared" si="27"/>
        <v>3</v>
      </c>
      <c r="C52" s="32"/>
      <c r="D52" s="32">
        <v>116930392.71255426</v>
      </c>
      <c r="E52" s="32"/>
      <c r="F52" s="33">
        <v>22133745.656601001</v>
      </c>
      <c r="G52" s="32">
        <v>880262.64972488</v>
      </c>
      <c r="H52" s="32">
        <v>4842945.3793160925</v>
      </c>
      <c r="I52" s="33">
        <v>27224.618032727973</v>
      </c>
      <c r="J52" s="32">
        <v>149781.81585513536</v>
      </c>
      <c r="K52" s="32"/>
      <c r="L52" s="33">
        <v>2587379.4369052402</v>
      </c>
      <c r="M52" s="33"/>
      <c r="N52" s="33">
        <v>937565.41601226851</v>
      </c>
      <c r="O52" s="32"/>
      <c r="P52" s="32">
        <v>18584132.490365565</v>
      </c>
      <c r="Q52" s="33"/>
      <c r="R52" s="33">
        <v>15692479.185694883</v>
      </c>
      <c r="S52" s="33"/>
      <c r="T52" s="32">
        <v>60001554.260352626</v>
      </c>
      <c r="U52" s="32"/>
      <c r="V52" s="33">
        <v>114436.628966167</v>
      </c>
      <c r="W52" s="33"/>
      <c r="X52" s="33">
        <v>287431.81896738755</v>
      </c>
      <c r="Y52" s="32"/>
      <c r="Z52" s="32">
        <f t="shared" si="21"/>
        <v>-9851774.6948574595</v>
      </c>
      <c r="AA52" s="32"/>
      <c r="AB52" s="32">
        <f t="shared" si="22"/>
        <v>-75512970.942567199</v>
      </c>
      <c r="AC52" s="12"/>
      <c r="AD52" s="32"/>
      <c r="AE52" s="32"/>
      <c r="AF52" s="32">
        <f>BB52/100*AF25</f>
        <v>6361859299.1881447</v>
      </c>
      <c r="AG52" s="34">
        <f t="shared" si="18"/>
        <v>3.9794219431387315E-3</v>
      </c>
      <c r="AH52" s="34"/>
      <c r="AI52" s="34">
        <f t="shared" si="23"/>
        <v>-1.1869638637277569E-2</v>
      </c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2"/>
      <c r="AV52" s="31">
        <v>11993759</v>
      </c>
      <c r="AX52" s="31">
        <f t="shared" si="24"/>
        <v>2.9201836265516454E-3</v>
      </c>
      <c r="AY52" s="38">
        <v>6937.4078763081998</v>
      </c>
      <c r="AZ52" s="34">
        <f t="shared" si="25"/>
        <v>1.0561541525237808E-3</v>
      </c>
      <c r="BA52" s="31"/>
      <c r="BB52" s="31">
        <f t="shared" si="19"/>
        <v>110.69831433060692</v>
      </c>
      <c r="BC52" s="31"/>
      <c r="BE52" s="34">
        <f t="shared" si="20"/>
        <v>1.1133771660925391E-2</v>
      </c>
    </row>
    <row r="53" spans="1:57">
      <c r="A53" s="31">
        <f t="shared" si="26"/>
        <v>2024</v>
      </c>
      <c r="B53" s="31">
        <f t="shared" si="27"/>
        <v>4</v>
      </c>
      <c r="C53" s="32"/>
      <c r="D53" s="32">
        <v>117149341.0322334</v>
      </c>
      <c r="E53" s="32"/>
      <c r="F53" s="33">
        <v>22271845.976791501</v>
      </c>
      <c r="G53" s="32">
        <v>978566.52107316698</v>
      </c>
      <c r="H53" s="32">
        <v>5383784.2751432247</v>
      </c>
      <c r="I53" s="33">
        <v>30264.94395071303</v>
      </c>
      <c r="J53" s="32">
        <v>166508.7920147198</v>
      </c>
      <c r="K53" s="32"/>
      <c r="L53" s="33">
        <v>2610377.83679268</v>
      </c>
      <c r="M53" s="33"/>
      <c r="N53" s="33">
        <v>942054.2514153868</v>
      </c>
      <c r="O53" s="32"/>
      <c r="P53" s="32">
        <v>18728167.544678681</v>
      </c>
      <c r="Q53" s="33"/>
      <c r="R53" s="33">
        <v>18525526.235136341</v>
      </c>
      <c r="S53" s="33"/>
      <c r="T53" s="32">
        <v>70833955.198896006</v>
      </c>
      <c r="U53" s="32"/>
      <c r="V53" s="33">
        <v>119088.043960657</v>
      </c>
      <c r="W53" s="33"/>
      <c r="X53" s="33">
        <v>299114.83239339216</v>
      </c>
      <c r="Y53" s="32"/>
      <c r="Z53" s="32">
        <f t="shared" si="21"/>
        <v>-7179663.7859025691</v>
      </c>
      <c r="AA53" s="32"/>
      <c r="AB53" s="32">
        <f t="shared" si="22"/>
        <v>-65043553.378016077</v>
      </c>
      <c r="AC53" s="12"/>
      <c r="AD53" s="32"/>
      <c r="AE53" s="32"/>
      <c r="AF53" s="32">
        <f>BB53/100*AF25</f>
        <v>6390528722.0529928</v>
      </c>
      <c r="AG53" s="34">
        <f t="shared" si="18"/>
        <v>4.5064534621988145E-3</v>
      </c>
      <c r="AH53" s="34">
        <f>(AF53-AF49)/AF49</f>
        <v>1.8535880816156453E-2</v>
      </c>
      <c r="AI53" s="34">
        <f t="shared" si="23"/>
        <v>-1.0178117681179981E-2</v>
      </c>
      <c r="AJ53" s="54"/>
      <c r="AK53" s="31"/>
      <c r="AL53" s="31"/>
      <c r="AM53" s="31"/>
      <c r="AN53" s="31"/>
      <c r="AO53" s="31"/>
      <c r="AP53" s="31"/>
      <c r="AQ53" s="31"/>
      <c r="AR53" s="31"/>
      <c r="AS53" s="31"/>
      <c r="AV53" s="31">
        <v>12035845</v>
      </c>
      <c r="AX53" s="31">
        <f t="shared" si="24"/>
        <v>3.5089916347326973E-3</v>
      </c>
      <c r="AY53" s="38">
        <v>6944.3034792334001</v>
      </c>
      <c r="AZ53" s="34">
        <f t="shared" si="25"/>
        <v>9.9397398108152157E-4</v>
      </c>
      <c r="BA53" s="31"/>
      <c r="BB53" s="31">
        <f t="shared" si="19"/>
        <v>111.19717113248167</v>
      </c>
      <c r="BC53" s="54" t="e">
        <f>(BA53-BA49)/BA49</f>
        <v>#DIV/0!</v>
      </c>
      <c r="BE53" s="34">
        <f t="shared" si="20"/>
        <v>9.4708275484720588E-3</v>
      </c>
    </row>
    <row r="54" spans="1:57" s="23" customFormat="1">
      <c r="A54" s="23">
        <f t="shared" si="26"/>
        <v>2025</v>
      </c>
      <c r="B54" s="23">
        <f t="shared" si="27"/>
        <v>1</v>
      </c>
      <c r="C54" s="24"/>
      <c r="D54" s="24">
        <v>117563999.74545743</v>
      </c>
      <c r="E54" s="24"/>
      <c r="F54" s="52">
        <v>22433567.5969171</v>
      </c>
      <c r="G54" s="53">
        <v>1064919.0116618101</v>
      </c>
      <c r="H54" s="53">
        <v>5858870.2002582019</v>
      </c>
      <c r="I54" s="25">
        <v>32935.639535939787</v>
      </c>
      <c r="J54" s="24">
        <v>181202.17114204759</v>
      </c>
      <c r="K54" s="24"/>
      <c r="L54" s="52">
        <v>3170209.9745406299</v>
      </c>
      <c r="M54" s="25"/>
      <c r="N54" s="25">
        <v>948237.33026175946</v>
      </c>
      <c r="O54" s="24"/>
      <c r="P54" s="24">
        <v>21667156.644292358</v>
      </c>
      <c r="Q54" s="25"/>
      <c r="R54" s="25">
        <v>15778328.075055322</v>
      </c>
      <c r="S54" s="25"/>
      <c r="T54" s="24">
        <v>60329804.929491445</v>
      </c>
      <c r="U54" s="24"/>
      <c r="V54" s="25">
        <v>119524.24742911301</v>
      </c>
      <c r="W54" s="25"/>
      <c r="X54" s="25">
        <v>300210.44974520407</v>
      </c>
      <c r="Y54" s="24"/>
      <c r="Z54" s="24">
        <f t="shared" si="21"/>
        <v>-10654162.579235055</v>
      </c>
      <c r="AA54" s="24"/>
      <c r="AB54" s="24">
        <f t="shared" si="22"/>
        <v>-78901351.460258335</v>
      </c>
      <c r="AC54" s="12"/>
      <c r="AD54" s="24"/>
      <c r="AE54" s="24"/>
      <c r="AF54" s="24">
        <f>BB54/100*AF25</f>
        <v>6419483112.3963861</v>
      </c>
      <c r="AG54" s="26">
        <f t="shared" si="18"/>
        <v>4.5308286063209437E-3</v>
      </c>
      <c r="AH54" s="26"/>
      <c r="AI54" s="26">
        <f t="shared" si="23"/>
        <v>-1.2290919701602664E-2</v>
      </c>
      <c r="AT54" s="26">
        <f>AVERAGE(AG54:AG57)</f>
        <v>3.2814317566832178E-3</v>
      </c>
      <c r="AV54" s="23">
        <v>12057642</v>
      </c>
      <c r="AX54" s="23">
        <f t="shared" si="24"/>
        <v>1.8110070377277208E-3</v>
      </c>
      <c r="AY54" s="30">
        <v>6963.1566024761996</v>
      </c>
      <c r="AZ54" s="26">
        <f t="shared" si="25"/>
        <v>2.7149048567907245E-3</v>
      </c>
      <c r="BB54" s="23">
        <f t="shared" si="19"/>
        <v>111.70098645639068</v>
      </c>
      <c r="BE54" s="26">
        <f t="shared" si="20"/>
        <v>1.1180083817228936E-2</v>
      </c>
    </row>
    <row r="55" spans="1:57" s="31" customFormat="1">
      <c r="A55" s="31">
        <f t="shared" si="26"/>
        <v>2025</v>
      </c>
      <c r="B55" s="31">
        <f t="shared" si="27"/>
        <v>2</v>
      </c>
      <c r="C55" s="32"/>
      <c r="D55" s="32">
        <v>117724971.59028961</v>
      </c>
      <c r="E55" s="32"/>
      <c r="F55" s="33">
        <v>22549208.261513099</v>
      </c>
      <c r="G55" s="32">
        <v>1151301.13799961</v>
      </c>
      <c r="H55" s="32">
        <v>6334119.1725210799</v>
      </c>
      <c r="I55" s="33">
        <v>35607.251690709963</v>
      </c>
      <c r="J55" s="32">
        <v>195900.59296457155</v>
      </c>
      <c r="K55" s="32"/>
      <c r="L55" s="33">
        <v>2545583.7325554001</v>
      </c>
      <c r="M55" s="33"/>
      <c r="N55" s="33">
        <v>952015.49256438762</v>
      </c>
      <c r="O55" s="32"/>
      <c r="P55" s="32">
        <v>18446754.439533733</v>
      </c>
      <c r="Q55" s="33"/>
      <c r="R55" s="33">
        <v>18777407.386096817</v>
      </c>
      <c r="S55" s="33"/>
      <c r="T55" s="32">
        <v>71797044.610560924</v>
      </c>
      <c r="U55" s="32"/>
      <c r="V55" s="33">
        <v>119395.266551975</v>
      </c>
      <c r="W55" s="33"/>
      <c r="X55" s="33">
        <v>299886.48696805211</v>
      </c>
      <c r="Y55" s="32"/>
      <c r="Z55" s="32">
        <f t="shared" si="21"/>
        <v>-7150004.8339840956</v>
      </c>
      <c r="AA55" s="32"/>
      <c r="AB55" s="32">
        <f t="shared" si="22"/>
        <v>-64374681.419262417</v>
      </c>
      <c r="AC55" s="12"/>
      <c r="AD55" s="32"/>
      <c r="AE55" s="32"/>
      <c r="AF55" s="32">
        <f>BB55/100*AF25</f>
        <v>6496452864.9585943</v>
      </c>
      <c r="AG55" s="34">
        <f t="shared" si="18"/>
        <v>1.1990023373311041E-2</v>
      </c>
      <c r="AH55" s="34"/>
      <c r="AI55" s="34">
        <f t="shared" si="23"/>
        <v>-9.9092047240879524E-3</v>
      </c>
      <c r="AV55" s="31">
        <v>12218382</v>
      </c>
      <c r="AX55" s="31">
        <f t="shared" si="24"/>
        <v>1.3330964711010661E-2</v>
      </c>
      <c r="AY55" s="38">
        <v>6953.9422541001004</v>
      </c>
      <c r="AZ55" s="34">
        <f t="shared" si="25"/>
        <v>-1.3233004658867601E-3</v>
      </c>
      <c r="BB55" s="31">
        <f t="shared" si="19"/>
        <v>113.04028389482471</v>
      </c>
      <c r="BE55" s="34">
        <f t="shared" si="20"/>
        <v>9.4377649279760931E-3</v>
      </c>
    </row>
    <row r="56" spans="1:57">
      <c r="A56" s="31">
        <f t="shared" si="26"/>
        <v>2025</v>
      </c>
      <c r="B56" s="31">
        <f t="shared" si="27"/>
        <v>3</v>
      </c>
      <c r="C56" s="32"/>
      <c r="D56" s="32">
        <v>118013223.59207383</v>
      </c>
      <c r="E56" s="32"/>
      <c r="F56" s="33">
        <v>22705440.448371898</v>
      </c>
      <c r="G56" s="32">
        <v>1255140.11143032</v>
      </c>
      <c r="H56" s="32">
        <v>6905410.5668865647</v>
      </c>
      <c r="I56" s="33">
        <v>38818.766332900152</v>
      </c>
      <c r="J56" s="32">
        <v>213569.39897589327</v>
      </c>
      <c r="K56" s="32"/>
      <c r="L56" s="33">
        <v>2580339.0357126798</v>
      </c>
      <c r="M56" s="33"/>
      <c r="N56" s="33">
        <v>957206.84252630174</v>
      </c>
      <c r="O56" s="32"/>
      <c r="P56" s="32">
        <v>18655661.148631204</v>
      </c>
      <c r="Q56" s="33"/>
      <c r="R56" s="33">
        <v>16002745.977567017</v>
      </c>
      <c r="S56" s="33"/>
      <c r="T56" s="32">
        <v>61187886.230426036</v>
      </c>
      <c r="U56" s="32"/>
      <c r="V56" s="33">
        <v>114325.49112812</v>
      </c>
      <c r="W56" s="33"/>
      <c r="X56" s="33">
        <v>287152.67276014126</v>
      </c>
      <c r="Y56" s="32"/>
      <c r="Z56" s="32">
        <f t="shared" si="21"/>
        <v>-10125914.857915742</v>
      </c>
      <c r="AA56" s="32"/>
      <c r="AB56" s="32">
        <f t="shared" si="22"/>
        <v>-75480998.510279</v>
      </c>
      <c r="AC56" s="12"/>
      <c r="AD56" s="32"/>
      <c r="AE56" s="32"/>
      <c r="AF56" s="32">
        <f>BB56/100*AF25</f>
        <v>6475585982.1982203</v>
      </c>
      <c r="AG56" s="34">
        <f t="shared" si="18"/>
        <v>-3.2120425090634542E-3</v>
      </c>
      <c r="AH56" s="34"/>
      <c r="AI56" s="34">
        <f t="shared" si="23"/>
        <v>-1.1656242186850867E-2</v>
      </c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2"/>
      <c r="AV56" s="31">
        <v>12159137</v>
      </c>
      <c r="AX56" s="31">
        <f t="shared" si="24"/>
        <v>-4.8488416878765123E-3</v>
      </c>
      <c r="AY56" s="38">
        <v>6965.3799205047999</v>
      </c>
      <c r="AZ56" s="34">
        <f t="shared" si="25"/>
        <v>1.6447744296346069E-3</v>
      </c>
      <c r="BA56" s="31"/>
      <c r="BB56" s="31">
        <f t="shared" si="19"/>
        <v>112.67719369771794</v>
      </c>
      <c r="BC56" s="31"/>
      <c r="BE56" s="34">
        <f t="shared" si="20"/>
        <v>1.1161534883672412E-2</v>
      </c>
    </row>
    <row r="57" spans="1:57">
      <c r="A57" s="31">
        <f t="shared" si="26"/>
        <v>2025</v>
      </c>
      <c r="B57" s="31">
        <f t="shared" si="27"/>
        <v>4</v>
      </c>
      <c r="C57" s="32"/>
      <c r="D57" s="32">
        <v>118788576.02101842</v>
      </c>
      <c r="E57" s="32"/>
      <c r="F57" s="33">
        <v>22907662.840092201</v>
      </c>
      <c r="G57" s="32">
        <v>1316433.02116878</v>
      </c>
      <c r="H57" s="32">
        <v>7242626.071935528</v>
      </c>
      <c r="I57" s="33">
        <v>40714.423335119849</v>
      </c>
      <c r="J57" s="32">
        <v>223998.74449286755</v>
      </c>
      <c r="K57" s="32"/>
      <c r="L57" s="33">
        <v>2574348.88077045</v>
      </c>
      <c r="M57" s="33"/>
      <c r="N57" s="33">
        <v>966335.94788447767</v>
      </c>
      <c r="O57" s="32"/>
      <c r="P57" s="32">
        <v>18674803.850319117</v>
      </c>
      <c r="Q57" s="33"/>
      <c r="R57" s="33">
        <v>18730094.174171027</v>
      </c>
      <c r="S57" s="33"/>
      <c r="T57" s="32">
        <v>71616138.444046155</v>
      </c>
      <c r="U57" s="32"/>
      <c r="V57" s="33">
        <v>122138.305882535</v>
      </c>
      <c r="W57" s="33"/>
      <c r="X57" s="33">
        <v>306776.21092623554</v>
      </c>
      <c r="Y57" s="32"/>
      <c r="Z57" s="32">
        <f t="shared" si="21"/>
        <v>-7596115.1886935662</v>
      </c>
      <c r="AA57" s="32"/>
      <c r="AB57" s="32">
        <f t="shared" si="22"/>
        <v>-65847241.427291378</v>
      </c>
      <c r="AC57" s="12"/>
      <c r="AD57" s="32"/>
      <c r="AE57" s="32"/>
      <c r="AF57" s="32">
        <f>BB57/100*AF25</f>
        <v>6474400416.0913315</v>
      </c>
      <c r="AG57" s="34">
        <f t="shared" si="18"/>
        <v>-1.8308244383565664E-4</v>
      </c>
      <c r="AH57" s="34">
        <f>(AF57-AF53)/AF53</f>
        <v>1.3124374787473674E-2</v>
      </c>
      <c r="AI57" s="34">
        <f t="shared" si="23"/>
        <v>-1.0170399912806768E-2</v>
      </c>
      <c r="AJ57" s="54"/>
      <c r="AK57" s="31"/>
      <c r="AL57" s="31"/>
      <c r="AM57" s="31"/>
      <c r="AN57" s="31"/>
      <c r="AO57" s="31"/>
      <c r="AP57" s="31"/>
      <c r="AQ57" s="31"/>
      <c r="AR57" s="31"/>
      <c r="AS57" s="31"/>
      <c r="AV57" s="31">
        <v>12122064</v>
      </c>
      <c r="AX57" s="31">
        <f t="shared" si="24"/>
        <v>-3.0489828348837585E-3</v>
      </c>
      <c r="AY57" s="38">
        <v>6985.4030557384003</v>
      </c>
      <c r="AZ57" s="34">
        <f t="shared" si="25"/>
        <v>2.8746651958863017E-3</v>
      </c>
      <c r="BA57" s="31"/>
      <c r="BB57" s="31">
        <f t="shared" si="19"/>
        <v>112.65656448173119</v>
      </c>
      <c r="BC57" s="54" t="e">
        <f>(BA57-BA53)/BA53</f>
        <v>#DIV/0!</v>
      </c>
      <c r="BE57" s="34">
        <f t="shared" si="20"/>
        <v>9.4447646389846061E-3</v>
      </c>
    </row>
    <row r="58" spans="1:57" s="23" customFormat="1">
      <c r="A58" s="23">
        <f t="shared" si="26"/>
        <v>2026</v>
      </c>
      <c r="B58" s="23">
        <f t="shared" si="27"/>
        <v>1</v>
      </c>
      <c r="C58" s="24"/>
      <c r="D58" s="24">
        <v>119338904.88696092</v>
      </c>
      <c r="E58" s="24"/>
      <c r="F58" s="52">
        <v>23060778.178761899</v>
      </c>
      <c r="G58" s="53">
        <v>1369519.57408681</v>
      </c>
      <c r="H58" s="53">
        <v>7534692.6230251892</v>
      </c>
      <c r="I58" s="25">
        <v>42356.275487219915</v>
      </c>
      <c r="J58" s="24">
        <v>233031.73060902089</v>
      </c>
      <c r="K58" s="24"/>
      <c r="L58" s="52">
        <v>3076709.83892811</v>
      </c>
      <c r="M58" s="25"/>
      <c r="N58" s="25">
        <v>972805.87690728158</v>
      </c>
      <c r="O58" s="24"/>
      <c r="P58" s="24">
        <v>21317152.89086853</v>
      </c>
      <c r="Q58" s="25"/>
      <c r="R58" s="25">
        <v>16097320.030200105</v>
      </c>
      <c r="S58" s="25"/>
      <c r="T58" s="24">
        <v>61549498.317562565</v>
      </c>
      <c r="U58" s="24"/>
      <c r="V58" s="25">
        <v>119379.93276970601</v>
      </c>
      <c r="W58" s="25"/>
      <c r="X58" s="25">
        <v>299847.9729278445</v>
      </c>
      <c r="Y58" s="24"/>
      <c r="Z58" s="24">
        <f t="shared" si="21"/>
        <v>-10893593.931627478</v>
      </c>
      <c r="AA58" s="24"/>
      <c r="AB58" s="24">
        <f t="shared" si="22"/>
        <v>-79106559.460266888</v>
      </c>
      <c r="AC58" s="12"/>
      <c r="AD58" s="24"/>
      <c r="AE58" s="24"/>
      <c r="AF58" s="24">
        <f>BB58/100*AF25</f>
        <v>6515912011.2048588</v>
      </c>
      <c r="AG58" s="26">
        <f t="shared" ref="AG58:AG89" si="28">(AF58-AF57)/AF57</f>
        <v>6.4116508781809816E-3</v>
      </c>
      <c r="AH58" s="26"/>
      <c r="AI58" s="26">
        <f t="shared" si="23"/>
        <v>-1.2140519903312703E-2</v>
      </c>
      <c r="AT58" s="26">
        <f>AVERAGE(AG58:AG61)</f>
        <v>8.3027453737884831E-3</v>
      </c>
      <c r="AV58" s="23">
        <v>12138162</v>
      </c>
      <c r="AX58" s="23">
        <f t="shared" si="24"/>
        <v>1.3279916687455205E-3</v>
      </c>
      <c r="AY58" s="30">
        <v>7020.8673680030997</v>
      </c>
      <c r="AZ58" s="26">
        <f t="shared" si="25"/>
        <v>5.0769171058162518E-3</v>
      </c>
      <c r="BB58" s="23">
        <f t="shared" si="19"/>
        <v>113.37887904232335</v>
      </c>
      <c r="BE58" s="26">
        <f t="shared" si="20"/>
        <v>1.1104101620008702E-2</v>
      </c>
    </row>
    <row r="59" spans="1:57" s="31" customFormat="1">
      <c r="A59" s="31">
        <f t="shared" si="26"/>
        <v>2026</v>
      </c>
      <c r="B59" s="31">
        <f t="shared" si="27"/>
        <v>2</v>
      </c>
      <c r="C59" s="32"/>
      <c r="D59" s="32">
        <v>119576862.97039928</v>
      </c>
      <c r="E59" s="32"/>
      <c r="F59" s="33">
        <v>23190011.805477299</v>
      </c>
      <c r="G59" s="32">
        <v>1455501.50237391</v>
      </c>
      <c r="H59" s="32">
        <v>8007739.8236906305</v>
      </c>
      <c r="I59" s="33">
        <v>45015.510382700013</v>
      </c>
      <c r="J59" s="32">
        <v>247662.05640281271</v>
      </c>
      <c r="K59" s="32"/>
      <c r="L59" s="33">
        <v>2543546.76859714</v>
      </c>
      <c r="M59" s="33"/>
      <c r="N59" s="33">
        <v>977447.05410270393</v>
      </c>
      <c r="O59" s="32"/>
      <c r="P59" s="32">
        <v>18576101.571931079</v>
      </c>
      <c r="Q59" s="33"/>
      <c r="R59" s="33">
        <v>19153211.933257863</v>
      </c>
      <c r="S59" s="33"/>
      <c r="T59" s="32">
        <v>73233965.868250161</v>
      </c>
      <c r="U59" s="32"/>
      <c r="V59" s="33">
        <v>118524.02666076701</v>
      </c>
      <c r="W59" s="33"/>
      <c r="X59" s="33">
        <v>297698.18354676821</v>
      </c>
      <c r="Y59" s="32"/>
      <c r="Z59" s="32">
        <f t="shared" si="21"/>
        <v>-7439269.6682585143</v>
      </c>
      <c r="AA59" s="32"/>
      <c r="AB59" s="32">
        <f t="shared" si="22"/>
        <v>-64918998.674080193</v>
      </c>
      <c r="AC59" s="12"/>
      <c r="AD59" s="32"/>
      <c r="AE59" s="32"/>
      <c r="AF59" s="32">
        <f>BB59/100*AF25</f>
        <v>6577642159.2396183</v>
      </c>
      <c r="AG59" s="34">
        <f t="shared" si="28"/>
        <v>9.4737540851698807E-3</v>
      </c>
      <c r="AH59" s="34"/>
      <c r="AI59" s="34">
        <f t="shared" si="23"/>
        <v>-9.8696458552231265E-3</v>
      </c>
      <c r="AV59" s="31">
        <v>12202873</v>
      </c>
      <c r="AX59" s="31">
        <f t="shared" si="24"/>
        <v>5.3312025329699834E-3</v>
      </c>
      <c r="AY59" s="38">
        <v>7049.7974409381004</v>
      </c>
      <c r="AZ59" s="34">
        <f t="shared" si="25"/>
        <v>4.1205838849550968E-3</v>
      </c>
      <c r="BB59" s="31">
        <f t="shared" si="19"/>
        <v>114.45300266082255</v>
      </c>
      <c r="BE59" s="34">
        <f t="shared" si="20"/>
        <v>9.4595862511941339E-3</v>
      </c>
    </row>
    <row r="60" spans="1:57">
      <c r="A60" s="31">
        <f t="shared" si="26"/>
        <v>2026</v>
      </c>
      <c r="B60" s="31">
        <f t="shared" si="27"/>
        <v>3</v>
      </c>
      <c r="C60" s="32"/>
      <c r="D60" s="32">
        <v>120181835.76188183</v>
      </c>
      <c r="E60" s="32"/>
      <c r="F60" s="33">
        <v>23396621.938874301</v>
      </c>
      <c r="G60" s="32">
        <v>1552150.6697199</v>
      </c>
      <c r="H60" s="32">
        <v>8539475.0263137352</v>
      </c>
      <c r="I60" s="33">
        <v>48004.659888250055</v>
      </c>
      <c r="J60" s="32">
        <v>264107.47504066251</v>
      </c>
      <c r="K60" s="32"/>
      <c r="L60" s="33">
        <v>2529581.0037652599</v>
      </c>
      <c r="M60" s="33"/>
      <c r="N60" s="33">
        <v>984632.58973364905</v>
      </c>
      <c r="O60" s="32"/>
      <c r="P60" s="32">
        <v>18543165.8487937</v>
      </c>
      <c r="Q60" s="33"/>
      <c r="R60" s="33">
        <v>16431966.103096168</v>
      </c>
      <c r="S60" s="33"/>
      <c r="T60" s="32">
        <v>62829046.581624702</v>
      </c>
      <c r="U60" s="32"/>
      <c r="V60" s="33">
        <v>116259.98010990401</v>
      </c>
      <c r="W60" s="33"/>
      <c r="X60" s="33">
        <v>292011.55135373335</v>
      </c>
      <c r="Y60" s="32"/>
      <c r="Z60" s="32">
        <f t="shared" si="21"/>
        <v>-10362609.449167136</v>
      </c>
      <c r="AA60" s="32"/>
      <c r="AB60" s="32">
        <f t="shared" si="22"/>
        <v>-75895955.029050827</v>
      </c>
      <c r="AC60" s="12"/>
      <c r="AD60" s="32"/>
      <c r="AE60" s="32"/>
      <c r="AF60" s="32">
        <f>BB60/100*AF25</f>
        <v>6633955296.9435072</v>
      </c>
      <c r="AG60" s="34">
        <f t="shared" si="28"/>
        <v>8.5612954217623091E-3</v>
      </c>
      <c r="AH60" s="34"/>
      <c r="AI60" s="34">
        <f t="shared" si="23"/>
        <v>-1.1440528558282375E-2</v>
      </c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2"/>
      <c r="AV60" s="31">
        <v>12316523</v>
      </c>
      <c r="AX60" s="31">
        <f t="shared" si="24"/>
        <v>9.313380545712473E-3</v>
      </c>
      <c r="AY60" s="38">
        <v>7044.5443174935999</v>
      </c>
      <c r="AZ60" s="34">
        <f t="shared" si="25"/>
        <v>-7.4514530218920271E-4</v>
      </c>
      <c r="BA60" s="31"/>
      <c r="BB60" s="31">
        <f t="shared" si="19"/>
        <v>115.43286862850958</v>
      </c>
      <c r="BC60" s="31"/>
      <c r="BE60" s="34">
        <f t="shared" si="20"/>
        <v>1.1166322609498406E-2</v>
      </c>
    </row>
    <row r="61" spans="1:57">
      <c r="A61" s="31">
        <f t="shared" si="26"/>
        <v>2026</v>
      </c>
      <c r="B61" s="31">
        <f t="shared" si="27"/>
        <v>4</v>
      </c>
      <c r="C61" s="32"/>
      <c r="D61" s="32">
        <v>119852853.2463094</v>
      </c>
      <c r="E61" s="32"/>
      <c r="F61" s="33">
        <v>23414851.124100201</v>
      </c>
      <c r="G61" s="32">
        <v>1630176.3213911499</v>
      </c>
      <c r="H61" s="32">
        <v>8968749.1405198853</v>
      </c>
      <c r="I61" s="33">
        <v>50417.824372920208</v>
      </c>
      <c r="J61" s="32">
        <v>277383.99403668672</v>
      </c>
      <c r="K61" s="32"/>
      <c r="L61" s="33">
        <v>2529196.8917204598</v>
      </c>
      <c r="M61" s="33"/>
      <c r="N61" s="33">
        <v>983700.10064537823</v>
      </c>
      <c r="O61" s="32"/>
      <c r="P61" s="32">
        <v>18536042.409732334</v>
      </c>
      <c r="Q61" s="33"/>
      <c r="R61" s="33">
        <v>19567545.718133662</v>
      </c>
      <c r="S61" s="33"/>
      <c r="T61" s="32">
        <v>74818207.005736277</v>
      </c>
      <c r="U61" s="32"/>
      <c r="V61" s="33">
        <v>120489.09044790801</v>
      </c>
      <c r="W61" s="33"/>
      <c r="X61" s="33">
        <v>302633.85723645607</v>
      </c>
      <c r="Y61" s="32"/>
      <c r="Z61" s="32">
        <f t="shared" si="21"/>
        <v>-7239713.3078844696</v>
      </c>
      <c r="AA61" s="32"/>
      <c r="AB61" s="32">
        <f t="shared" si="22"/>
        <v>-63570688.650305457</v>
      </c>
      <c r="AC61" s="12"/>
      <c r="AD61" s="32"/>
      <c r="AE61" s="32"/>
      <c r="AF61" s="32">
        <f>BB61/100*AF25</f>
        <v>6692097146.037364</v>
      </c>
      <c r="AG61" s="34">
        <f t="shared" si="28"/>
        <v>8.7642811100407583E-3</v>
      </c>
      <c r="AH61" s="34">
        <f>(AF61-AF57)/AF57</f>
        <v>3.3624230192030431E-2</v>
      </c>
      <c r="AI61" s="34">
        <f t="shared" si="23"/>
        <v>-9.4993672780061163E-3</v>
      </c>
      <c r="AJ61" s="54"/>
      <c r="AK61" s="31"/>
      <c r="AL61" s="31"/>
      <c r="AM61" s="31"/>
      <c r="AN61" s="31"/>
      <c r="AO61" s="31"/>
      <c r="AP61" s="31"/>
      <c r="AQ61" s="31"/>
      <c r="AR61" s="31"/>
      <c r="AS61" s="31"/>
      <c r="AV61" s="31">
        <v>12340000</v>
      </c>
      <c r="AX61" s="31">
        <f t="shared" si="24"/>
        <v>1.9061386074625119E-3</v>
      </c>
      <c r="AY61" s="38">
        <v>7092.7648911915003</v>
      </c>
      <c r="AZ61" s="34">
        <f t="shared" si="25"/>
        <v>6.8450948031024538E-3</v>
      </c>
      <c r="BA61" s="31"/>
      <c r="BB61" s="31">
        <f t="shared" si="19"/>
        <v>116.44455473850826</v>
      </c>
      <c r="BC61" s="54" t="e">
        <f>(BA61-BA57)/BA57</f>
        <v>#DIV/0!</v>
      </c>
      <c r="BE61" s="34">
        <f t="shared" si="20"/>
        <v>9.4881160241343625E-3</v>
      </c>
    </row>
    <row r="62" spans="1:57" s="23" customFormat="1">
      <c r="A62" s="23">
        <f t="shared" si="26"/>
        <v>2027</v>
      </c>
      <c r="B62" s="23">
        <f t="shared" si="27"/>
        <v>1</v>
      </c>
      <c r="C62" s="24"/>
      <c r="D62" s="24">
        <v>119921353.9467662</v>
      </c>
      <c r="E62" s="24"/>
      <c r="F62" s="52">
        <v>23531718.546958499</v>
      </c>
      <c r="G62" s="53">
        <v>1734592.9310832201</v>
      </c>
      <c r="H62" s="53">
        <v>9543218.5191651247</v>
      </c>
      <c r="I62" s="25">
        <v>53647.204054119997</v>
      </c>
      <c r="J62" s="24">
        <v>295151.08822160063</v>
      </c>
      <c r="K62" s="24"/>
      <c r="L62" s="52">
        <v>3091690.0203673299</v>
      </c>
      <c r="M62" s="25"/>
      <c r="N62" s="25">
        <v>986093.52814048156</v>
      </c>
      <c r="O62" s="24"/>
      <c r="P62" s="24">
        <v>21467989.860163558</v>
      </c>
      <c r="Q62" s="25"/>
      <c r="R62" s="25">
        <v>16554561.01995882</v>
      </c>
      <c r="S62" s="25"/>
      <c r="T62" s="24">
        <v>63297798.871758908</v>
      </c>
      <c r="U62" s="24"/>
      <c r="V62" s="25">
        <v>120198.35952854301</v>
      </c>
      <c r="W62" s="25"/>
      <c r="X62" s="25">
        <v>301903.62498706108</v>
      </c>
      <c r="Y62" s="24"/>
      <c r="Z62" s="24">
        <f t="shared" si="21"/>
        <v>-10934742.715978947</v>
      </c>
      <c r="AA62" s="24"/>
      <c r="AB62" s="24">
        <f t="shared" si="22"/>
        <v>-78091544.935170844</v>
      </c>
      <c r="AC62" s="12"/>
      <c r="AD62" s="24"/>
      <c r="AE62" s="24"/>
      <c r="AF62" s="24">
        <f>BB62/100*AF25</f>
        <v>6706863262.0979013</v>
      </c>
      <c r="AG62" s="26">
        <f t="shared" si="28"/>
        <v>2.2065005540573925E-3</v>
      </c>
      <c r="AH62" s="26"/>
      <c r="AI62" s="26">
        <f t="shared" si="23"/>
        <v>-1.1643527217333468E-2</v>
      </c>
      <c r="AT62" s="26">
        <f>AVERAGE(AG62:AG65)</f>
        <v>4.6801020974307017E-3</v>
      </c>
      <c r="AV62" s="23">
        <v>12353010</v>
      </c>
      <c r="AX62" s="23">
        <f t="shared" si="24"/>
        <v>1.054294975688817E-3</v>
      </c>
      <c r="AY62" s="30">
        <v>7100.9286075001</v>
      </c>
      <c r="AZ62" s="26">
        <f t="shared" si="25"/>
        <v>1.1509920931875627E-3</v>
      </c>
      <c r="BB62" s="23">
        <f t="shared" si="19"/>
        <v>116.70148971305575</v>
      </c>
      <c r="BE62" s="26">
        <f t="shared" si="20"/>
        <v>1.1259017819936509E-2</v>
      </c>
    </row>
    <row r="63" spans="1:57" s="31" customFormat="1">
      <c r="A63" s="31">
        <f t="shared" si="26"/>
        <v>2027</v>
      </c>
      <c r="B63" s="31">
        <f t="shared" si="27"/>
        <v>2</v>
      </c>
      <c r="C63" s="32"/>
      <c r="D63" s="32">
        <v>119795137.81541499</v>
      </c>
      <c r="E63" s="32"/>
      <c r="F63" s="33">
        <v>23600014.124175198</v>
      </c>
      <c r="G63" s="32">
        <v>1825829.78422175</v>
      </c>
      <c r="H63" s="32">
        <v>10045176.765909642</v>
      </c>
      <c r="I63" s="33">
        <v>56468.962398610078</v>
      </c>
      <c r="J63" s="32">
        <v>310675.57007967553</v>
      </c>
      <c r="K63" s="32"/>
      <c r="L63" s="33">
        <v>2478851.5037642401</v>
      </c>
      <c r="M63" s="33"/>
      <c r="N63" s="33">
        <v>987377.63475029171</v>
      </c>
      <c r="O63" s="32"/>
      <c r="P63" s="32">
        <v>18295032.659892861</v>
      </c>
      <c r="Q63" s="33"/>
      <c r="R63" s="33">
        <v>19611265.432099551</v>
      </c>
      <c r="S63" s="33"/>
      <c r="T63" s="32">
        <v>74985373.121346787</v>
      </c>
      <c r="U63" s="32"/>
      <c r="V63" s="33">
        <v>121127.269394498</v>
      </c>
      <c r="W63" s="33"/>
      <c r="X63" s="33">
        <v>304236.77875819436</v>
      </c>
      <c r="Y63" s="32"/>
      <c r="Z63" s="32">
        <f t="shared" si="21"/>
        <v>-7333850.5611956809</v>
      </c>
      <c r="AA63" s="32"/>
      <c r="AB63" s="32">
        <f t="shared" si="22"/>
        <v>-63104797.353961065</v>
      </c>
      <c r="AC63" s="12"/>
      <c r="AD63" s="32"/>
      <c r="AE63" s="32"/>
      <c r="AF63" s="32">
        <f>BB63/100*AF25</f>
        <v>6718195472.4738369</v>
      </c>
      <c r="AG63" s="34">
        <f t="shared" si="28"/>
        <v>1.6896438667501398E-3</v>
      </c>
      <c r="AH63" s="34"/>
      <c r="AI63" s="34">
        <f t="shared" si="23"/>
        <v>-9.3931171863810073E-3</v>
      </c>
      <c r="AV63" s="31">
        <v>12360350</v>
      </c>
      <c r="AX63" s="31">
        <f t="shared" si="24"/>
        <v>5.9418716571912433E-4</v>
      </c>
      <c r="AY63" s="38">
        <v>7108.7027480322004</v>
      </c>
      <c r="AZ63" s="34">
        <f t="shared" si="25"/>
        <v>1.0948061812491908E-3</v>
      </c>
      <c r="BB63" s="31">
        <f t="shared" si="19"/>
        <v>116.89867366939002</v>
      </c>
      <c r="BE63" s="34">
        <f t="shared" si="20"/>
        <v>9.5329554746799005E-3</v>
      </c>
    </row>
    <row r="64" spans="1:57">
      <c r="A64" s="31">
        <f t="shared" si="26"/>
        <v>2027</v>
      </c>
      <c r="B64" s="31">
        <f t="shared" si="27"/>
        <v>3</v>
      </c>
      <c r="C64" s="32"/>
      <c r="D64" s="32">
        <v>119671026.72995505</v>
      </c>
      <c r="E64" s="32"/>
      <c r="F64" s="33">
        <v>23697707.084761199</v>
      </c>
      <c r="G64" s="32">
        <v>1946081.40372094</v>
      </c>
      <c r="H64" s="32">
        <v>10706765.696430432</v>
      </c>
      <c r="I64" s="33">
        <v>60188.084651160054</v>
      </c>
      <c r="J64" s="32">
        <v>331137.0833947389</v>
      </c>
      <c r="K64" s="32"/>
      <c r="L64" s="33">
        <v>2449088.9622627301</v>
      </c>
      <c r="M64" s="33"/>
      <c r="N64" s="33">
        <v>988229.27594704553</v>
      </c>
      <c r="O64" s="32"/>
      <c r="P64" s="32">
        <v>18145280.169146121</v>
      </c>
      <c r="Q64" s="33"/>
      <c r="R64" s="33">
        <v>16757770.928557634</v>
      </c>
      <c r="S64" s="33"/>
      <c r="T64" s="32">
        <v>64074789.569834709</v>
      </c>
      <c r="U64" s="32"/>
      <c r="V64" s="33">
        <v>121240.973257948</v>
      </c>
      <c r="W64" s="33"/>
      <c r="X64" s="33">
        <v>304522.37008144736</v>
      </c>
      <c r="Y64" s="32"/>
      <c r="Z64" s="32">
        <f t="shared" si="21"/>
        <v>-10256013.421155393</v>
      </c>
      <c r="AA64" s="32"/>
      <c r="AB64" s="32">
        <f t="shared" si="22"/>
        <v>-73741517.329266459</v>
      </c>
      <c r="AC64" s="12"/>
      <c r="AD64" s="32"/>
      <c r="AE64" s="32"/>
      <c r="AF64" s="32">
        <f>BB64/100*AF25</f>
        <v>6784159480.8362856</v>
      </c>
      <c r="AG64" s="34">
        <f t="shared" si="28"/>
        <v>9.818709299650492E-3</v>
      </c>
      <c r="AH64" s="34"/>
      <c r="AI64" s="34">
        <f t="shared" si="23"/>
        <v>-1.086966153103705E-2</v>
      </c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2"/>
      <c r="AV64" s="31">
        <v>12465592</v>
      </c>
      <c r="AX64" s="31">
        <f t="shared" si="24"/>
        <v>8.5144838131606306E-3</v>
      </c>
      <c r="AY64" s="38">
        <v>7117.8958250267997</v>
      </c>
      <c r="AZ64" s="34">
        <f t="shared" si="25"/>
        <v>1.2932144331318552E-3</v>
      </c>
      <c r="BA64" s="31"/>
      <c r="BB64" s="31">
        <f t="shared" si="19"/>
        <v>118.04646776366445</v>
      </c>
      <c r="BC64" s="31"/>
      <c r="BE64" s="34">
        <f t="shared" si="20"/>
        <v>1.1200843798962124E-2</v>
      </c>
    </row>
    <row r="65" spans="1:57">
      <c r="A65" s="31">
        <f t="shared" si="26"/>
        <v>2027</v>
      </c>
      <c r="B65" s="31">
        <f t="shared" si="27"/>
        <v>4</v>
      </c>
      <c r="C65" s="32"/>
      <c r="D65" s="32">
        <v>119700516.13811964</v>
      </c>
      <c r="E65" s="32"/>
      <c r="F65" s="33">
        <v>23782776.2021567</v>
      </c>
      <c r="G65" s="32">
        <v>2025790.4721097699</v>
      </c>
      <c r="H65" s="32">
        <v>11145301.472728476</v>
      </c>
      <c r="I65" s="33">
        <v>62653.313570400001</v>
      </c>
      <c r="J65" s="32">
        <v>344700.04554827447</v>
      </c>
      <c r="K65" s="32"/>
      <c r="L65" s="33">
        <v>2415071.03954955</v>
      </c>
      <c r="M65" s="33"/>
      <c r="N65" s="33">
        <v>990675.47808649763</v>
      </c>
      <c r="O65" s="32"/>
      <c r="P65" s="32">
        <v>17982219.288897976</v>
      </c>
      <c r="Q65" s="33"/>
      <c r="R65" s="33">
        <v>19800538.397007968</v>
      </c>
      <c r="S65" s="33"/>
      <c r="T65" s="32">
        <v>75709074.70728375</v>
      </c>
      <c r="U65" s="32"/>
      <c r="V65" s="33">
        <v>122739.164653474</v>
      </c>
      <c r="W65" s="33"/>
      <c r="X65" s="33">
        <v>308285.39492644375</v>
      </c>
      <c r="Y65" s="32"/>
      <c r="Z65" s="32">
        <f t="shared" si="21"/>
        <v>-7265245.158131307</v>
      </c>
      <c r="AA65" s="32"/>
      <c r="AB65" s="32">
        <f t="shared" si="22"/>
        <v>-61973660.719733864</v>
      </c>
      <c r="AC65" s="12"/>
      <c r="AD65" s="32"/>
      <c r="AE65" s="32"/>
      <c r="AF65" s="32">
        <f>BB65/100*AF25</f>
        <v>6818117962.0026226</v>
      </c>
      <c r="AG65" s="34">
        <f t="shared" si="28"/>
        <v>5.0055546692647831E-3</v>
      </c>
      <c r="AH65" s="34">
        <f>(AF65-AF61)/AF61</f>
        <v>1.8831289088485536E-2</v>
      </c>
      <c r="AI65" s="34">
        <f t="shared" si="23"/>
        <v>-9.0895553677881689E-3</v>
      </c>
      <c r="AJ65" s="54"/>
      <c r="AK65" s="31"/>
      <c r="AL65" s="31"/>
      <c r="AM65" s="31"/>
      <c r="AN65" s="31"/>
      <c r="AO65" s="31"/>
      <c r="AP65" s="31"/>
      <c r="AQ65" s="31"/>
      <c r="AR65" s="31"/>
      <c r="AS65" s="31"/>
      <c r="AV65" s="31">
        <v>12529157</v>
      </c>
      <c r="AX65" s="31">
        <f t="shared" si="24"/>
        <v>5.0992363619794387E-3</v>
      </c>
      <c r="AY65" s="38">
        <v>7117.2323915016996</v>
      </c>
      <c r="AZ65" s="34">
        <f t="shared" si="25"/>
        <v>-9.3206411193524273E-5</v>
      </c>
      <c r="BA65" s="31"/>
      <c r="BB65" s="31">
        <f t="shared" si="19"/>
        <v>118.63735581156908</v>
      </c>
      <c r="BC65" s="54" t="e">
        <f>(BA65-BA61)/BA61</f>
        <v>#DIV/0!</v>
      </c>
      <c r="BE65" s="34">
        <f t="shared" si="20"/>
        <v>9.4759344552950361E-3</v>
      </c>
    </row>
    <row r="66" spans="1:57" s="23" customFormat="1">
      <c r="A66" s="23">
        <f t="shared" si="26"/>
        <v>2028</v>
      </c>
      <c r="B66" s="23">
        <f t="shared" si="27"/>
        <v>1</v>
      </c>
      <c r="C66" s="24"/>
      <c r="D66" s="24">
        <v>119870720.26559228</v>
      </c>
      <c r="E66" s="24"/>
      <c r="F66" s="52">
        <v>23914188.2028962</v>
      </c>
      <c r="G66" s="53">
        <v>2126265.8579365602</v>
      </c>
      <c r="H66" s="53">
        <v>11698087.400515981</v>
      </c>
      <c r="I66" s="25">
        <v>65760.799729989842</v>
      </c>
      <c r="J66" s="24">
        <v>361796.51754169358</v>
      </c>
      <c r="K66" s="24"/>
      <c r="L66" s="52">
        <v>2944918.5221602698</v>
      </c>
      <c r="M66" s="25"/>
      <c r="N66" s="25">
        <v>995287.30291131139</v>
      </c>
      <c r="O66" s="24"/>
      <c r="P66" s="24">
        <v>20756973.294431783</v>
      </c>
      <c r="Q66" s="25"/>
      <c r="R66" s="25">
        <v>16958913.477816034</v>
      </c>
      <c r="S66" s="25"/>
      <c r="T66" s="24">
        <v>64843875.540290885</v>
      </c>
      <c r="U66" s="24"/>
      <c r="V66" s="25">
        <v>119790.924182235</v>
      </c>
      <c r="W66" s="25"/>
      <c r="X66" s="25">
        <v>300880.26486400521</v>
      </c>
      <c r="Y66" s="24"/>
      <c r="Z66" s="24">
        <f t="shared" si="21"/>
        <v>-10775689.625969511</v>
      </c>
      <c r="AA66" s="24"/>
      <c r="AB66" s="24">
        <f t="shared" si="22"/>
        <v>-75783818.019733176</v>
      </c>
      <c r="AC66" s="12"/>
      <c r="AD66" s="24"/>
      <c r="AE66" s="24"/>
      <c r="AF66" s="24">
        <f>BB66/100*AF25</f>
        <v>6854832105.5908012</v>
      </c>
      <c r="AG66" s="26">
        <f t="shared" si="28"/>
        <v>5.3847914912570575E-3</v>
      </c>
      <c r="AH66" s="26"/>
      <c r="AI66" s="26">
        <f t="shared" si="23"/>
        <v>-1.1055532338702196E-2</v>
      </c>
      <c r="AT66" s="26">
        <f>AVERAGE(AG66:AG69)</f>
        <v>3.076876138095925E-3</v>
      </c>
      <c r="AV66" s="23">
        <v>12519637</v>
      </c>
      <c r="AX66" s="23">
        <f t="shared" si="24"/>
        <v>-7.5982765640178343E-4</v>
      </c>
      <c r="AY66" s="30">
        <v>7160.9983285021999</v>
      </c>
      <c r="AZ66" s="26">
        <f t="shared" si="25"/>
        <v>6.1492915494453819E-3</v>
      </c>
      <c r="BB66" s="23">
        <f t="shared" si="19"/>
        <v>119.27619323568845</v>
      </c>
      <c r="BE66" s="26">
        <f t="shared" si="20"/>
        <v>1.1168278476030599E-2</v>
      </c>
    </row>
    <row r="67" spans="1:57" s="31" customFormat="1">
      <c r="A67" s="31">
        <f t="shared" si="26"/>
        <v>2028</v>
      </c>
      <c r="B67" s="31">
        <f t="shared" si="27"/>
        <v>2</v>
      </c>
      <c r="C67" s="32"/>
      <c r="D67" s="32">
        <v>120175393.72314484</v>
      </c>
      <c r="E67" s="32"/>
      <c r="F67" s="33">
        <v>24082699.833277401</v>
      </c>
      <c r="G67" s="32">
        <v>2239399.4809193099</v>
      </c>
      <c r="H67" s="32">
        <v>12320515.214351816</v>
      </c>
      <c r="I67" s="33">
        <v>69259.777760390192</v>
      </c>
      <c r="J67" s="32">
        <v>381046.86229953612</v>
      </c>
      <c r="K67" s="32"/>
      <c r="L67" s="33">
        <v>2375370.4278015899</v>
      </c>
      <c r="M67" s="33"/>
      <c r="N67" s="33">
        <v>1001067.2256353088</v>
      </c>
      <c r="O67" s="32"/>
      <c r="P67" s="32">
        <v>17833384.95476139</v>
      </c>
      <c r="Q67" s="33"/>
      <c r="R67" s="33">
        <v>20122311.88517236</v>
      </c>
      <c r="S67" s="33"/>
      <c r="T67" s="32">
        <v>76939403.527935535</v>
      </c>
      <c r="U67" s="32"/>
      <c r="V67" s="33">
        <v>119139.562713911</v>
      </c>
      <c r="W67" s="33"/>
      <c r="X67" s="33">
        <v>299244.2326482975</v>
      </c>
      <c r="Y67" s="32"/>
      <c r="Z67" s="32">
        <f t="shared" si="21"/>
        <v>-7217686.0388280302</v>
      </c>
      <c r="AA67" s="32"/>
      <c r="AB67" s="32">
        <f t="shared" si="22"/>
        <v>-61069375.149970695</v>
      </c>
      <c r="AC67" s="12"/>
      <c r="AD67" s="32"/>
      <c r="AE67" s="32"/>
      <c r="AF67" s="32">
        <f>BB67/100*AF25</f>
        <v>6890308136.224597</v>
      </c>
      <c r="AG67" s="34">
        <f t="shared" si="28"/>
        <v>5.1753318078879692E-3</v>
      </c>
      <c r="AH67" s="34"/>
      <c r="AI67" s="34">
        <f t="shared" si="23"/>
        <v>-8.8630833255350476E-3</v>
      </c>
      <c r="AV67" s="31">
        <v>12550095</v>
      </c>
      <c r="AX67" s="31">
        <f t="shared" si="24"/>
        <v>2.4328181400147626E-3</v>
      </c>
      <c r="AY67" s="38">
        <v>7180.5898018020998</v>
      </c>
      <c r="AZ67" s="34">
        <f t="shared" si="25"/>
        <v>2.735857823331972E-3</v>
      </c>
      <c r="BB67" s="31">
        <f t="shared" si="19"/>
        <v>119.89348711246491</v>
      </c>
      <c r="BE67" s="34">
        <f t="shared" si="20"/>
        <v>9.4425738253973886E-3</v>
      </c>
    </row>
    <row r="68" spans="1:57">
      <c r="A68" s="31">
        <f t="shared" si="26"/>
        <v>2028</v>
      </c>
      <c r="B68" s="31">
        <f t="shared" si="27"/>
        <v>3</v>
      </c>
      <c r="C68" s="32"/>
      <c r="D68" s="32">
        <v>119951053.00558056</v>
      </c>
      <c r="E68" s="32"/>
      <c r="F68" s="33">
        <v>24132011.189845201</v>
      </c>
      <c r="G68" s="32">
        <v>2329487.4184759702</v>
      </c>
      <c r="H68" s="32">
        <v>12816152.466549788</v>
      </c>
      <c r="I68" s="33">
        <v>72046.002633279655</v>
      </c>
      <c r="J68" s="32">
        <v>396375.84948093351</v>
      </c>
      <c r="K68" s="32"/>
      <c r="L68" s="33">
        <v>2359426.8553048801</v>
      </c>
      <c r="M68" s="33"/>
      <c r="N68" s="33">
        <v>1000576.187588919</v>
      </c>
      <c r="O68" s="32"/>
      <c r="P68" s="32">
        <v>17747952.134831816</v>
      </c>
      <c r="Q68" s="33"/>
      <c r="R68" s="33">
        <v>17100725.010765709</v>
      </c>
      <c r="S68" s="33"/>
      <c r="T68" s="32">
        <v>65386104.227570608</v>
      </c>
      <c r="U68" s="32"/>
      <c r="V68" s="33">
        <v>124276.07792541401</v>
      </c>
      <c r="W68" s="33"/>
      <c r="X68" s="33">
        <v>312145.67796116549</v>
      </c>
      <c r="Y68" s="32"/>
      <c r="Z68" s="32">
        <f t="shared" si="21"/>
        <v>-10267013.144047877</v>
      </c>
      <c r="AA68" s="32"/>
      <c r="AB68" s="32">
        <f t="shared" si="22"/>
        <v>-72312900.912841767</v>
      </c>
      <c r="AC68" s="12"/>
      <c r="AD68" s="32"/>
      <c r="AE68" s="32"/>
      <c r="AF68" s="32">
        <f>BB68/100*AF25</f>
        <v>6891368535.2552414</v>
      </c>
      <c r="AG68" s="34">
        <f t="shared" si="28"/>
        <v>1.5389718568166108E-4</v>
      </c>
      <c r="AH68" s="34"/>
      <c r="AI68" s="34">
        <f t="shared" si="23"/>
        <v>-1.0493256969627943E-2</v>
      </c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2"/>
      <c r="AV68" s="31">
        <v>12542207</v>
      </c>
      <c r="AX68" s="31">
        <f t="shared" si="24"/>
        <v>-6.2852113868460758E-4</v>
      </c>
      <c r="AY68" s="38">
        <v>7186.2115602368003</v>
      </c>
      <c r="AZ68" s="34">
        <f t="shared" si="25"/>
        <v>7.8291040010245578E-4</v>
      </c>
      <c r="BA68" s="31"/>
      <c r="BB68" s="31">
        <f t="shared" si="19"/>
        <v>119.91193838271309</v>
      </c>
      <c r="BC68" s="31"/>
      <c r="BE68" s="34">
        <f t="shared" si="20"/>
        <v>1.1157080854424024E-2</v>
      </c>
    </row>
    <row r="69" spans="1:57">
      <c r="A69" s="31">
        <f t="shared" si="26"/>
        <v>2028</v>
      </c>
      <c r="B69" s="31">
        <f t="shared" si="27"/>
        <v>4</v>
      </c>
      <c r="C69" s="32"/>
      <c r="D69" s="32">
        <v>120277427.95875764</v>
      </c>
      <c r="E69" s="32"/>
      <c r="F69" s="33">
        <v>24279163.549609601</v>
      </c>
      <c r="G69" s="32">
        <v>2417317.2671266799</v>
      </c>
      <c r="H69" s="32">
        <v>13299366.379831156</v>
      </c>
      <c r="I69" s="33">
        <v>74762.389704950154</v>
      </c>
      <c r="J69" s="32">
        <v>411320.60968550679</v>
      </c>
      <c r="K69" s="32"/>
      <c r="L69" s="33">
        <v>2439757.0084221698</v>
      </c>
      <c r="M69" s="33"/>
      <c r="N69" s="33">
        <v>1006087.5945271477</v>
      </c>
      <c r="O69" s="32"/>
      <c r="P69" s="32">
        <v>18195107.816077109</v>
      </c>
      <c r="Q69" s="33"/>
      <c r="R69" s="33">
        <v>20324811.834851783</v>
      </c>
      <c r="S69" s="33"/>
      <c r="T69" s="32">
        <v>77713679.636549696</v>
      </c>
      <c r="U69" s="32"/>
      <c r="V69" s="33">
        <v>118898.17446973899</v>
      </c>
      <c r="W69" s="33"/>
      <c r="X69" s="33">
        <v>298637.93497309933</v>
      </c>
      <c r="Y69" s="32"/>
      <c r="Z69" s="32">
        <f t="shared" si="21"/>
        <v>-7281298.1432373971</v>
      </c>
      <c r="AA69" s="32"/>
      <c r="AB69" s="32">
        <f t="shared" si="22"/>
        <v>-60758856.138285056</v>
      </c>
      <c r="AC69" s="12"/>
      <c r="AD69" s="32"/>
      <c r="AE69" s="32"/>
      <c r="AF69" s="32">
        <f>BB69/100*AF25</f>
        <v>6902349821.2198343</v>
      </c>
      <c r="AG69" s="34">
        <f t="shared" si="28"/>
        <v>1.5934840675570125E-3</v>
      </c>
      <c r="AH69" s="34">
        <f>(AF69-AF65)/AF65</f>
        <v>1.2354121721952591E-2</v>
      </c>
      <c r="AI69" s="34">
        <f t="shared" si="23"/>
        <v>-8.8026335540824993E-3</v>
      </c>
      <c r="AJ69" s="54"/>
      <c r="AK69" s="31"/>
      <c r="AL69" s="31"/>
      <c r="AM69" s="31"/>
      <c r="AN69" s="31"/>
      <c r="AO69" s="31"/>
      <c r="AP69" s="31"/>
      <c r="AQ69" s="31"/>
      <c r="AR69" s="31"/>
      <c r="AS69" s="31"/>
      <c r="AV69" s="31">
        <v>12492115</v>
      </c>
      <c r="AX69" s="31">
        <f t="shared" si="24"/>
        <v>-3.9938744433096985E-3</v>
      </c>
      <c r="AY69" s="38">
        <v>7226.5245054001998</v>
      </c>
      <c r="AZ69" s="34">
        <f t="shared" si="25"/>
        <v>5.6097632007470564E-3</v>
      </c>
      <c r="BA69" s="31"/>
      <c r="BB69" s="31">
        <f t="shared" si="19"/>
        <v>120.1030161460358</v>
      </c>
      <c r="BC69" s="54" t="e">
        <f>(BA69-BA65)/BA65</f>
        <v>#DIV/0!</v>
      </c>
      <c r="BE69" s="34">
        <f t="shared" si="20"/>
        <v>9.4778003323462631E-3</v>
      </c>
    </row>
    <row r="70" spans="1:57" s="23" customFormat="1">
      <c r="A70" s="23">
        <f t="shared" si="26"/>
        <v>2029</v>
      </c>
      <c r="B70" s="23">
        <f t="shared" si="27"/>
        <v>1</v>
      </c>
      <c r="C70" s="24"/>
      <c r="D70" s="24">
        <v>120334173.15107642</v>
      </c>
      <c r="E70" s="24"/>
      <c r="F70" s="52">
        <v>24410961.322327901</v>
      </c>
      <c r="G70" s="53">
        <v>2538800.9294354301</v>
      </c>
      <c r="H70" s="53">
        <v>13967733.646378748</v>
      </c>
      <c r="I70" s="25">
        <v>78519.616374299861</v>
      </c>
      <c r="J70" s="24">
        <v>431991.76225918171</v>
      </c>
      <c r="K70" s="24"/>
      <c r="L70" s="52">
        <v>2918177.6175316102</v>
      </c>
      <c r="M70" s="25"/>
      <c r="N70" s="25">
        <v>1008905.1877175979</v>
      </c>
      <c r="O70" s="24"/>
      <c r="P70" s="24">
        <v>20693136.197471354</v>
      </c>
      <c r="Q70" s="25"/>
      <c r="R70" s="25">
        <v>17315909.224679988</v>
      </c>
      <c r="S70" s="25"/>
      <c r="T70" s="24">
        <v>66208879.719853483</v>
      </c>
      <c r="U70" s="24"/>
      <c r="V70" s="25">
        <v>121807.10872287401</v>
      </c>
      <c r="W70" s="25"/>
      <c r="X70" s="25">
        <v>305944.33914795786</v>
      </c>
      <c r="Y70" s="24"/>
      <c r="Z70" s="24">
        <f t="shared" si="21"/>
        <v>-10900327.794174248</v>
      </c>
      <c r="AA70" s="24"/>
      <c r="AB70" s="24">
        <f t="shared" si="22"/>
        <v>-74818429.628694296</v>
      </c>
      <c r="AC70" s="12"/>
      <c r="AD70" s="24"/>
      <c r="AE70" s="24"/>
      <c r="AF70" s="24">
        <f>BB70/100*AF25</f>
        <v>6945262662.320014</v>
      </c>
      <c r="AG70" s="26">
        <f t="shared" si="28"/>
        <v>6.2171350643882312E-3</v>
      </c>
      <c r="AH70" s="26"/>
      <c r="AI70" s="26">
        <f t="shared" si="23"/>
        <v>-1.0772584604266319E-2</v>
      </c>
      <c r="AT70" s="26">
        <f>AVERAGE(AG70:AG73)</f>
        <v>1.3810910316171658E-3</v>
      </c>
      <c r="AV70" s="23">
        <v>12563995</v>
      </c>
      <c r="AX70" s="23">
        <f t="shared" si="24"/>
        <v>5.7540296418981092E-3</v>
      </c>
      <c r="AY70" s="30">
        <v>7229.8520015728</v>
      </c>
      <c r="AZ70" s="26">
        <f t="shared" si="25"/>
        <v>4.6045594533217113E-4</v>
      </c>
      <c r="BB70" s="23">
        <f t="shared" si="19"/>
        <v>120.84971281905612</v>
      </c>
      <c r="BE70" s="26">
        <f t="shared" si="20"/>
        <v>1.1160457494531949E-2</v>
      </c>
    </row>
    <row r="71" spans="1:57" s="31" customFormat="1">
      <c r="A71" s="31">
        <f t="shared" si="26"/>
        <v>2029</v>
      </c>
      <c r="B71" s="31">
        <f t="shared" si="27"/>
        <v>2</v>
      </c>
      <c r="C71" s="32"/>
      <c r="D71" s="32">
        <v>120341614.3561431</v>
      </c>
      <c r="E71" s="32"/>
      <c r="F71" s="33">
        <v>24489412.481478099</v>
      </c>
      <c r="G71" s="32">
        <v>2615899.5614815401</v>
      </c>
      <c r="H71" s="32">
        <v>14391907.572122388</v>
      </c>
      <c r="I71" s="33">
        <v>80904.110148919746</v>
      </c>
      <c r="J71" s="32">
        <v>445110.54346773645</v>
      </c>
      <c r="K71" s="32"/>
      <c r="L71" s="33">
        <v>2403711.06978335</v>
      </c>
      <c r="M71" s="33"/>
      <c r="N71" s="33">
        <v>1011098.7154121809</v>
      </c>
      <c r="O71" s="32"/>
      <c r="P71" s="32">
        <v>18035634.977714851</v>
      </c>
      <c r="Q71" s="33"/>
      <c r="R71" s="33">
        <v>20396834.198896728</v>
      </c>
      <c r="S71" s="33"/>
      <c r="T71" s="32">
        <v>77989063.387776285</v>
      </c>
      <c r="U71" s="32"/>
      <c r="V71" s="33">
        <v>126159.907627818</v>
      </c>
      <c r="W71" s="33"/>
      <c r="X71" s="33">
        <v>316877.31505043048</v>
      </c>
      <c r="Y71" s="32"/>
      <c r="Z71" s="32">
        <f t="shared" si="21"/>
        <v>-7381228.1601490825</v>
      </c>
      <c r="AA71" s="32"/>
      <c r="AB71" s="32">
        <f t="shared" si="22"/>
        <v>-60388185.946081668</v>
      </c>
      <c r="AC71" s="12"/>
      <c r="AD71" s="32"/>
      <c r="AE71" s="32"/>
      <c r="AF71" s="32">
        <f>BB71/100*AF25</f>
        <v>6962784660.4737759</v>
      </c>
      <c r="AG71" s="34">
        <f t="shared" si="28"/>
        <v>2.5228704810292615E-3</v>
      </c>
      <c r="AH71" s="34"/>
      <c r="AI71" s="34">
        <f t="shared" si="23"/>
        <v>-8.6729934775797903E-3</v>
      </c>
      <c r="AV71" s="31">
        <v>12600795</v>
      </c>
      <c r="AX71" s="31">
        <f t="shared" si="24"/>
        <v>2.9290046677032267E-3</v>
      </c>
      <c r="AY71" s="38">
        <v>7226.9242868006004</v>
      </c>
      <c r="AZ71" s="34">
        <f t="shared" si="25"/>
        <v>-4.0494809182299672E-4</v>
      </c>
      <c r="BB71" s="31">
        <f t="shared" si="19"/>
        <v>121.15460099216817</v>
      </c>
      <c r="BE71" s="34">
        <f t="shared" ref="BE71:BE102" si="29">T78/AF78</f>
        <v>9.4394998898914857E-3</v>
      </c>
    </row>
    <row r="72" spans="1:57">
      <c r="A72" s="31">
        <f t="shared" si="26"/>
        <v>2029</v>
      </c>
      <c r="B72" s="31">
        <f t="shared" si="27"/>
        <v>3</v>
      </c>
      <c r="C72" s="32"/>
      <c r="D72" s="32">
        <v>120368623.18063013</v>
      </c>
      <c r="E72" s="32"/>
      <c r="F72" s="33">
        <v>24559696.478282198</v>
      </c>
      <c r="G72" s="32">
        <v>2681274.3847255898</v>
      </c>
      <c r="H72" s="32">
        <v>14751580.560919913</v>
      </c>
      <c r="I72" s="33">
        <v>82926.011898730416</v>
      </c>
      <c r="J72" s="32">
        <v>456234.45033773384</v>
      </c>
      <c r="K72" s="32"/>
      <c r="L72" s="33">
        <v>2329653.8312428002</v>
      </c>
      <c r="M72" s="33"/>
      <c r="N72" s="33">
        <v>1012600.1251705736</v>
      </c>
      <c r="O72" s="32"/>
      <c r="P72" s="32">
        <v>17659611.928377818</v>
      </c>
      <c r="Q72" s="33"/>
      <c r="R72" s="33">
        <v>17166848.673788473</v>
      </c>
      <c r="S72" s="33"/>
      <c r="T72" s="32">
        <v>65638933.784188427</v>
      </c>
      <c r="U72" s="32"/>
      <c r="V72" s="33">
        <v>126796.50826232501</v>
      </c>
      <c r="W72" s="33"/>
      <c r="X72" s="33">
        <v>318476.27230725629</v>
      </c>
      <c r="Y72" s="32"/>
      <c r="Z72" s="32">
        <f t="shared" si="21"/>
        <v>-10608305.252644774</v>
      </c>
      <c r="AA72" s="32"/>
      <c r="AB72" s="32">
        <f t="shared" si="22"/>
        <v>-72389301.32481952</v>
      </c>
      <c r="AC72" s="12"/>
      <c r="AD72" s="32"/>
      <c r="AE72" s="32"/>
      <c r="AF72" s="32">
        <f>BB72/100*AF25</f>
        <v>6926908801.8554401</v>
      </c>
      <c r="AG72" s="34">
        <f t="shared" si="28"/>
        <v>-5.1525158923835775E-3</v>
      </c>
      <c r="AH72" s="34"/>
      <c r="AI72" s="34">
        <f t="shared" si="23"/>
        <v>-1.0450448157398772E-2</v>
      </c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2"/>
      <c r="AV72" s="31">
        <v>12524539</v>
      </c>
      <c r="AX72" s="31">
        <f t="shared" si="24"/>
        <v>-6.0516816597682927E-3</v>
      </c>
      <c r="AY72" s="38">
        <v>7233.4620542099001</v>
      </c>
      <c r="AZ72" s="34">
        <f t="shared" si="25"/>
        <v>9.0464036287752638E-4</v>
      </c>
      <c r="BA72" s="31"/>
      <c r="BB72" s="31">
        <f t="shared" si="19"/>
        <v>120.53034998512065</v>
      </c>
      <c r="BC72" s="31"/>
      <c r="BE72" s="34">
        <f t="shared" si="29"/>
        <v>1.1164680389202479E-2</v>
      </c>
    </row>
    <row r="73" spans="1:57">
      <c r="A73" s="31">
        <f t="shared" si="26"/>
        <v>2029</v>
      </c>
      <c r="B73" s="31">
        <f t="shared" si="27"/>
        <v>4</v>
      </c>
      <c r="C73" s="32"/>
      <c r="D73" s="32">
        <v>120495496.69076444</v>
      </c>
      <c r="E73" s="32"/>
      <c r="F73" s="33">
        <v>24674390.409430198</v>
      </c>
      <c r="G73" s="32">
        <v>2772907.5535763898</v>
      </c>
      <c r="H73" s="32">
        <v>15255719.219781302</v>
      </c>
      <c r="I73" s="33">
        <v>85760.027430200018</v>
      </c>
      <c r="J73" s="32">
        <v>471826.3676221153</v>
      </c>
      <c r="K73" s="32"/>
      <c r="L73" s="33">
        <v>2368248.1628840799</v>
      </c>
      <c r="M73" s="33"/>
      <c r="N73" s="33">
        <v>1015094.3777925037</v>
      </c>
      <c r="O73" s="32"/>
      <c r="P73" s="32">
        <v>17873600.740736514</v>
      </c>
      <c r="Q73" s="33"/>
      <c r="R73" s="33">
        <v>20271931.286184572</v>
      </c>
      <c r="S73" s="33"/>
      <c r="T73" s="32">
        <v>77511486.275473565</v>
      </c>
      <c r="U73" s="32"/>
      <c r="V73" s="33">
        <v>130057.82399390099</v>
      </c>
      <c r="W73" s="33"/>
      <c r="X73" s="33">
        <v>326667.75716155925</v>
      </c>
      <c r="Y73" s="32"/>
      <c r="Z73" s="32">
        <f t="shared" si="21"/>
        <v>-7655743.8399283066</v>
      </c>
      <c r="AA73" s="32"/>
      <c r="AB73" s="32">
        <f t="shared" si="22"/>
        <v>-60857611.156027392</v>
      </c>
      <c r="AC73" s="12"/>
      <c r="AD73" s="32"/>
      <c r="AE73" s="32"/>
      <c r="AF73" s="32">
        <f>BB73/100*AF25</f>
        <v>6940325354.6935644</v>
      </c>
      <c r="AG73" s="34">
        <f t="shared" si="28"/>
        <v>1.9368744734347477E-3</v>
      </c>
      <c r="AH73" s="34">
        <f>(AF73-AF69)/AF69</f>
        <v>5.5018268354035367E-3</v>
      </c>
      <c r="AI73" s="34">
        <f t="shared" si="23"/>
        <v>-8.7686971497483099E-3</v>
      </c>
      <c r="AJ73" s="54"/>
      <c r="AK73" s="31"/>
      <c r="AL73" s="31"/>
      <c r="AM73" s="31"/>
      <c r="AN73" s="31"/>
      <c r="AO73" s="31"/>
      <c r="AP73" s="31"/>
      <c r="AQ73" s="31"/>
      <c r="AR73" s="31"/>
      <c r="AS73" s="31"/>
      <c r="AV73" s="31">
        <v>12518155</v>
      </c>
      <c r="AX73" s="31">
        <f t="shared" si="24"/>
        <v>-5.0971935973052581E-4</v>
      </c>
      <c r="AY73" s="38">
        <v>7251.1684231432</v>
      </c>
      <c r="AZ73" s="34">
        <f t="shared" si="25"/>
        <v>2.4478415453903926E-3</v>
      </c>
      <c r="BA73" s="31"/>
      <c r="BB73" s="31">
        <f t="shared" si="19"/>
        <v>120.76380214328097</v>
      </c>
      <c r="BC73" s="54" t="e">
        <f>(BA73-BA69)/BA69</f>
        <v>#DIV/0!</v>
      </c>
      <c r="BE73" s="34">
        <f t="shared" si="29"/>
        <v>9.4444583160472086E-3</v>
      </c>
    </row>
    <row r="74" spans="1:57" s="23" customFormat="1">
      <c r="A74" s="23">
        <f t="shared" si="26"/>
        <v>2030</v>
      </c>
      <c r="B74" s="23">
        <f t="shared" si="27"/>
        <v>1</v>
      </c>
      <c r="C74" s="24"/>
      <c r="D74" s="24">
        <v>120687999.78667448</v>
      </c>
      <c r="E74" s="24"/>
      <c r="F74" s="52">
        <v>24806053.539630599</v>
      </c>
      <c r="G74" s="53">
        <v>2869580.9673926798</v>
      </c>
      <c r="H74" s="53">
        <v>15787587.819330132</v>
      </c>
      <c r="I74" s="25">
        <v>88749.926826580428</v>
      </c>
      <c r="J74" s="24">
        <v>488275.91193806013</v>
      </c>
      <c r="K74" s="24"/>
      <c r="L74" s="52">
        <v>2854148.3711945298</v>
      </c>
      <c r="M74" s="25"/>
      <c r="N74" s="25">
        <v>1018763.4660768211</v>
      </c>
      <c r="O74" s="24"/>
      <c r="P74" s="24">
        <v>20415125.472716101</v>
      </c>
      <c r="Q74" s="25"/>
      <c r="R74" s="25">
        <v>17190403.694103535</v>
      </c>
      <c r="S74" s="25"/>
      <c r="T74" s="24">
        <v>65728998.445916727</v>
      </c>
      <c r="U74" s="24"/>
      <c r="V74" s="25">
        <v>125507.99267266601</v>
      </c>
      <c r="W74" s="25"/>
      <c r="X74" s="25">
        <v>315239.89263538551</v>
      </c>
      <c r="Y74" s="24"/>
      <c r="Z74" s="24">
        <f t="shared" si="21"/>
        <v>-11363053.690125749</v>
      </c>
      <c r="AA74" s="24"/>
      <c r="AB74" s="24">
        <f t="shared" si="22"/>
        <v>-75374126.81347385</v>
      </c>
      <c r="AC74" s="12"/>
      <c r="AD74" s="24"/>
      <c r="AE74" s="24"/>
      <c r="AF74" s="24">
        <f>BB74/100*AF25</f>
        <v>6960919730.2887421</v>
      </c>
      <c r="AG74" s="26">
        <f t="shared" si="28"/>
        <v>2.9673501662642087E-3</v>
      </c>
      <c r="AH74" s="26"/>
      <c r="AI74" s="26">
        <f t="shared" si="23"/>
        <v>-1.0828185029271598E-2</v>
      </c>
      <c r="AT74" s="26">
        <f>AVERAGE(AG74:AG77)</f>
        <v>5.3564461683709656E-3</v>
      </c>
      <c r="AV74" s="23">
        <v>12528013</v>
      </c>
      <c r="AX74" s="23">
        <f t="shared" si="24"/>
        <v>7.8749624046035535E-4</v>
      </c>
      <c r="AY74" s="30">
        <v>7266.9624733418996</v>
      </c>
      <c r="AZ74" s="26">
        <f t="shared" si="25"/>
        <v>2.178138649805796E-3</v>
      </c>
      <c r="BB74" s="23">
        <f t="shared" si="19"/>
        <v>121.12215063164952</v>
      </c>
      <c r="BE74" s="26">
        <f t="shared" si="29"/>
        <v>1.1152719613639386E-2</v>
      </c>
    </row>
    <row r="75" spans="1:57" s="31" customFormat="1">
      <c r="A75" s="31">
        <f t="shared" si="26"/>
        <v>2030</v>
      </c>
      <c r="B75" s="31">
        <f t="shared" si="27"/>
        <v>2</v>
      </c>
      <c r="C75" s="32"/>
      <c r="D75" s="32">
        <v>121474452.69307369</v>
      </c>
      <c r="E75" s="32"/>
      <c r="F75" s="33">
        <v>25021727.183941901</v>
      </c>
      <c r="G75" s="32">
        <v>2942307.4865459101</v>
      </c>
      <c r="H75" s="32">
        <v>16187707.669918999</v>
      </c>
      <c r="I75" s="33">
        <v>90999.200614819769</v>
      </c>
      <c r="J75" s="32">
        <v>500650.75267789513</v>
      </c>
      <c r="K75" s="32"/>
      <c r="L75" s="33">
        <v>2376788.6920042401</v>
      </c>
      <c r="M75" s="33"/>
      <c r="N75" s="33">
        <v>1028564.0936398767</v>
      </c>
      <c r="O75" s="32"/>
      <c r="P75" s="32">
        <v>17992023.989324555</v>
      </c>
      <c r="Q75" s="33"/>
      <c r="R75" s="33">
        <v>20370267.51631942</v>
      </c>
      <c r="S75" s="33"/>
      <c r="T75" s="32">
        <v>77887483.374362409</v>
      </c>
      <c r="U75" s="32"/>
      <c r="V75" s="33">
        <v>123761.02752683</v>
      </c>
      <c r="W75" s="33"/>
      <c r="X75" s="33">
        <v>310852.01985307276</v>
      </c>
      <c r="Y75" s="32"/>
      <c r="Z75" s="32">
        <f t="shared" si="21"/>
        <v>-7933051.4257397689</v>
      </c>
      <c r="AA75" s="32"/>
      <c r="AB75" s="32">
        <f t="shared" si="22"/>
        <v>-61578993.308035836</v>
      </c>
      <c r="AC75" s="12"/>
      <c r="AD75" s="32"/>
      <c r="AE75" s="32"/>
      <c r="AF75" s="32">
        <f>BB75/100*AF25</f>
        <v>6980991210.0330734</v>
      </c>
      <c r="AG75" s="34">
        <f t="shared" si="28"/>
        <v>2.8834522623490712E-3</v>
      </c>
      <c r="AH75" s="34"/>
      <c r="AI75" s="34">
        <f t="shared" si="23"/>
        <v>-8.8209527064773505E-3</v>
      </c>
      <c r="AV75" s="31">
        <v>12589547</v>
      </c>
      <c r="AX75" s="31">
        <f t="shared" si="24"/>
        <v>4.9117126554705844E-3</v>
      </c>
      <c r="AY75" s="38">
        <v>7252.2952225005001</v>
      </c>
      <c r="AZ75" s="34">
        <f t="shared" si="25"/>
        <v>-2.0183468533386171E-3</v>
      </c>
      <c r="BB75" s="31">
        <f t="shared" si="19"/>
        <v>121.47140057090895</v>
      </c>
      <c r="BE75" s="34">
        <f t="shared" si="29"/>
        <v>9.4127585144026197E-3</v>
      </c>
    </row>
    <row r="76" spans="1:57">
      <c r="A76" s="31">
        <f t="shared" si="26"/>
        <v>2030</v>
      </c>
      <c r="B76" s="31">
        <f t="shared" si="27"/>
        <v>3</v>
      </c>
      <c r="C76" s="32"/>
      <c r="D76" s="32">
        <v>121392051.72327574</v>
      </c>
      <c r="E76" s="32"/>
      <c r="F76" s="33">
        <v>25074300.634249602</v>
      </c>
      <c r="G76" s="32">
        <v>3009858.2885132101</v>
      </c>
      <c r="H76" s="32">
        <v>16559352.25163433</v>
      </c>
      <c r="I76" s="33">
        <v>93088.400675669778</v>
      </c>
      <c r="J76" s="32">
        <v>512144.91499901906</v>
      </c>
      <c r="K76" s="32"/>
      <c r="L76" s="33">
        <v>2359330.03954637</v>
      </c>
      <c r="M76" s="33"/>
      <c r="N76" s="33">
        <v>1028900.6776059307</v>
      </c>
      <c r="O76" s="32"/>
      <c r="P76" s="32">
        <v>17903282.744398631</v>
      </c>
      <c r="Q76" s="33"/>
      <c r="R76" s="33">
        <v>17458650.499419715</v>
      </c>
      <c r="S76" s="33"/>
      <c r="T76" s="32">
        <v>66754663.355449773</v>
      </c>
      <c r="U76" s="32"/>
      <c r="V76" s="33">
        <v>123164.946980405</v>
      </c>
      <c r="W76" s="33"/>
      <c r="X76" s="33">
        <v>309354.83737524331</v>
      </c>
      <c r="Y76" s="32"/>
      <c r="Z76" s="32">
        <f t="shared" si="21"/>
        <v>-10880715.905001782</v>
      </c>
      <c r="AA76" s="32"/>
      <c r="AB76" s="32">
        <f t="shared" si="22"/>
        <v>-72540671.112224594</v>
      </c>
      <c r="AC76" s="12"/>
      <c r="AD76" s="32"/>
      <c r="AE76" s="32"/>
      <c r="AF76" s="32">
        <f>BB76/100*AF25</f>
        <v>7043265421.7905874</v>
      </c>
      <c r="AG76" s="34">
        <f t="shared" si="28"/>
        <v>8.9205400614190099E-3</v>
      </c>
      <c r="AH76" s="34"/>
      <c r="AI76" s="34">
        <f t="shared" si="23"/>
        <v>-1.0299295393269845E-2</v>
      </c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2"/>
      <c r="AV76" s="31">
        <v>12669878</v>
      </c>
      <c r="AX76" s="31">
        <f t="shared" si="24"/>
        <v>6.38076969727346E-3</v>
      </c>
      <c r="AY76" s="38">
        <v>7270.5976036992997</v>
      </c>
      <c r="AZ76" s="34">
        <f t="shared" si="25"/>
        <v>2.5236674235234956E-3</v>
      </c>
      <c r="BA76" s="31"/>
      <c r="BB76" s="31">
        <f t="shared" si="19"/>
        <v>122.55499106601842</v>
      </c>
      <c r="BC76" s="31"/>
      <c r="BE76" s="34">
        <f t="shared" si="29"/>
        <v>1.1191222387639817E-2</v>
      </c>
    </row>
    <row r="77" spans="1:57">
      <c r="A77" s="31">
        <f t="shared" si="26"/>
        <v>2030</v>
      </c>
      <c r="B77" s="31">
        <f t="shared" si="27"/>
        <v>4</v>
      </c>
      <c r="C77" s="32"/>
      <c r="D77" s="32">
        <v>121486938.9528522</v>
      </c>
      <c r="E77" s="32"/>
      <c r="F77" s="33">
        <v>25141523.850926802</v>
      </c>
      <c r="G77" s="32">
        <v>3059834.6280133999</v>
      </c>
      <c r="H77" s="32">
        <v>16834307.326160349</v>
      </c>
      <c r="I77" s="33">
        <v>94634.060660200194</v>
      </c>
      <c r="J77" s="32">
        <v>520648.680190482</v>
      </c>
      <c r="K77" s="32"/>
      <c r="L77" s="33">
        <v>2328506.7530608401</v>
      </c>
      <c r="M77" s="33"/>
      <c r="N77" s="33">
        <v>1031050.1495605968</v>
      </c>
      <c r="O77" s="32"/>
      <c r="P77" s="32">
        <v>17755166.324795291</v>
      </c>
      <c r="Q77" s="33"/>
      <c r="R77" s="33">
        <v>20695004.629773065</v>
      </c>
      <c r="S77" s="33"/>
      <c r="T77" s="32">
        <v>79129143.873170093</v>
      </c>
      <c r="U77" s="32"/>
      <c r="V77" s="33">
        <v>129272.62942447601</v>
      </c>
      <c r="W77" s="33"/>
      <c r="X77" s="33">
        <v>324695.57478103961</v>
      </c>
      <c r="Y77" s="32"/>
      <c r="Z77" s="32">
        <f t="shared" si="21"/>
        <v>-7676803.4943506978</v>
      </c>
      <c r="AA77" s="32"/>
      <c r="AB77" s="32">
        <f t="shared" si="22"/>
        <v>-60112961.404477403</v>
      </c>
      <c r="AC77" s="12"/>
      <c r="AD77" s="32"/>
      <c r="AE77" s="32"/>
      <c r="AF77" s="32">
        <f>BB77/100*AF25</f>
        <v>7090134424.3225965</v>
      </c>
      <c r="AG77" s="34">
        <f t="shared" si="28"/>
        <v>6.6544421834515734E-3</v>
      </c>
      <c r="AH77" s="34">
        <f>(AF77-AF73)/AF73</f>
        <v>2.1585309329586414E-2</v>
      </c>
      <c r="AI77" s="34">
        <f t="shared" si="23"/>
        <v>-8.4783951624754564E-3</v>
      </c>
      <c r="AJ77" s="54"/>
      <c r="AK77" s="31"/>
      <c r="AL77" s="31"/>
      <c r="AM77" s="31"/>
      <c r="AN77" s="31"/>
      <c r="AO77" s="31"/>
      <c r="AP77" s="31"/>
      <c r="AQ77" s="31"/>
      <c r="AR77" s="31"/>
      <c r="AS77" s="31"/>
      <c r="AV77" s="31">
        <v>12712932</v>
      </c>
      <c r="AX77" s="31">
        <f t="shared" si="24"/>
        <v>3.3981384824699969E-3</v>
      </c>
      <c r="AY77" s="38">
        <v>7294.1926981859997</v>
      </c>
      <c r="AZ77" s="34">
        <f t="shared" si="25"/>
        <v>3.2452758043843215E-3</v>
      </c>
      <c r="BA77" s="31"/>
      <c r="BB77" s="31">
        <f t="shared" si="19"/>
        <v>123.37052616836066</v>
      </c>
      <c r="BC77" s="54" t="e">
        <f>(BA77-BA73)/BA73</f>
        <v>#DIV/0!</v>
      </c>
      <c r="BE77" s="34">
        <f t="shared" si="29"/>
        <v>9.4276172300709893E-3</v>
      </c>
    </row>
    <row r="78" spans="1:57" s="23" customFormat="1">
      <c r="A78" s="23">
        <f t="shared" si="26"/>
        <v>2031</v>
      </c>
      <c r="B78" s="23">
        <f t="shared" si="27"/>
        <v>1</v>
      </c>
      <c r="C78" s="24"/>
      <c r="D78" s="24">
        <v>121715272.55720551</v>
      </c>
      <c r="E78" s="24"/>
      <c r="F78" s="52">
        <v>25255329.851694401</v>
      </c>
      <c r="G78" s="53">
        <v>3132138.2933535301</v>
      </c>
      <c r="H78" s="53">
        <v>17232100.759831585</v>
      </c>
      <c r="I78" s="25">
        <v>96870.256495469715</v>
      </c>
      <c r="J78" s="24">
        <v>532951.56989169691</v>
      </c>
      <c r="K78" s="24"/>
      <c r="L78" s="52">
        <v>2814807.7328800499</v>
      </c>
      <c r="M78" s="25"/>
      <c r="N78" s="25">
        <v>1035611.0707212314</v>
      </c>
      <c r="O78" s="24"/>
      <c r="P78" s="24">
        <v>20303677.263391282</v>
      </c>
      <c r="Q78" s="25"/>
      <c r="R78" s="25">
        <v>17577885.161465734</v>
      </c>
      <c r="S78" s="25"/>
      <c r="T78" s="24">
        <v>67210567.420053586</v>
      </c>
      <c r="U78" s="24"/>
      <c r="V78" s="25">
        <v>130828.79158294899</v>
      </c>
      <c r="W78" s="25"/>
      <c r="X78" s="25">
        <v>328604.20546912419</v>
      </c>
      <c r="Y78" s="24"/>
      <c r="Z78" s="24">
        <f t="shared" ref="Z78:Z109" si="30">R78+V78-N78-L78-F78</f>
        <v>-11397034.702246999</v>
      </c>
      <c r="AA78" s="24"/>
      <c r="AB78" s="24">
        <f t="shared" ref="AB78:AB109" si="31">T78-P78-D78</f>
        <v>-74808382.400543213</v>
      </c>
      <c r="AC78" s="12"/>
      <c r="AD78" s="24"/>
      <c r="AE78" s="24"/>
      <c r="AF78" s="24">
        <f>BB78/100*AF25</f>
        <v>7120140707.033392</v>
      </c>
      <c r="AG78" s="26">
        <f t="shared" si="28"/>
        <v>4.2321176038439146E-3</v>
      </c>
      <c r="AH78" s="26"/>
      <c r="AI78" s="26">
        <f t="shared" ref="AI78:AI109" si="32">AB78/AF78</f>
        <v>-1.0506587647438802E-2</v>
      </c>
      <c r="AT78" s="26">
        <f>AVERAGE(AG78:AG81)</f>
        <v>1.4856779293320257E-3</v>
      </c>
      <c r="AV78" s="23">
        <v>12781006</v>
      </c>
      <c r="AX78" s="23">
        <f t="shared" si="24"/>
        <v>5.3547049571255473E-3</v>
      </c>
      <c r="AY78" s="30">
        <v>7286.0479424743999</v>
      </c>
      <c r="AZ78" s="26">
        <f t="shared" si="25"/>
        <v>-1.1166082455739558E-3</v>
      </c>
      <c r="BB78" s="23">
        <f t="shared" si="19"/>
        <v>123.89264474395328</v>
      </c>
      <c r="BE78" s="26">
        <f t="shared" si="29"/>
        <v>1.1149754529112424E-2</v>
      </c>
    </row>
    <row r="79" spans="1:57" s="31" customFormat="1">
      <c r="A79" s="31">
        <f t="shared" si="26"/>
        <v>2031</v>
      </c>
      <c r="B79" s="31">
        <f t="shared" si="27"/>
        <v>2</v>
      </c>
      <c r="C79" s="32"/>
      <c r="D79" s="32">
        <v>121733178.69299175</v>
      </c>
      <c r="E79" s="32"/>
      <c r="F79" s="33">
        <v>25386913.588541798</v>
      </c>
      <c r="G79" s="32">
        <v>3260467.3780628201</v>
      </c>
      <c r="H79" s="32">
        <v>17938129.520700812</v>
      </c>
      <c r="I79" s="33">
        <v>100839.1972596799</v>
      </c>
      <c r="J79" s="32">
        <v>554787.51094953751</v>
      </c>
      <c r="K79" s="32"/>
      <c r="L79" s="33">
        <v>2275706.5955677801</v>
      </c>
      <c r="M79" s="33"/>
      <c r="N79" s="33">
        <v>1037413.8951341212</v>
      </c>
      <c r="O79" s="32"/>
      <c r="P79" s="32">
        <v>17516197.507099453</v>
      </c>
      <c r="Q79" s="33"/>
      <c r="R79" s="33">
        <v>20879251.262726195</v>
      </c>
      <c r="S79" s="33"/>
      <c r="T79" s="32">
        <v>79833626.843235284</v>
      </c>
      <c r="U79" s="32"/>
      <c r="V79" s="33">
        <v>134889.02215314901</v>
      </c>
      <c r="W79" s="33"/>
      <c r="X79" s="33">
        <v>338802.33406451141</v>
      </c>
      <c r="Y79" s="32"/>
      <c r="Z79" s="32">
        <f t="shared" si="30"/>
        <v>-7685893.7943643555</v>
      </c>
      <c r="AA79" s="32"/>
      <c r="AB79" s="32">
        <f t="shared" si="31"/>
        <v>-59415749.356855914</v>
      </c>
      <c r="AC79" s="12"/>
      <c r="AD79" s="32"/>
      <c r="AE79" s="32"/>
      <c r="AF79" s="32">
        <f>BB79/100*AF25</f>
        <v>7150551924.4817362</v>
      </c>
      <c r="AG79" s="34">
        <f t="shared" si="28"/>
        <v>4.2711539981651666E-3</v>
      </c>
      <c r="AH79" s="34"/>
      <c r="AI79" s="34">
        <f t="shared" si="32"/>
        <v>-8.3092536050861972E-3</v>
      </c>
      <c r="AV79" s="31">
        <v>12779934</v>
      </c>
      <c r="AX79" s="31">
        <f t="shared" ref="AX79:AX110" si="33">(AV79-AV78)/AV78</f>
        <v>-8.3874461838136992E-5</v>
      </c>
      <c r="AY79" s="38">
        <v>7317.7815502640997</v>
      </c>
      <c r="AZ79" s="34">
        <f t="shared" ref="AZ79:AZ110" si="34">(AY79-AY78)/AY78</f>
        <v>4.3553937663115116E-3</v>
      </c>
      <c r="BB79" s="31">
        <f t="shared" si="19"/>
        <v>124.42180930889467</v>
      </c>
      <c r="BE79" s="34">
        <f t="shared" si="29"/>
        <v>9.4241055162577868E-3</v>
      </c>
    </row>
    <row r="80" spans="1:57">
      <c r="A80" s="31">
        <f t="shared" si="26"/>
        <v>2031</v>
      </c>
      <c r="B80" s="31">
        <f t="shared" si="27"/>
        <v>3</v>
      </c>
      <c r="C80" s="32"/>
      <c r="D80" s="32">
        <v>121837671.16916342</v>
      </c>
      <c r="E80" s="32"/>
      <c r="F80" s="33">
        <v>25488604.003524099</v>
      </c>
      <c r="G80" s="32">
        <v>3343165.0485999701</v>
      </c>
      <c r="H80" s="32">
        <v>18393107.704238724</v>
      </c>
      <c r="I80" s="33">
        <v>103396.85717319977</v>
      </c>
      <c r="J80" s="32">
        <v>568859.00116204889</v>
      </c>
      <c r="K80" s="32"/>
      <c r="L80" s="33">
        <v>2243885.2645250601</v>
      </c>
      <c r="M80" s="33"/>
      <c r="N80" s="33">
        <v>1041016.5490045995</v>
      </c>
      <c r="O80" s="32"/>
      <c r="P80" s="32">
        <v>17370897.207687166</v>
      </c>
      <c r="Q80" s="33"/>
      <c r="R80" s="33">
        <v>17672308.965819791</v>
      </c>
      <c r="S80" s="33"/>
      <c r="T80" s="32">
        <v>67571605.019872963</v>
      </c>
      <c r="U80" s="32"/>
      <c r="V80" s="33">
        <v>133941.50011601299</v>
      </c>
      <c r="W80" s="33"/>
      <c r="X80" s="33">
        <v>336422.43188540917</v>
      </c>
      <c r="Y80" s="32"/>
      <c r="Z80" s="32">
        <f t="shared" si="30"/>
        <v>-10967255.351117954</v>
      </c>
      <c r="AA80" s="32"/>
      <c r="AB80" s="32">
        <f t="shared" si="31"/>
        <v>-71636963.356977627</v>
      </c>
      <c r="AC80" s="12"/>
      <c r="AD80" s="32"/>
      <c r="AE80" s="32"/>
      <c r="AF80" s="32">
        <f>BB80/100*AF25</f>
        <v>7154630023.0963087</v>
      </c>
      <c r="AG80" s="34">
        <f t="shared" si="28"/>
        <v>5.7031941836686981E-4</v>
      </c>
      <c r="AH80" s="34"/>
      <c r="AI80" s="34">
        <f t="shared" si="32"/>
        <v>-1.0012671951690285E-2</v>
      </c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2"/>
      <c r="AV80" s="31">
        <v>12755254</v>
      </c>
      <c r="AX80" s="31">
        <f t="shared" si="33"/>
        <v>-1.931152383103074E-3</v>
      </c>
      <c r="AY80" s="38">
        <v>7336.1221930374004</v>
      </c>
      <c r="AZ80" s="34">
        <f t="shared" si="34"/>
        <v>2.5063118716134396E-3</v>
      </c>
      <c r="BA80" s="31"/>
      <c r="BB80" s="31">
        <f t="shared" si="19"/>
        <v>124.49276948281187</v>
      </c>
      <c r="BC80" s="31"/>
      <c r="BE80" s="34">
        <f t="shared" si="29"/>
        <v>1.1188832612921532E-2</v>
      </c>
    </row>
    <row r="81" spans="1:57">
      <c r="A81" s="31">
        <f t="shared" si="26"/>
        <v>2031</v>
      </c>
      <c r="B81" s="31">
        <f t="shared" si="27"/>
        <v>4</v>
      </c>
      <c r="C81" s="32"/>
      <c r="D81" s="32">
        <v>121969115.02026096</v>
      </c>
      <c r="E81" s="32"/>
      <c r="F81" s="33">
        <v>25562532.1274864</v>
      </c>
      <c r="G81" s="32">
        <v>3393201.69669485</v>
      </c>
      <c r="H81" s="32">
        <v>18668394.578858819</v>
      </c>
      <c r="I81" s="33">
        <v>104944.38237199979</v>
      </c>
      <c r="J81" s="32">
        <v>577373.02821209608</v>
      </c>
      <c r="K81" s="32"/>
      <c r="L81" s="33">
        <v>2235363.7990598599</v>
      </c>
      <c r="M81" s="33"/>
      <c r="N81" s="33">
        <v>1043102.246882502</v>
      </c>
      <c r="O81" s="32"/>
      <c r="P81" s="32">
        <v>17338154.177222759</v>
      </c>
      <c r="Q81" s="33"/>
      <c r="R81" s="33">
        <v>20803440.68029616</v>
      </c>
      <c r="S81" s="33"/>
      <c r="T81" s="32">
        <v>79543758.510681987</v>
      </c>
      <c r="U81" s="32"/>
      <c r="V81" s="33">
        <v>132827.854667487</v>
      </c>
      <c r="W81" s="33"/>
      <c r="X81" s="33">
        <v>333625.27559160389</v>
      </c>
      <c r="Y81" s="32"/>
      <c r="Z81" s="32">
        <f t="shared" si="30"/>
        <v>-7904729.6384651139</v>
      </c>
      <c r="AA81" s="32"/>
      <c r="AB81" s="32">
        <f t="shared" si="31"/>
        <v>-59763510.686801732</v>
      </c>
      <c r="AC81" s="12"/>
      <c r="AD81" s="32"/>
      <c r="AE81" s="32"/>
      <c r="AF81" s="32">
        <f>BB81/100*AF25</f>
        <v>7132229740.0360317</v>
      </c>
      <c r="AG81" s="34">
        <f t="shared" si="28"/>
        <v>-3.1308793030478486E-3</v>
      </c>
      <c r="AH81" s="34">
        <f>(AF81-AF77)/AF77</f>
        <v>5.9371675054605234E-3</v>
      </c>
      <c r="AI81" s="34">
        <f t="shared" si="32"/>
        <v>-8.3793586108598644E-3</v>
      </c>
      <c r="AJ81" s="54"/>
      <c r="AK81" s="31"/>
      <c r="AL81" s="31"/>
      <c r="AM81" s="31"/>
      <c r="AN81" s="31"/>
      <c r="AO81" s="31"/>
      <c r="AP81" s="31"/>
      <c r="AQ81" s="31"/>
      <c r="AR81" s="31"/>
      <c r="AS81" s="31"/>
      <c r="AV81" s="31">
        <v>12683930</v>
      </c>
      <c r="AX81" s="31">
        <f t="shared" si="33"/>
        <v>-5.591734982306115E-3</v>
      </c>
      <c r="AY81" s="38">
        <v>7354.2768470135998</v>
      </c>
      <c r="AZ81" s="34">
        <f t="shared" si="34"/>
        <v>2.4746935095260095E-3</v>
      </c>
      <c r="BA81" s="31"/>
      <c r="BB81" s="31">
        <f t="shared" si="19"/>
        <v>124.10299764745903</v>
      </c>
      <c r="BC81" s="54" t="e">
        <f>(BA81-BA77)/BA77</f>
        <v>#DIV/0!</v>
      </c>
      <c r="BE81" s="34">
        <f t="shared" si="29"/>
        <v>9.4433982483933202E-3</v>
      </c>
    </row>
    <row r="82" spans="1:57" s="23" customFormat="1">
      <c r="A82" s="23">
        <f t="shared" ref="A82:A113" si="35">A78+1</f>
        <v>2032</v>
      </c>
      <c r="B82" s="23">
        <f t="shared" ref="B82:B113" si="36">B78</f>
        <v>1</v>
      </c>
      <c r="C82" s="24"/>
      <c r="D82" s="24">
        <v>122343396.64913292</v>
      </c>
      <c r="E82" s="24"/>
      <c r="F82" s="52">
        <v>25736667.302780598</v>
      </c>
      <c r="G82" s="53">
        <v>3499306.7554857102</v>
      </c>
      <c r="H82" s="53">
        <v>19252153.306272577</v>
      </c>
      <c r="I82" s="25">
        <v>108225.98212841991</v>
      </c>
      <c r="J82" s="24">
        <v>595427.42184345913</v>
      </c>
      <c r="K82" s="24"/>
      <c r="L82" s="52">
        <v>2723733.6468122299</v>
      </c>
      <c r="M82" s="25"/>
      <c r="N82" s="25">
        <v>1047835.0079888813</v>
      </c>
      <c r="O82" s="24"/>
      <c r="P82" s="24">
        <v>19898345.894039407</v>
      </c>
      <c r="Q82" s="25"/>
      <c r="R82" s="25">
        <v>17567081.777495164</v>
      </c>
      <c r="S82" s="25"/>
      <c r="T82" s="24">
        <v>67169259.745094463</v>
      </c>
      <c r="U82" s="24"/>
      <c r="V82" s="25">
        <v>133521.86660548099</v>
      </c>
      <c r="W82" s="25"/>
      <c r="X82" s="25">
        <v>335368.43349065096</v>
      </c>
      <c r="Y82" s="24"/>
      <c r="Z82" s="24">
        <f t="shared" si="30"/>
        <v>-11807632.313481066</v>
      </c>
      <c r="AA82" s="24"/>
      <c r="AB82" s="24">
        <f t="shared" si="31"/>
        <v>-75072482.798077866</v>
      </c>
      <c r="AC82" s="12"/>
      <c r="AD82" s="24"/>
      <c r="AE82" s="24"/>
      <c r="AF82" s="24">
        <f>BB82/100*AF25</f>
        <v>7135980344.3717012</v>
      </c>
      <c r="AG82" s="26">
        <f t="shared" si="28"/>
        <v>5.2586701107171143E-4</v>
      </c>
      <c r="AH82" s="26"/>
      <c r="AI82" s="26">
        <f t="shared" si="32"/>
        <v>-1.0520276006265785E-2</v>
      </c>
      <c r="AT82" s="26">
        <f>AVERAGE(AG82:AG85)</f>
        <v>3.8236484215943374E-3</v>
      </c>
      <c r="AV82" s="23">
        <v>12761743</v>
      </c>
      <c r="AX82" s="23">
        <f t="shared" si="33"/>
        <v>6.1347705324769214E-3</v>
      </c>
      <c r="AY82" s="30">
        <v>7313.2789305189999</v>
      </c>
      <c r="AZ82" s="26">
        <f t="shared" si="34"/>
        <v>-5.574703991630142E-3</v>
      </c>
      <c r="BB82" s="23">
        <f t="shared" si="19"/>
        <v>124.16825931989693</v>
      </c>
      <c r="BE82" s="26">
        <f t="shared" si="29"/>
        <v>1.118688890603277E-2</v>
      </c>
    </row>
    <row r="83" spans="1:57" s="31" customFormat="1">
      <c r="A83" s="31">
        <f t="shared" si="35"/>
        <v>2032</v>
      </c>
      <c r="B83" s="31">
        <f t="shared" si="36"/>
        <v>2</v>
      </c>
      <c r="C83" s="32"/>
      <c r="D83" s="32">
        <v>122776952.58107911</v>
      </c>
      <c r="E83" s="32"/>
      <c r="F83" s="33">
        <v>25915329.332854599</v>
      </c>
      <c r="G83" s="32">
        <v>3599164.86282937</v>
      </c>
      <c r="H83" s="32">
        <v>19801543.149972495</v>
      </c>
      <c r="I83" s="33">
        <v>111314.37720090011</v>
      </c>
      <c r="J83" s="32">
        <v>612418.86030838231</v>
      </c>
      <c r="K83" s="32"/>
      <c r="L83" s="33">
        <v>2232697.0145353698</v>
      </c>
      <c r="M83" s="33"/>
      <c r="N83" s="33">
        <v>1052520.5069640987</v>
      </c>
      <c r="O83" s="32"/>
      <c r="P83" s="32">
        <v>17376132.70778079</v>
      </c>
      <c r="Q83" s="33"/>
      <c r="R83" s="33">
        <v>21029955.852473613</v>
      </c>
      <c r="S83" s="33"/>
      <c r="T83" s="32">
        <v>80409858.903957516</v>
      </c>
      <c r="U83" s="32"/>
      <c r="V83" s="33">
        <v>128080.444675836</v>
      </c>
      <c r="W83" s="33"/>
      <c r="X83" s="33">
        <v>321701.15040885645</v>
      </c>
      <c r="Y83" s="32"/>
      <c r="Z83" s="32">
        <f t="shared" si="30"/>
        <v>-8042510.5572046191</v>
      </c>
      <c r="AA83" s="32"/>
      <c r="AB83" s="32">
        <f t="shared" si="31"/>
        <v>-59743226.384902388</v>
      </c>
      <c r="AC83" s="12"/>
      <c r="AD83" s="32"/>
      <c r="AE83" s="32"/>
      <c r="AF83" s="32">
        <f>BB83/100*AF25</f>
        <v>7185082747.7761908</v>
      </c>
      <c r="AG83" s="34">
        <f t="shared" si="28"/>
        <v>6.8809611342634403E-3</v>
      </c>
      <c r="AH83" s="34"/>
      <c r="AI83" s="34">
        <f t="shared" si="32"/>
        <v>-8.3148974732953681E-3</v>
      </c>
      <c r="AV83" s="31">
        <v>12697036</v>
      </c>
      <c r="AX83" s="31">
        <f t="shared" si="33"/>
        <v>-5.0703888959368641E-3</v>
      </c>
      <c r="AY83" s="38">
        <v>7401.1279154036001</v>
      </c>
      <c r="AZ83" s="34">
        <f t="shared" si="34"/>
        <v>1.2012256843916913E-2</v>
      </c>
      <c r="BB83" s="31">
        <f t="shared" si="19"/>
        <v>125.02265628638629</v>
      </c>
      <c r="BE83" s="34">
        <f t="shared" si="29"/>
        <v>9.4278484763836191E-3</v>
      </c>
    </row>
    <row r="84" spans="1:57">
      <c r="A84" s="31">
        <f t="shared" si="35"/>
        <v>2032</v>
      </c>
      <c r="B84" s="31">
        <f t="shared" si="36"/>
        <v>3</v>
      </c>
      <c r="C84" s="32"/>
      <c r="D84" s="32">
        <v>122802109.17902739</v>
      </c>
      <c r="E84" s="32"/>
      <c r="F84" s="33">
        <v>25983122.553222701</v>
      </c>
      <c r="G84" s="32">
        <v>3662385.5737360599</v>
      </c>
      <c r="H84" s="32">
        <v>20149364.848255757</v>
      </c>
      <c r="I84" s="33">
        <v>113269.65691966983</v>
      </c>
      <c r="J84" s="32">
        <v>623176.2324202694</v>
      </c>
      <c r="K84" s="32"/>
      <c r="L84" s="33">
        <v>2311327.7257606699</v>
      </c>
      <c r="M84" s="33"/>
      <c r="N84" s="33">
        <v>1053606.4244679287</v>
      </c>
      <c r="O84" s="32"/>
      <c r="P84" s="32">
        <v>17790122.239832159</v>
      </c>
      <c r="Q84" s="33"/>
      <c r="R84" s="33">
        <v>17777042.103018716</v>
      </c>
      <c r="S84" s="33"/>
      <c r="T84" s="32">
        <v>67972061.247352108</v>
      </c>
      <c r="U84" s="32"/>
      <c r="V84" s="33">
        <v>133383.99088340599</v>
      </c>
      <c r="W84" s="33"/>
      <c r="X84" s="33">
        <v>335022.12942747225</v>
      </c>
      <c r="Y84" s="32"/>
      <c r="Z84" s="32">
        <f t="shared" si="30"/>
        <v>-11437630.609549178</v>
      </c>
      <c r="AA84" s="32"/>
      <c r="AB84" s="32">
        <f t="shared" si="31"/>
        <v>-72620170.171507448</v>
      </c>
      <c r="AC84" s="12"/>
      <c r="AD84" s="32"/>
      <c r="AE84" s="32"/>
      <c r="AF84" s="32">
        <f>BB84/100*AF25</f>
        <v>7209887672.4167013</v>
      </c>
      <c r="AG84" s="34">
        <f t="shared" si="28"/>
        <v>3.4522809981816526E-3</v>
      </c>
      <c r="AH84" s="34"/>
      <c r="AI84" s="34">
        <f t="shared" si="32"/>
        <v>-1.0072302575438835E-2</v>
      </c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2"/>
      <c r="AV84" s="31">
        <v>12761685</v>
      </c>
      <c r="AX84" s="31">
        <f t="shared" si="33"/>
        <v>5.0916607624015555E-3</v>
      </c>
      <c r="AY84" s="38">
        <v>7389.0561215458001</v>
      </c>
      <c r="AZ84" s="34">
        <f t="shared" si="34"/>
        <v>-1.6310748842315746E-3</v>
      </c>
      <c r="BA84" s="31"/>
      <c r="BB84" s="31">
        <f t="shared" si="19"/>
        <v>125.45426962702597</v>
      </c>
      <c r="BC84" s="31"/>
      <c r="BE84" s="34">
        <f t="shared" si="29"/>
        <v>1.1192604853275204E-2</v>
      </c>
    </row>
    <row r="85" spans="1:57">
      <c r="A85" s="31">
        <f t="shared" si="35"/>
        <v>2032</v>
      </c>
      <c r="B85" s="31">
        <f t="shared" si="36"/>
        <v>4</v>
      </c>
      <c r="C85" s="32"/>
      <c r="D85" s="32">
        <v>123254975.54824819</v>
      </c>
      <c r="E85" s="32"/>
      <c r="F85" s="33">
        <v>26169773.523501702</v>
      </c>
      <c r="G85" s="32">
        <v>3766722.72072807</v>
      </c>
      <c r="H85" s="32">
        <v>20723397.046570551</v>
      </c>
      <c r="I85" s="33">
        <v>116496.57899159007</v>
      </c>
      <c r="J85" s="32">
        <v>640929.80556403915</v>
      </c>
      <c r="K85" s="32"/>
      <c r="L85" s="33">
        <v>2271130.4448170899</v>
      </c>
      <c r="M85" s="33"/>
      <c r="N85" s="33">
        <v>1060596.1222860068</v>
      </c>
      <c r="O85" s="32"/>
      <c r="P85" s="32">
        <v>17619993.613026887</v>
      </c>
      <c r="Q85" s="33"/>
      <c r="R85" s="33">
        <v>21117617.178118039</v>
      </c>
      <c r="S85" s="33"/>
      <c r="T85" s="32">
        <v>80745039.580315098</v>
      </c>
      <c r="U85" s="32"/>
      <c r="V85" s="33">
        <v>134251.72608122701</v>
      </c>
      <c r="W85" s="33"/>
      <c r="X85" s="33">
        <v>337201.63006939925</v>
      </c>
      <c r="Y85" s="32"/>
      <c r="Z85" s="32">
        <f t="shared" si="30"/>
        <v>-8249631.1864055321</v>
      </c>
      <c r="AA85" s="32"/>
      <c r="AB85" s="32">
        <f t="shared" si="31"/>
        <v>-60129929.580959976</v>
      </c>
      <c r="AC85" s="12"/>
      <c r="AD85" s="32"/>
      <c r="AE85" s="32"/>
      <c r="AF85" s="32">
        <f>BB85/100*AF25</f>
        <v>7241867017.7434664</v>
      </c>
      <c r="AG85" s="34">
        <f t="shared" si="28"/>
        <v>4.4354845428605438E-3</v>
      </c>
      <c r="AH85" s="34">
        <f>(AF85-AF81)/AF81</f>
        <v>1.537209003406006E-2</v>
      </c>
      <c r="AI85" s="34">
        <f t="shared" si="32"/>
        <v>-8.3030977279248894E-3</v>
      </c>
      <c r="AJ85" s="54"/>
      <c r="AK85" s="31"/>
      <c r="AL85" s="31"/>
      <c r="AM85" s="31"/>
      <c r="AN85" s="31"/>
      <c r="AO85" s="31"/>
      <c r="AP85" s="31"/>
      <c r="AQ85" s="31"/>
      <c r="AR85" s="31"/>
      <c r="AS85" s="31"/>
      <c r="AV85" s="31">
        <v>12832907</v>
      </c>
      <c r="AX85" s="31">
        <f t="shared" si="33"/>
        <v>5.5809244625611744E-3</v>
      </c>
      <c r="AY85" s="38">
        <v>7380.6393749223998</v>
      </c>
      <c r="AZ85" s="34">
        <f t="shared" si="34"/>
        <v>-1.1390827847223728E-3</v>
      </c>
      <c r="BA85" s="31"/>
      <c r="BB85" s="31">
        <f t="shared" si="19"/>
        <v>126.0107201007925</v>
      </c>
      <c r="BC85" s="54" t="e">
        <f>(BA85-BA81)/BA81</f>
        <v>#DIV/0!</v>
      </c>
      <c r="BE85" s="34">
        <f t="shared" si="29"/>
        <v>9.4045063326978501E-3</v>
      </c>
    </row>
    <row r="86" spans="1:57" s="23" customFormat="1">
      <c r="A86" s="23">
        <f t="shared" si="35"/>
        <v>2033</v>
      </c>
      <c r="B86" s="23">
        <f t="shared" si="36"/>
        <v>1</v>
      </c>
      <c r="C86" s="24"/>
      <c r="D86" s="24">
        <v>123272221.36268136</v>
      </c>
      <c r="E86" s="24"/>
      <c r="F86" s="52">
        <v>26238046.533321399</v>
      </c>
      <c r="G86" s="53">
        <v>3831861.0996319498</v>
      </c>
      <c r="H86" s="53">
        <v>21081769.18837082</v>
      </c>
      <c r="I86" s="25">
        <v>118511.16802985035</v>
      </c>
      <c r="J86" s="24">
        <v>652013.48005268513</v>
      </c>
      <c r="K86" s="24"/>
      <c r="L86" s="52">
        <v>2765405.8423596099</v>
      </c>
      <c r="M86" s="25"/>
      <c r="N86" s="25">
        <v>1062274.0848465525</v>
      </c>
      <c r="O86" s="24"/>
      <c r="P86" s="24">
        <v>20194022.655490536</v>
      </c>
      <c r="Q86" s="25"/>
      <c r="R86" s="25">
        <v>17816344.833446685</v>
      </c>
      <c r="S86" s="25"/>
      <c r="T86" s="24">
        <v>68122338.643577904</v>
      </c>
      <c r="U86" s="24"/>
      <c r="V86" s="25">
        <v>132443.056550735</v>
      </c>
      <c r="W86" s="25"/>
      <c r="X86" s="25">
        <v>332658.77366269828</v>
      </c>
      <c r="Y86" s="24"/>
      <c r="Z86" s="24">
        <f t="shared" si="30"/>
        <v>-12116938.570530143</v>
      </c>
      <c r="AA86" s="24"/>
      <c r="AB86" s="24">
        <f t="shared" si="31"/>
        <v>-75343905.374593988</v>
      </c>
      <c r="AC86" s="12"/>
      <c r="AD86" s="24"/>
      <c r="AE86" s="24"/>
      <c r="AF86" s="24">
        <f>BB86/100*AF25</f>
        <v>7228520364.7240744</v>
      </c>
      <c r="AG86" s="26">
        <f t="shared" si="28"/>
        <v>-1.8429851013131101E-3</v>
      </c>
      <c r="AH86" s="26"/>
      <c r="AI86" s="26">
        <f t="shared" si="32"/>
        <v>-1.0423143544324786E-2</v>
      </c>
      <c r="AT86" s="26">
        <f>AVERAGE(AG86:AG89)</f>
        <v>2.2954441643267629E-3</v>
      </c>
      <c r="AV86" s="23">
        <v>12727551</v>
      </c>
      <c r="AX86" s="23">
        <f t="shared" si="33"/>
        <v>-8.209831178547464E-3</v>
      </c>
      <c r="AY86" s="30">
        <v>7428.0197546932004</v>
      </c>
      <c r="AZ86" s="26">
        <f t="shared" si="34"/>
        <v>6.419549494829333E-3</v>
      </c>
      <c r="BB86" s="23">
        <f t="shared" si="19"/>
        <v>125.77848422104101</v>
      </c>
      <c r="BE86" s="26">
        <f t="shared" si="29"/>
        <v>1.1130196806962707E-2</v>
      </c>
    </row>
    <row r="87" spans="1:57" s="31" customFormat="1">
      <c r="A87" s="31">
        <f t="shared" si="35"/>
        <v>2033</v>
      </c>
      <c r="B87" s="31">
        <f t="shared" si="36"/>
        <v>2</v>
      </c>
      <c r="C87" s="32"/>
      <c r="D87" s="32">
        <v>123394399.66744348</v>
      </c>
      <c r="E87" s="32"/>
      <c r="F87" s="33">
        <v>26340214.442463901</v>
      </c>
      <c r="G87" s="32">
        <v>3911821.65563185</v>
      </c>
      <c r="H87" s="32">
        <v>21521688.575304136</v>
      </c>
      <c r="I87" s="33">
        <v>120984.17491644993</v>
      </c>
      <c r="J87" s="32">
        <v>665619.23428776208</v>
      </c>
      <c r="K87" s="32"/>
      <c r="L87" s="33">
        <v>2255717.4344977802</v>
      </c>
      <c r="M87" s="33"/>
      <c r="N87" s="33">
        <v>1065244.6356758475</v>
      </c>
      <c r="O87" s="32"/>
      <c r="P87" s="32">
        <v>17565590.178347342</v>
      </c>
      <c r="Q87" s="33"/>
      <c r="R87" s="33">
        <v>21178774.333461035</v>
      </c>
      <c r="S87" s="33"/>
      <c r="T87" s="32">
        <v>80978879.264363676</v>
      </c>
      <c r="U87" s="32"/>
      <c r="V87" s="33">
        <v>134123.18843366401</v>
      </c>
      <c r="W87" s="33"/>
      <c r="X87" s="33">
        <v>336878.78055715305</v>
      </c>
      <c r="Y87" s="32"/>
      <c r="Z87" s="32">
        <f t="shared" si="30"/>
        <v>-8348278.9907428287</v>
      </c>
      <c r="AA87" s="32"/>
      <c r="AB87" s="32">
        <f t="shared" si="31"/>
        <v>-59981110.581427149</v>
      </c>
      <c r="AC87" s="12"/>
      <c r="AD87" s="32"/>
      <c r="AE87" s="32"/>
      <c r="AF87" s="32">
        <f>BB87/100*AF25</f>
        <v>7237473476.0840397</v>
      </c>
      <c r="AG87" s="34">
        <f t="shared" si="28"/>
        <v>1.2385814673300821E-3</v>
      </c>
      <c r="AH87" s="34"/>
      <c r="AI87" s="34">
        <f t="shared" si="32"/>
        <v>-8.2875758757019954E-3</v>
      </c>
      <c r="AV87" s="31">
        <v>12717402</v>
      </c>
      <c r="AX87" s="31">
        <f t="shared" si="33"/>
        <v>-7.9740399390267622E-4</v>
      </c>
      <c r="AY87" s="38">
        <v>7443.1551639552999</v>
      </c>
      <c r="AZ87" s="34">
        <f t="shared" si="34"/>
        <v>2.0376102597918664E-3</v>
      </c>
      <c r="BB87" s="31">
        <f t="shared" si="19"/>
        <v>125.93427112058606</v>
      </c>
      <c r="BE87" s="34">
        <f t="shared" si="29"/>
        <v>9.3974256003634994E-3</v>
      </c>
    </row>
    <row r="88" spans="1:57">
      <c r="A88" s="31">
        <f t="shared" si="35"/>
        <v>2033</v>
      </c>
      <c r="B88" s="31">
        <f t="shared" si="36"/>
        <v>3</v>
      </c>
      <c r="C88" s="32"/>
      <c r="D88" s="32">
        <v>123442615.23790848</v>
      </c>
      <c r="E88" s="32"/>
      <c r="F88" s="33">
        <v>26427529.887925901</v>
      </c>
      <c r="G88" s="32">
        <v>3990373.3504232801</v>
      </c>
      <c r="H88" s="32">
        <v>21953856.823549703</v>
      </c>
      <c r="I88" s="33">
        <v>123413.60877597984</v>
      </c>
      <c r="J88" s="32">
        <v>678985.26258402306</v>
      </c>
      <c r="K88" s="32"/>
      <c r="L88" s="33">
        <v>2301470.3952683001</v>
      </c>
      <c r="M88" s="33"/>
      <c r="N88" s="33">
        <v>1066561.3502921201</v>
      </c>
      <c r="O88" s="32"/>
      <c r="P88" s="32">
        <v>17810246.684611104</v>
      </c>
      <c r="Q88" s="33"/>
      <c r="R88" s="33">
        <v>17954356.595300514</v>
      </c>
      <c r="S88" s="33"/>
      <c r="T88" s="32">
        <v>68650038.576740041</v>
      </c>
      <c r="U88" s="32"/>
      <c r="V88" s="33">
        <v>136109.52423454801</v>
      </c>
      <c r="W88" s="33"/>
      <c r="X88" s="33">
        <v>341867.88341247156</v>
      </c>
      <c r="Y88" s="32"/>
      <c r="Z88" s="32">
        <f t="shared" si="30"/>
        <v>-11705095.513951259</v>
      </c>
      <c r="AA88" s="32"/>
      <c r="AB88" s="32">
        <f t="shared" si="31"/>
        <v>-72602823.345779538</v>
      </c>
      <c r="AC88" s="12"/>
      <c r="AD88" s="32"/>
      <c r="AE88" s="32"/>
      <c r="AF88" s="32">
        <f>BB88/100*AF25</f>
        <v>7269632898.1381273</v>
      </c>
      <c r="AG88" s="34">
        <f t="shared" si="28"/>
        <v>4.4434597460505029E-3</v>
      </c>
      <c r="AH88" s="34"/>
      <c r="AI88" s="34">
        <f t="shared" si="32"/>
        <v>-9.9871375024142301E-3</v>
      </c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2"/>
      <c r="AV88" s="31">
        <v>12766226</v>
      </c>
      <c r="AX88" s="31">
        <f t="shared" si="33"/>
        <v>3.8391489079294657E-3</v>
      </c>
      <c r="AY88" s="38">
        <v>7447.6359409206998</v>
      </c>
      <c r="AZ88" s="34">
        <f t="shared" si="34"/>
        <v>6.0199967173850584E-4</v>
      </c>
      <c r="BA88" s="31"/>
      <c r="BB88" s="31">
        <f t="shared" si="19"/>
        <v>126.49385498495859</v>
      </c>
      <c r="BC88" s="31"/>
      <c r="BE88" s="34">
        <f t="shared" si="29"/>
        <v>1.1153864862367859E-2</v>
      </c>
    </row>
    <row r="89" spans="1:57">
      <c r="A89" s="31">
        <f t="shared" si="35"/>
        <v>2033</v>
      </c>
      <c r="B89" s="31">
        <f t="shared" si="36"/>
        <v>4</v>
      </c>
      <c r="C89" s="32"/>
      <c r="D89" s="32">
        <v>123773157.95993854</v>
      </c>
      <c r="E89" s="32"/>
      <c r="F89" s="33">
        <v>26586404.685570501</v>
      </c>
      <c r="G89" s="32">
        <v>4089168.0956303398</v>
      </c>
      <c r="H89" s="32">
        <v>22497396.362516601</v>
      </c>
      <c r="I89" s="33">
        <v>126469.11635971023</v>
      </c>
      <c r="J89" s="32">
        <v>695795.76378922269</v>
      </c>
      <c r="K89" s="32"/>
      <c r="L89" s="33">
        <v>2264100.0855684299</v>
      </c>
      <c r="M89" s="33"/>
      <c r="N89" s="33">
        <v>1071269.8671924882</v>
      </c>
      <c r="O89" s="32"/>
      <c r="P89" s="32">
        <v>17642236.840676244</v>
      </c>
      <c r="Q89" s="33"/>
      <c r="R89" s="33">
        <v>21382821.188607864</v>
      </c>
      <c r="S89" s="33"/>
      <c r="T89" s="32">
        <v>81759070.10010539</v>
      </c>
      <c r="U89" s="32"/>
      <c r="V89" s="33">
        <v>138775.170282484</v>
      </c>
      <c r="W89" s="33"/>
      <c r="X89" s="33">
        <v>348563.21775780601</v>
      </c>
      <c r="Y89" s="32"/>
      <c r="Z89" s="32">
        <f t="shared" si="30"/>
        <v>-8400178.2794410735</v>
      </c>
      <c r="AA89" s="32"/>
      <c r="AB89" s="32">
        <f t="shared" si="31"/>
        <v>-59656324.700509399</v>
      </c>
      <c r="AC89" s="12"/>
      <c r="AD89" s="32"/>
      <c r="AE89" s="32"/>
      <c r="AF89" s="32">
        <f>BB89/100*AF25</f>
        <v>7308472515.1793594</v>
      </c>
      <c r="AG89" s="34">
        <f t="shared" si="28"/>
        <v>5.3427205452395779E-3</v>
      </c>
      <c r="AH89" s="34">
        <f>(AF89-AF85)/AF85</f>
        <v>9.1972825892413356E-3</v>
      </c>
      <c r="AI89" s="34">
        <f t="shared" si="32"/>
        <v>-8.1626255796414336E-3</v>
      </c>
      <c r="AJ89" s="54"/>
      <c r="AK89" s="31"/>
      <c r="AL89" s="31"/>
      <c r="AM89" s="31"/>
      <c r="AN89" s="31"/>
      <c r="AO89" s="31"/>
      <c r="AP89" s="31"/>
      <c r="AQ89" s="31"/>
      <c r="AR89" s="31"/>
      <c r="AS89" s="31"/>
      <c r="AV89" s="31">
        <v>12813300</v>
      </c>
      <c r="AX89" s="31">
        <f t="shared" si="33"/>
        <v>3.687385763028165E-3</v>
      </c>
      <c r="AY89" s="38">
        <v>7459.9189794375998</v>
      </c>
      <c r="AZ89" s="34">
        <f t="shared" si="34"/>
        <v>1.6492533488930866E-3</v>
      </c>
      <c r="BA89" s="31"/>
      <c r="BB89" s="31">
        <f t="shared" si="19"/>
        <v>127.16967630283328</v>
      </c>
      <c r="BC89" s="54" t="e">
        <f>(BA89-BA85)/BA85</f>
        <v>#DIV/0!</v>
      </c>
      <c r="BE89" s="34">
        <f t="shared" si="29"/>
        <v>9.4661818002217749E-3</v>
      </c>
    </row>
    <row r="90" spans="1:57" s="23" customFormat="1">
      <c r="A90" s="23">
        <f t="shared" si="35"/>
        <v>2034</v>
      </c>
      <c r="B90" s="23">
        <f t="shared" si="36"/>
        <v>1</v>
      </c>
      <c r="C90" s="24"/>
      <c r="D90" s="24">
        <v>124091098.69421543</v>
      </c>
      <c r="E90" s="24"/>
      <c r="F90" s="52">
        <v>26731187.567448799</v>
      </c>
      <c r="G90" s="53">
        <v>4176161.4855177999</v>
      </c>
      <c r="H90" s="53">
        <v>22976008.326477803</v>
      </c>
      <c r="I90" s="25">
        <v>129159.63357270975</v>
      </c>
      <c r="J90" s="24">
        <v>710598.1956642305</v>
      </c>
      <c r="K90" s="24"/>
      <c r="L90" s="52">
        <v>2859426.2644005399</v>
      </c>
      <c r="M90" s="25"/>
      <c r="N90" s="25">
        <v>1076194.2002781928</v>
      </c>
      <c r="O90" s="24"/>
      <c r="P90" s="24">
        <v>20758479.440422051</v>
      </c>
      <c r="Q90" s="25"/>
      <c r="R90" s="25">
        <v>18005417.721979454</v>
      </c>
      <c r="S90" s="25"/>
      <c r="T90" s="24">
        <v>68845275.220151618</v>
      </c>
      <c r="U90" s="24"/>
      <c r="V90" s="25">
        <v>139901.645826066</v>
      </c>
      <c r="W90" s="25"/>
      <c r="X90" s="25">
        <v>351392.59955137299</v>
      </c>
      <c r="Y90" s="24"/>
      <c r="Z90" s="24">
        <f t="shared" si="30"/>
        <v>-12521488.664322009</v>
      </c>
      <c r="AA90" s="24"/>
      <c r="AB90" s="24">
        <f t="shared" si="31"/>
        <v>-76004302.914485872</v>
      </c>
      <c r="AC90" s="12"/>
      <c r="AD90" s="24"/>
      <c r="AE90" s="24"/>
      <c r="AF90" s="24">
        <f>BB90/100*AF25</f>
        <v>7302331533.2873945</v>
      </c>
      <c r="AG90" s="26">
        <f t="shared" ref="AG90:AG117" si="37">(AF90-AF89)/AF89</f>
        <v>-8.4025518043755068E-4</v>
      </c>
      <c r="AH90" s="26"/>
      <c r="AI90" s="26">
        <f t="shared" si="32"/>
        <v>-1.0408224081312005E-2</v>
      </c>
      <c r="AT90" s="26">
        <f>AVERAGE(AG90:AG93)</f>
        <v>2.1245517376410387E-3</v>
      </c>
      <c r="AV90" s="23">
        <v>12812849</v>
      </c>
      <c r="AX90" s="23">
        <f t="shared" si="33"/>
        <v>-3.5197802283564732E-5</v>
      </c>
      <c r="AY90" s="30">
        <v>7453.9131052291996</v>
      </c>
      <c r="AZ90" s="26">
        <f t="shared" si="34"/>
        <v>-8.0508571540182879E-4</v>
      </c>
      <c r="BB90" s="23">
        <f t="shared" si="19"/>
        <v>127.06282132352526</v>
      </c>
      <c r="BE90" s="26">
        <f t="shared" si="29"/>
        <v>1.1224490782384721E-2</v>
      </c>
    </row>
    <row r="91" spans="1:57" s="31" customFormat="1">
      <c r="A91" s="31">
        <f t="shared" si="35"/>
        <v>2034</v>
      </c>
      <c r="B91" s="31">
        <f t="shared" si="36"/>
        <v>2</v>
      </c>
      <c r="C91" s="32"/>
      <c r="D91" s="32">
        <v>124745716.84017965</v>
      </c>
      <c r="E91" s="32"/>
      <c r="F91" s="33">
        <v>26953539.897875398</v>
      </c>
      <c r="G91" s="32">
        <v>4279529.2190531101</v>
      </c>
      <c r="H91" s="32">
        <v>23544707.097977046</v>
      </c>
      <c r="I91" s="33">
        <v>132356.57378514949</v>
      </c>
      <c r="J91" s="32">
        <v>728186.8174632173</v>
      </c>
      <c r="K91" s="32"/>
      <c r="L91" s="33">
        <v>2294208.7927489202</v>
      </c>
      <c r="M91" s="33"/>
      <c r="N91" s="33">
        <v>1084063.9289429523</v>
      </c>
      <c r="O91" s="32"/>
      <c r="P91" s="32">
        <v>17868860.218259141</v>
      </c>
      <c r="Q91" s="33"/>
      <c r="R91" s="33">
        <v>21458283.031223938</v>
      </c>
      <c r="S91" s="33"/>
      <c r="T91" s="32">
        <v>82047604.995754123</v>
      </c>
      <c r="U91" s="32"/>
      <c r="V91" s="33">
        <v>136889.362732376</v>
      </c>
      <c r="W91" s="33"/>
      <c r="X91" s="33">
        <v>343826.61288533785</v>
      </c>
      <c r="Y91" s="32"/>
      <c r="Z91" s="32">
        <f t="shared" si="30"/>
        <v>-8736640.2256109565</v>
      </c>
      <c r="AA91" s="32"/>
      <c r="AB91" s="32">
        <f t="shared" si="31"/>
        <v>-60566972.06268467</v>
      </c>
      <c r="AC91" s="12"/>
      <c r="AD91" s="32"/>
      <c r="AE91" s="32"/>
      <c r="AF91" s="32">
        <f>BB91/100*AF25</f>
        <v>7330519219.7279415</v>
      </c>
      <c r="AG91" s="34">
        <f t="shared" si="37"/>
        <v>3.8600940414790148E-3</v>
      </c>
      <c r="AH91" s="34"/>
      <c r="AI91" s="34">
        <f t="shared" si="32"/>
        <v>-8.2623031530544844E-3</v>
      </c>
      <c r="AV91" s="31">
        <v>12817337</v>
      </c>
      <c r="AX91" s="31">
        <f t="shared" si="33"/>
        <v>3.5027338572397133E-4</v>
      </c>
      <c r="AY91" s="38">
        <v>7480.0658428041997</v>
      </c>
      <c r="AZ91" s="34">
        <f t="shared" si="34"/>
        <v>3.5085916894648326E-3</v>
      </c>
      <c r="BB91" s="31">
        <f t="shared" ref="BB91:BB117" si="38">BB90*(1+AX91)*(1+AZ91)</f>
        <v>127.5532957630097</v>
      </c>
      <c r="BE91" s="34">
        <f t="shared" si="29"/>
        <v>9.4658697322263959E-3</v>
      </c>
    </row>
    <row r="92" spans="1:57">
      <c r="A92" s="31">
        <f t="shared" si="35"/>
        <v>2034</v>
      </c>
      <c r="B92" s="31">
        <f t="shared" si="36"/>
        <v>3</v>
      </c>
      <c r="C92" s="32"/>
      <c r="D92" s="32">
        <v>124693376.99970686</v>
      </c>
      <c r="E92" s="32"/>
      <c r="F92" s="33">
        <v>27005260.029757299</v>
      </c>
      <c r="G92" s="32">
        <v>4340762.7364994101</v>
      </c>
      <c r="H92" s="32">
        <v>23881595.844158106</v>
      </c>
      <c r="I92" s="33">
        <v>134250.39391236007</v>
      </c>
      <c r="J92" s="32">
        <v>738606.05703585711</v>
      </c>
      <c r="K92" s="32"/>
      <c r="L92" s="33">
        <v>2273850.7956609102</v>
      </c>
      <c r="M92" s="33"/>
      <c r="N92" s="33">
        <v>1085347.9683939405</v>
      </c>
      <c r="O92" s="32"/>
      <c r="P92" s="32">
        <v>17770286.88079806</v>
      </c>
      <c r="Q92" s="33"/>
      <c r="R92" s="33">
        <v>17956001.959569678</v>
      </c>
      <c r="S92" s="33"/>
      <c r="T92" s="32">
        <v>68656329.769629702</v>
      </c>
      <c r="U92" s="32"/>
      <c r="V92" s="33">
        <v>137653.303214605</v>
      </c>
      <c r="W92" s="33"/>
      <c r="X92" s="33">
        <v>345745.41112654452</v>
      </c>
      <c r="Y92" s="32"/>
      <c r="Z92" s="32">
        <f t="shared" si="30"/>
        <v>-12270803.531027865</v>
      </c>
      <c r="AA92" s="32"/>
      <c r="AB92" s="32">
        <f t="shared" si="31"/>
        <v>-73807334.110875219</v>
      </c>
      <c r="AC92" s="12"/>
      <c r="AD92" s="32"/>
      <c r="AE92" s="32"/>
      <c r="AF92" s="32">
        <f>BB92/100*AF25</f>
        <v>7300365095.2866564</v>
      </c>
      <c r="AG92" s="34">
        <f t="shared" si="37"/>
        <v>-4.1135045877970216E-3</v>
      </c>
      <c r="AH92" s="34"/>
      <c r="AI92" s="34">
        <f t="shared" si="32"/>
        <v>-1.0110088077448008E-2</v>
      </c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2"/>
      <c r="AV92" s="31">
        <v>12827475</v>
      </c>
      <c r="AX92" s="31">
        <f t="shared" si="33"/>
        <v>7.9095993184855789E-4</v>
      </c>
      <c r="AY92" s="38">
        <v>7443.4091192731003</v>
      </c>
      <c r="AZ92" s="34">
        <f t="shared" si="34"/>
        <v>-4.9005883506176807E-3</v>
      </c>
      <c r="BA92" s="31"/>
      <c r="BB92" s="31">
        <f t="shared" si="38"/>
        <v>127.02860469569994</v>
      </c>
      <c r="BC92" s="31"/>
      <c r="BE92" s="34">
        <f t="shared" si="29"/>
        <v>1.1260473818334464E-2</v>
      </c>
    </row>
    <row r="93" spans="1:57">
      <c r="A93" s="31">
        <f t="shared" si="35"/>
        <v>2034</v>
      </c>
      <c r="B93" s="31">
        <f t="shared" si="36"/>
        <v>4</v>
      </c>
      <c r="C93" s="32"/>
      <c r="D93" s="32">
        <v>124693978.25138791</v>
      </c>
      <c r="E93" s="32"/>
      <c r="F93" s="33">
        <v>27044125.6894283</v>
      </c>
      <c r="G93" s="32">
        <v>4379519.1115602301</v>
      </c>
      <c r="H93" s="32">
        <v>24094821.984763414</v>
      </c>
      <c r="I93" s="33">
        <v>135449.04468742944</v>
      </c>
      <c r="J93" s="32">
        <v>745200.67994113453</v>
      </c>
      <c r="K93" s="32"/>
      <c r="L93" s="33">
        <v>2245500.6897695898</v>
      </c>
      <c r="M93" s="33"/>
      <c r="N93" s="33">
        <v>1086523.9840297699</v>
      </c>
      <c r="O93" s="32"/>
      <c r="P93" s="32">
        <v>17629648.137604892</v>
      </c>
      <c r="Q93" s="33"/>
      <c r="R93" s="33">
        <v>21454694.279972613</v>
      </c>
      <c r="S93" s="33"/>
      <c r="T93" s="32">
        <v>82033883.094301522</v>
      </c>
      <c r="U93" s="32"/>
      <c r="V93" s="33">
        <v>148110.49002398399</v>
      </c>
      <c r="W93" s="33"/>
      <c r="X93" s="33">
        <v>372010.84950108995</v>
      </c>
      <c r="Y93" s="32"/>
      <c r="Z93" s="32">
        <f t="shared" si="30"/>
        <v>-8773345.5932310596</v>
      </c>
      <c r="AA93" s="32"/>
      <c r="AB93" s="32">
        <f t="shared" si="31"/>
        <v>-60289743.29469128</v>
      </c>
      <c r="AC93" s="12"/>
      <c r="AD93" s="32"/>
      <c r="AE93" s="32"/>
      <c r="AF93" s="32">
        <f>BB93/100*AF25</f>
        <v>7370389267.778595</v>
      </c>
      <c r="AG93" s="34">
        <f t="shared" si="37"/>
        <v>9.591872677319712E-3</v>
      </c>
      <c r="AH93" s="34">
        <f>(AF93-AF89)/AF89</f>
        <v>8.4719142708188748E-3</v>
      </c>
      <c r="AI93" s="34">
        <f t="shared" si="32"/>
        <v>-8.1799944486327467E-3</v>
      </c>
      <c r="AJ93" s="54"/>
      <c r="AK93" s="31"/>
      <c r="AL93" s="31"/>
      <c r="AM93" s="31"/>
      <c r="AN93" s="31"/>
      <c r="AO93" s="31"/>
      <c r="AP93" s="31"/>
      <c r="AQ93" s="31"/>
      <c r="AR93" s="31"/>
      <c r="AS93" s="31"/>
      <c r="AV93" s="31">
        <v>12887794</v>
      </c>
      <c r="AX93" s="31">
        <f t="shared" si="33"/>
        <v>4.7023284005620744E-3</v>
      </c>
      <c r="AY93" s="38">
        <v>7479.6336580543002</v>
      </c>
      <c r="AZ93" s="34">
        <f t="shared" si="34"/>
        <v>4.8666596448936729E-3</v>
      </c>
      <c r="BA93" s="31"/>
      <c r="BB93" s="31">
        <f t="shared" si="38"/>
        <v>128.24704689831867</v>
      </c>
      <c r="BC93" s="54" t="e">
        <f>(BA93-BA89)/BA89</f>
        <v>#DIV/0!</v>
      </c>
      <c r="BE93" s="34">
        <f t="shared" si="29"/>
        <v>9.4585699802589452E-3</v>
      </c>
    </row>
    <row r="94" spans="1:57" s="23" customFormat="1">
      <c r="A94" s="23">
        <f t="shared" si="35"/>
        <v>2035</v>
      </c>
      <c r="B94" s="23">
        <f t="shared" si="36"/>
        <v>1</v>
      </c>
      <c r="C94" s="24"/>
      <c r="D94" s="24">
        <v>124439677.89767867</v>
      </c>
      <c r="E94" s="24"/>
      <c r="F94" s="52">
        <v>27081640.061674699</v>
      </c>
      <c r="G94" s="53">
        <v>4463255.5833037896</v>
      </c>
      <c r="H94" s="53">
        <v>24555515.346043084</v>
      </c>
      <c r="I94" s="25">
        <v>138038.83247331064</v>
      </c>
      <c r="J94" s="24">
        <v>759448.92822812323</v>
      </c>
      <c r="K94" s="24"/>
      <c r="L94" s="52">
        <v>2735041.3910522601</v>
      </c>
      <c r="M94" s="25"/>
      <c r="N94" s="25">
        <v>1085325.7246891893</v>
      </c>
      <c r="O94" s="24"/>
      <c r="P94" s="24">
        <v>20163284.694391042</v>
      </c>
      <c r="Q94" s="25"/>
      <c r="R94" s="25">
        <v>18138813.175558563</v>
      </c>
      <c r="S94" s="25"/>
      <c r="T94" s="24">
        <v>69355324.298522085</v>
      </c>
      <c r="U94" s="24"/>
      <c r="V94" s="25">
        <v>144240.26796162099</v>
      </c>
      <c r="W94" s="25"/>
      <c r="X94" s="25">
        <v>362289.96749641647</v>
      </c>
      <c r="Y94" s="24"/>
      <c r="Z94" s="24">
        <f t="shared" si="30"/>
        <v>-12618953.733895965</v>
      </c>
      <c r="AA94" s="24"/>
      <c r="AB94" s="24">
        <f t="shared" si="31"/>
        <v>-75247638.29354763</v>
      </c>
      <c r="AC94" s="12"/>
      <c r="AD94" s="24"/>
      <c r="AE94" s="24"/>
      <c r="AF94" s="24">
        <f>BB94/100*AF25</f>
        <v>7380247234.5021143</v>
      </c>
      <c r="AG94" s="26">
        <f t="shared" si="37"/>
        <v>1.3375096437057627E-3</v>
      </c>
      <c r="AH94" s="26"/>
      <c r="AI94" s="26">
        <f t="shared" si="32"/>
        <v>-1.0195815384309951E-2</v>
      </c>
      <c r="AT94" s="26">
        <f>AVERAGE(AG94:AG97)</f>
        <v>4.7918581953414717E-3</v>
      </c>
      <c r="AV94" s="23">
        <v>12878035</v>
      </c>
      <c r="AX94" s="23">
        <f t="shared" si="33"/>
        <v>-7.5722811832653442E-4</v>
      </c>
      <c r="AY94" s="30">
        <v>7495.3134022672002</v>
      </c>
      <c r="AZ94" s="26">
        <f t="shared" si="34"/>
        <v>2.0963251583873458E-3</v>
      </c>
      <c r="BB94" s="23">
        <f t="shared" si="38"/>
        <v>128.41857856032198</v>
      </c>
      <c r="BE94" s="26">
        <f t="shared" si="29"/>
        <v>1.1238942991148724E-2</v>
      </c>
    </row>
    <row r="95" spans="1:57" s="31" customFormat="1">
      <c r="A95" s="31">
        <f t="shared" si="35"/>
        <v>2035</v>
      </c>
      <c r="B95" s="31">
        <f t="shared" si="36"/>
        <v>2</v>
      </c>
      <c r="C95" s="32"/>
      <c r="D95" s="32">
        <v>124823342.84137587</v>
      </c>
      <c r="E95" s="32"/>
      <c r="F95" s="33">
        <v>27235149.454394501</v>
      </c>
      <c r="G95" s="32">
        <v>4547029.33097836</v>
      </c>
      <c r="H95" s="32">
        <v>25016413.788496997</v>
      </c>
      <c r="I95" s="33">
        <v>140629.77312303986</v>
      </c>
      <c r="J95" s="32">
        <v>773703.51923185389</v>
      </c>
      <c r="K95" s="32"/>
      <c r="L95" s="33">
        <v>2227854.00886101</v>
      </c>
      <c r="M95" s="33"/>
      <c r="N95" s="33">
        <v>1090186.2561050579</v>
      </c>
      <c r="O95" s="32"/>
      <c r="P95" s="32">
        <v>17558228.16689476</v>
      </c>
      <c r="Q95" s="33"/>
      <c r="R95" s="33">
        <v>21667751.728119258</v>
      </c>
      <c r="S95" s="33"/>
      <c r="T95" s="32">
        <v>82848526.713341445</v>
      </c>
      <c r="U95" s="32"/>
      <c r="V95" s="33">
        <v>145327.377172771</v>
      </c>
      <c r="W95" s="33"/>
      <c r="X95" s="33">
        <v>365020.47241254279</v>
      </c>
      <c r="Y95" s="32"/>
      <c r="Z95" s="32">
        <f t="shared" si="30"/>
        <v>-8740110.614068538</v>
      </c>
      <c r="AA95" s="32"/>
      <c r="AB95" s="32">
        <f t="shared" si="31"/>
        <v>-59533044.294929191</v>
      </c>
      <c r="AC95" s="12"/>
      <c r="AD95" s="32"/>
      <c r="AE95" s="32"/>
      <c r="AF95" s="32">
        <f>BB95/100*AF25</f>
        <v>7427786487.9701881</v>
      </c>
      <c r="AG95" s="34">
        <f t="shared" si="37"/>
        <v>6.4414174698418395E-3</v>
      </c>
      <c r="AH95" s="34"/>
      <c r="AI95" s="34">
        <f t="shared" si="32"/>
        <v>-8.0149105512587176E-3</v>
      </c>
      <c r="AV95" s="31">
        <v>12955192</v>
      </c>
      <c r="AX95" s="31">
        <f t="shared" si="33"/>
        <v>5.9913643657592171E-3</v>
      </c>
      <c r="AY95" s="38">
        <v>7498.6666010939998</v>
      </c>
      <c r="AZ95" s="34">
        <f t="shared" si="34"/>
        <v>4.4737273104354983E-4</v>
      </c>
      <c r="BB95" s="31">
        <f t="shared" si="38"/>
        <v>129.24577623571267</v>
      </c>
      <c r="BE95" s="34">
        <f t="shared" si="29"/>
        <v>9.4787676055255298E-3</v>
      </c>
    </row>
    <row r="96" spans="1:57">
      <c r="A96" s="31">
        <f t="shared" si="35"/>
        <v>2035</v>
      </c>
      <c r="B96" s="31">
        <f t="shared" si="36"/>
        <v>3</v>
      </c>
      <c r="C96" s="32"/>
      <c r="D96" s="32">
        <v>125116253.8764679</v>
      </c>
      <c r="E96" s="32"/>
      <c r="F96" s="33">
        <v>27352370.7333542</v>
      </c>
      <c r="G96" s="32">
        <v>4611010.5620562499</v>
      </c>
      <c r="H96" s="32">
        <v>25368419.644372478</v>
      </c>
      <c r="I96" s="33">
        <v>142608.57408421021</v>
      </c>
      <c r="J96" s="32">
        <v>784590.29827954073</v>
      </c>
      <c r="K96" s="32"/>
      <c r="L96" s="33">
        <v>2193714.95407657</v>
      </c>
      <c r="M96" s="33"/>
      <c r="N96" s="33">
        <v>1094931.3131673895</v>
      </c>
      <c r="O96" s="32"/>
      <c r="P96" s="32">
        <v>17407186.353266839</v>
      </c>
      <c r="Q96" s="33"/>
      <c r="R96" s="33">
        <v>18489539.489044756</v>
      </c>
      <c r="S96" s="33"/>
      <c r="T96" s="32">
        <v>70696356.756182358</v>
      </c>
      <c r="U96" s="32"/>
      <c r="V96" s="33">
        <v>140591.20670592299</v>
      </c>
      <c r="W96" s="33"/>
      <c r="X96" s="33">
        <v>353124.5776756556</v>
      </c>
      <c r="Y96" s="32"/>
      <c r="Z96" s="32">
        <f t="shared" si="30"/>
        <v>-12010886.304847479</v>
      </c>
      <c r="AA96" s="32"/>
      <c r="AB96" s="32">
        <f t="shared" si="31"/>
        <v>-71827083.473552376</v>
      </c>
      <c r="AC96" s="12"/>
      <c r="AD96" s="32"/>
      <c r="AE96" s="32"/>
      <c r="AF96" s="32">
        <f>BB96/100*AF25</f>
        <v>7468307523.3697786</v>
      </c>
      <c r="AG96" s="34">
        <f t="shared" si="37"/>
        <v>5.4553312033426248E-3</v>
      </c>
      <c r="AH96" s="34"/>
      <c r="AI96" s="34">
        <f t="shared" si="32"/>
        <v>-9.6175851421210958E-3</v>
      </c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2"/>
      <c r="AV96" s="31">
        <v>12937415</v>
      </c>
      <c r="AX96" s="31">
        <f t="shared" si="33"/>
        <v>-1.3721911647469214E-3</v>
      </c>
      <c r="AY96" s="38">
        <v>7549.9342640779996</v>
      </c>
      <c r="AZ96" s="34">
        <f t="shared" si="34"/>
        <v>6.8369039072253496E-3</v>
      </c>
      <c r="BA96" s="31"/>
      <c r="BB96" s="31">
        <f t="shared" si="38"/>
        <v>129.9508547517116</v>
      </c>
      <c r="BC96" s="31"/>
      <c r="BE96" s="34">
        <f t="shared" si="29"/>
        <v>1.125579483749947E-2</v>
      </c>
    </row>
    <row r="97" spans="1:57">
      <c r="A97" s="31">
        <f t="shared" si="35"/>
        <v>2035</v>
      </c>
      <c r="B97" s="31">
        <f t="shared" si="36"/>
        <v>4</v>
      </c>
      <c r="C97" s="32"/>
      <c r="D97" s="32">
        <v>124899273.22294311</v>
      </c>
      <c r="E97" s="32"/>
      <c r="F97" s="33">
        <v>27406892.45324</v>
      </c>
      <c r="G97" s="32">
        <v>4704971.0841690004</v>
      </c>
      <c r="H97" s="32">
        <v>25885362.714200888</v>
      </c>
      <c r="I97" s="33">
        <v>145514.56961346976</v>
      </c>
      <c r="J97" s="32">
        <v>800578.22827422968</v>
      </c>
      <c r="K97" s="32"/>
      <c r="L97" s="33">
        <v>2151276.0339046898</v>
      </c>
      <c r="M97" s="33"/>
      <c r="N97" s="33">
        <v>1094051.4803366289</v>
      </c>
      <c r="O97" s="32"/>
      <c r="P97" s="32">
        <v>17182130.014106624</v>
      </c>
      <c r="Q97" s="33"/>
      <c r="R97" s="33">
        <v>22053982.828834988</v>
      </c>
      <c r="S97" s="33"/>
      <c r="T97" s="32">
        <v>84325314.802234128</v>
      </c>
      <c r="U97" s="32"/>
      <c r="V97" s="33">
        <v>140295.487304301</v>
      </c>
      <c r="W97" s="33"/>
      <c r="X97" s="33">
        <v>352381.81579705037</v>
      </c>
      <c r="Y97" s="32"/>
      <c r="Z97" s="32">
        <f t="shared" si="30"/>
        <v>-8457941.6513420306</v>
      </c>
      <c r="AA97" s="32"/>
      <c r="AB97" s="32">
        <f t="shared" si="31"/>
        <v>-57756088.434815601</v>
      </c>
      <c r="AC97" s="12"/>
      <c r="AD97" s="32"/>
      <c r="AE97" s="32"/>
      <c r="AF97" s="32">
        <f>BB97/100*AF25</f>
        <v>7512618294.8602877</v>
      </c>
      <c r="AG97" s="34">
        <f t="shared" si="37"/>
        <v>5.9331744644756605E-3</v>
      </c>
      <c r="AH97" s="34">
        <f>(AF97-AF93)/AF93</f>
        <v>1.9297356206609145E-2</v>
      </c>
      <c r="AI97" s="34">
        <f t="shared" si="32"/>
        <v>-7.6878774041174271E-3</v>
      </c>
      <c r="AJ97" s="54"/>
      <c r="AK97" s="31"/>
      <c r="AL97" s="31"/>
      <c r="AM97" s="31"/>
      <c r="AN97" s="31"/>
      <c r="AO97" s="31"/>
      <c r="AP97" s="31"/>
      <c r="AQ97" s="31"/>
      <c r="AR97" s="31"/>
      <c r="AS97" s="31"/>
      <c r="AV97" s="31">
        <v>12975513</v>
      </c>
      <c r="AX97" s="31">
        <f t="shared" si="33"/>
        <v>2.9447922942875374E-3</v>
      </c>
      <c r="AY97" s="38">
        <v>7572.4301074327004</v>
      </c>
      <c r="AZ97" s="34">
        <f t="shared" si="34"/>
        <v>2.9796078439694876E-3</v>
      </c>
      <c r="BA97" s="31"/>
      <c r="BB97" s="31">
        <f t="shared" si="38"/>
        <v>130.72187584476126</v>
      </c>
      <c r="BC97" s="54" t="e">
        <f>(BA97-BA93)/BA93</f>
        <v>#DIV/0!</v>
      </c>
      <c r="BE97" s="34">
        <f t="shared" si="29"/>
        <v>9.4665984900111737E-3</v>
      </c>
    </row>
    <row r="98" spans="1:57" s="23" customFormat="1">
      <c r="A98" s="23">
        <f t="shared" si="35"/>
        <v>2036</v>
      </c>
      <c r="B98" s="23">
        <f t="shared" si="36"/>
        <v>1</v>
      </c>
      <c r="C98" s="24"/>
      <c r="D98" s="24">
        <v>125239639.68998669</v>
      </c>
      <c r="E98" s="24"/>
      <c r="F98" s="52">
        <v>27571097.763503499</v>
      </c>
      <c r="G98" s="53">
        <v>4807310.76005287</v>
      </c>
      <c r="H98" s="53">
        <v>26448405.415827952</v>
      </c>
      <c r="I98" s="25">
        <v>148679.71422844008</v>
      </c>
      <c r="J98" s="24">
        <v>817991.92007715756</v>
      </c>
      <c r="K98" s="24"/>
      <c r="L98" s="52">
        <v>2692596.1775989202</v>
      </c>
      <c r="M98" s="25"/>
      <c r="N98" s="25">
        <v>1098654.106888961</v>
      </c>
      <c r="O98" s="24"/>
      <c r="P98" s="24">
        <v>20016365.106360234</v>
      </c>
      <c r="Q98" s="25"/>
      <c r="R98" s="25">
        <v>18744251.954772964</v>
      </c>
      <c r="S98" s="25"/>
      <c r="T98" s="24">
        <v>71670271.945256576</v>
      </c>
      <c r="U98" s="24"/>
      <c r="V98" s="25">
        <v>141143.14288819299</v>
      </c>
      <c r="W98" s="25"/>
      <c r="X98" s="25">
        <v>354510.88223790098</v>
      </c>
      <c r="Y98" s="24"/>
      <c r="Z98" s="24">
        <f t="shared" si="30"/>
        <v>-12476952.950330224</v>
      </c>
      <c r="AA98" s="24"/>
      <c r="AB98" s="24">
        <f t="shared" si="31"/>
        <v>-73585732.851090342</v>
      </c>
      <c r="AC98" s="12"/>
      <c r="AD98" s="24"/>
      <c r="AE98" s="24"/>
      <c r="AF98" s="24">
        <f>BB98/100*AF25</f>
        <v>7571440762.7284718</v>
      </c>
      <c r="AG98" s="26">
        <f t="shared" si="37"/>
        <v>7.8298225145322677E-3</v>
      </c>
      <c r="AH98" s="26"/>
      <c r="AI98" s="26">
        <f t="shared" si="32"/>
        <v>-9.7188547275344102E-3</v>
      </c>
      <c r="AT98" s="26">
        <f>AVERAGE(AG98:AG101)</f>
        <v>2.7648524731812302E-3</v>
      </c>
      <c r="AV98" s="23">
        <v>13039994</v>
      </c>
      <c r="AX98" s="23">
        <f t="shared" si="33"/>
        <v>4.9694374318764896E-3</v>
      </c>
      <c r="AY98" s="30">
        <v>7593.9830674651002</v>
      </c>
      <c r="AZ98" s="26">
        <f t="shared" si="34"/>
        <v>2.8462408667522159E-3</v>
      </c>
      <c r="BB98" s="23">
        <f t="shared" si="38"/>
        <v>131.74540493139244</v>
      </c>
      <c r="BE98" s="26">
        <f t="shared" si="29"/>
        <v>1.1202008028148478E-2</v>
      </c>
    </row>
    <row r="99" spans="1:57" s="31" customFormat="1">
      <c r="A99" s="31">
        <f t="shared" si="35"/>
        <v>2036</v>
      </c>
      <c r="B99" s="31">
        <f t="shared" si="36"/>
        <v>2</v>
      </c>
      <c r="C99" s="32"/>
      <c r="D99" s="32">
        <v>125603999.31675431</v>
      </c>
      <c r="E99" s="32"/>
      <c r="F99" s="33">
        <v>27706948.339812499</v>
      </c>
      <c r="G99" s="32">
        <v>4876934.6611899696</v>
      </c>
      <c r="H99" s="32">
        <v>26831455.57751238</v>
      </c>
      <c r="I99" s="33">
        <v>150833.03075845074</v>
      </c>
      <c r="J99" s="32">
        <v>829838.83229418669</v>
      </c>
      <c r="K99" s="32"/>
      <c r="L99" s="33">
        <v>2163943.5388675402</v>
      </c>
      <c r="M99" s="33"/>
      <c r="N99" s="33">
        <v>1102855.7087053508</v>
      </c>
      <c r="O99" s="32"/>
      <c r="P99" s="32">
        <v>17296300.024395015</v>
      </c>
      <c r="Q99" s="33"/>
      <c r="R99" s="33">
        <v>22302298.672432188</v>
      </c>
      <c r="S99" s="33"/>
      <c r="T99" s="32">
        <v>85274771.952184319</v>
      </c>
      <c r="U99" s="32"/>
      <c r="V99" s="33">
        <v>135527.905504019</v>
      </c>
      <c r="W99" s="33"/>
      <c r="X99" s="33">
        <v>340407.02484671568</v>
      </c>
      <c r="Y99" s="32"/>
      <c r="Z99" s="32">
        <f t="shared" si="30"/>
        <v>-8535921.0094491839</v>
      </c>
      <c r="AA99" s="32"/>
      <c r="AB99" s="32">
        <f t="shared" si="31"/>
        <v>-57625527.388965011</v>
      </c>
      <c r="AC99" s="12"/>
      <c r="AD99" s="32"/>
      <c r="AE99" s="32"/>
      <c r="AF99" s="32">
        <f>BB99/100*AF25</f>
        <v>7572929285.9185658</v>
      </c>
      <c r="AG99" s="34">
        <f t="shared" si="37"/>
        <v>1.9659708591018344E-4</v>
      </c>
      <c r="AH99" s="34"/>
      <c r="AI99" s="34">
        <f t="shared" si="32"/>
        <v>-7.6094104689603302E-3</v>
      </c>
      <c r="AV99" s="31">
        <v>12983072</v>
      </c>
      <c r="AX99" s="31">
        <f t="shared" si="33"/>
        <v>-4.3651860576009466E-3</v>
      </c>
      <c r="AY99" s="38">
        <v>7628.7770536377002</v>
      </c>
      <c r="AZ99" s="34">
        <f t="shared" si="34"/>
        <v>4.5817834808807795E-3</v>
      </c>
      <c r="BB99" s="31">
        <f t="shared" si="38"/>
        <v>131.77130569408402</v>
      </c>
      <c r="BE99" s="34">
        <f t="shared" si="29"/>
        <v>9.4758621405127575E-3</v>
      </c>
    </row>
    <row r="100" spans="1:57">
      <c r="A100" s="31">
        <f t="shared" si="35"/>
        <v>2036</v>
      </c>
      <c r="B100" s="31">
        <f t="shared" si="36"/>
        <v>3</v>
      </c>
      <c r="C100" s="32"/>
      <c r="D100" s="32">
        <v>125376751.04886089</v>
      </c>
      <c r="E100" s="32"/>
      <c r="F100" s="33">
        <v>27762607.5834677</v>
      </c>
      <c r="G100" s="32">
        <v>4973898.9675236801</v>
      </c>
      <c r="H100" s="32">
        <v>27364924.581864886</v>
      </c>
      <c r="I100" s="33">
        <v>153831.92683062982</v>
      </c>
      <c r="J100" s="32">
        <v>846337.87366592733</v>
      </c>
      <c r="K100" s="32"/>
      <c r="L100" s="33">
        <v>2100410.13032674</v>
      </c>
      <c r="M100" s="33"/>
      <c r="N100" s="33">
        <v>1102568.3322041705</v>
      </c>
      <c r="O100" s="32"/>
      <c r="P100" s="32">
        <v>16965043.804731969</v>
      </c>
      <c r="Q100" s="33"/>
      <c r="R100" s="33">
        <v>18704741.946373168</v>
      </c>
      <c r="S100" s="33"/>
      <c r="T100" s="32">
        <v>71519202.00374037</v>
      </c>
      <c r="U100" s="32"/>
      <c r="V100" s="33">
        <v>139068.14196033101</v>
      </c>
      <c r="W100" s="33"/>
      <c r="X100" s="33">
        <v>349299.07814647921</v>
      </c>
      <c r="Y100" s="32"/>
      <c r="Z100" s="32">
        <f t="shared" si="30"/>
        <v>-12121775.957665112</v>
      </c>
      <c r="AA100" s="32"/>
      <c r="AB100" s="32">
        <f t="shared" si="31"/>
        <v>-70822592.849852487</v>
      </c>
      <c r="AC100" s="12"/>
      <c r="AD100" s="32"/>
      <c r="AE100" s="32"/>
      <c r="AF100" s="32">
        <f>BB100/100*AF25</f>
        <v>7561312349.8592978</v>
      </c>
      <c r="AG100" s="34">
        <f t="shared" si="37"/>
        <v>-1.5340082576591643E-3</v>
      </c>
      <c r="AH100" s="34"/>
      <c r="AI100" s="34">
        <f t="shared" si="32"/>
        <v>-9.3664419049122299E-3</v>
      </c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2"/>
      <c r="AV100" s="31">
        <v>12978706</v>
      </c>
      <c r="AX100" s="31">
        <f t="shared" si="33"/>
        <v>-3.3628404741189142E-4</v>
      </c>
      <c r="AY100" s="38">
        <v>7619.6368089475</v>
      </c>
      <c r="AZ100" s="34">
        <f t="shared" si="34"/>
        <v>-1.1981271212850304E-3</v>
      </c>
      <c r="BA100" s="31"/>
      <c r="BB100" s="31">
        <f t="shared" si="38"/>
        <v>131.56916742302676</v>
      </c>
      <c r="BC100" s="31"/>
      <c r="BE100" s="34">
        <f t="shared" si="29"/>
        <v>1.1258346107055396E-2</v>
      </c>
    </row>
    <row r="101" spans="1:57">
      <c r="A101" s="31">
        <f t="shared" si="35"/>
        <v>2036</v>
      </c>
      <c r="B101" s="31">
        <f t="shared" si="36"/>
        <v>4</v>
      </c>
      <c r="C101" s="32"/>
      <c r="D101" s="32">
        <v>125674561.69674766</v>
      </c>
      <c r="E101" s="32"/>
      <c r="F101" s="33">
        <v>27889095.5698516</v>
      </c>
      <c r="G101" s="32">
        <v>5046256.3434025096</v>
      </c>
      <c r="H101" s="32">
        <v>27763013.515072875</v>
      </c>
      <c r="I101" s="33">
        <v>156069.78381658066</v>
      </c>
      <c r="J101" s="32">
        <v>858649.90252807224</v>
      </c>
      <c r="K101" s="32"/>
      <c r="L101" s="33">
        <v>2155911.8334887801</v>
      </c>
      <c r="M101" s="33"/>
      <c r="N101" s="33">
        <v>1106528.5307913162</v>
      </c>
      <c r="O101" s="32"/>
      <c r="P101" s="32">
        <v>17274830.250462782</v>
      </c>
      <c r="Q101" s="33"/>
      <c r="R101" s="33">
        <v>22327012.461245388</v>
      </c>
      <c r="S101" s="33"/>
      <c r="T101" s="32">
        <v>85369267.265697688</v>
      </c>
      <c r="U101" s="32"/>
      <c r="V101" s="33">
        <v>137032.45227059099</v>
      </c>
      <c r="W101" s="33"/>
      <c r="X101" s="33">
        <v>344186.01255147532</v>
      </c>
      <c r="Y101" s="32"/>
      <c r="Z101" s="32">
        <f t="shared" si="30"/>
        <v>-8687491.0206157193</v>
      </c>
      <c r="AA101" s="32"/>
      <c r="AB101" s="32">
        <f t="shared" si="31"/>
        <v>-57580124.681512758</v>
      </c>
      <c r="AC101" s="12"/>
      <c r="AD101" s="32"/>
      <c r="AE101" s="32"/>
      <c r="AF101" s="32">
        <f>BB101/100*AF25</f>
        <v>7595844852.3967609</v>
      </c>
      <c r="AG101" s="34">
        <f t="shared" si="37"/>
        <v>4.5669985499416348E-3</v>
      </c>
      <c r="AH101" s="34">
        <f>(AF101-AF97)/AF97</f>
        <v>1.1078235878616676E-2</v>
      </c>
      <c r="AI101" s="34">
        <f t="shared" si="32"/>
        <v>-7.5804766685491432E-3</v>
      </c>
      <c r="AJ101" s="54"/>
      <c r="AK101" s="31"/>
      <c r="AL101" s="31"/>
      <c r="AM101" s="31"/>
      <c r="AN101" s="31"/>
      <c r="AO101" s="31"/>
      <c r="AP101" s="31"/>
      <c r="AQ101" s="31"/>
      <c r="AR101" s="31"/>
      <c r="AS101" s="31"/>
      <c r="AV101" s="31">
        <v>13039589</v>
      </c>
      <c r="AX101" s="31">
        <f t="shared" si="33"/>
        <v>4.6909915364443883E-3</v>
      </c>
      <c r="AY101" s="38">
        <v>7618.6964386924001</v>
      </c>
      <c r="AZ101" s="34">
        <f t="shared" si="34"/>
        <v>-1.2341405222826782E-4</v>
      </c>
      <c r="BA101" s="31"/>
      <c r="BB101" s="31">
        <f t="shared" si="38"/>
        <v>132.17004361986474</v>
      </c>
      <c r="BC101" s="54" t="e">
        <f>(BA101-BA97)/BA97</f>
        <v>#DIV/0!</v>
      </c>
      <c r="BE101" s="34">
        <f t="shared" si="29"/>
        <v>9.4630650780132483E-3</v>
      </c>
    </row>
    <row r="102" spans="1:57" s="23" customFormat="1">
      <c r="A102" s="23">
        <f t="shared" si="35"/>
        <v>2037</v>
      </c>
      <c r="B102" s="23">
        <f t="shared" si="36"/>
        <v>1</v>
      </c>
      <c r="C102" s="24"/>
      <c r="D102" s="24">
        <v>125638690.96907435</v>
      </c>
      <c r="E102" s="24"/>
      <c r="F102" s="52">
        <v>27997554.5774335</v>
      </c>
      <c r="G102" s="53">
        <v>5161235.28034891</v>
      </c>
      <c r="H102" s="53">
        <v>28395593.701881077</v>
      </c>
      <c r="I102" s="25">
        <v>159625.83341285028</v>
      </c>
      <c r="J102" s="24">
        <v>878214.23820249317</v>
      </c>
      <c r="K102" s="24"/>
      <c r="L102" s="52">
        <v>2689549.0311709899</v>
      </c>
      <c r="M102" s="25"/>
      <c r="N102" s="25">
        <v>1108149.8240084462</v>
      </c>
      <c r="O102" s="24"/>
      <c r="P102" s="24">
        <v>20052796.082962092</v>
      </c>
      <c r="Q102" s="25"/>
      <c r="R102" s="25">
        <v>18809440.571433116</v>
      </c>
      <c r="S102" s="25"/>
      <c r="T102" s="24">
        <v>71919526.271064892</v>
      </c>
      <c r="U102" s="24"/>
      <c r="V102" s="25">
        <v>140358.45452155001</v>
      </c>
      <c r="W102" s="25"/>
      <c r="X102" s="25">
        <v>352539.97129282745</v>
      </c>
      <c r="Y102" s="24"/>
      <c r="Z102" s="24">
        <f t="shared" si="30"/>
        <v>-12845454.406658269</v>
      </c>
      <c r="AA102" s="24"/>
      <c r="AB102" s="24">
        <f t="shared" si="31"/>
        <v>-73771960.780971557</v>
      </c>
      <c r="AC102" s="12"/>
      <c r="AD102" s="24"/>
      <c r="AE102" s="24"/>
      <c r="AF102" s="24">
        <f>BB102/100*AF25</f>
        <v>7587434280.9227962</v>
      </c>
      <c r="AG102" s="26">
        <f t="shared" si="37"/>
        <v>-1.1072595132470163E-3</v>
      </c>
      <c r="AH102" s="26"/>
      <c r="AI102" s="26">
        <f t="shared" si="32"/>
        <v>-9.7229126539464788E-3</v>
      </c>
      <c r="AT102" s="26">
        <f>AVERAGE(AG102:AG105)</f>
        <v>7.216208970185499E-4</v>
      </c>
      <c r="AV102" s="23">
        <v>12963326</v>
      </c>
      <c r="AX102" s="23">
        <f t="shared" si="33"/>
        <v>-5.8485739082727228E-3</v>
      </c>
      <c r="AY102" s="30">
        <v>7655.0315825629004</v>
      </c>
      <c r="AZ102" s="26">
        <f t="shared" si="34"/>
        <v>4.7692074573241006E-3</v>
      </c>
      <c r="BB102" s="23">
        <f t="shared" si="38"/>
        <v>132.02369708170039</v>
      </c>
      <c r="BE102" s="26">
        <f t="shared" si="29"/>
        <v>1.1236587105165253E-2</v>
      </c>
    </row>
    <row r="103" spans="1:57" s="31" customFormat="1">
      <c r="A103" s="31">
        <f t="shared" si="35"/>
        <v>2037</v>
      </c>
      <c r="B103" s="31">
        <f t="shared" si="36"/>
        <v>2</v>
      </c>
      <c r="C103" s="32"/>
      <c r="D103" s="32">
        <v>125549565.70204143</v>
      </c>
      <c r="E103" s="32"/>
      <c r="F103" s="33">
        <v>28083215.060758401</v>
      </c>
      <c r="G103" s="32">
        <v>5263095.3359528799</v>
      </c>
      <c r="H103" s="32">
        <v>28955997.674238991</v>
      </c>
      <c r="I103" s="33">
        <v>162776.14441091008</v>
      </c>
      <c r="J103" s="32">
        <v>895546.31982180395</v>
      </c>
      <c r="K103" s="32"/>
      <c r="L103" s="33">
        <v>2128573.0156521602</v>
      </c>
      <c r="M103" s="33"/>
      <c r="N103" s="33">
        <v>1108680.3836774901</v>
      </c>
      <c r="O103" s="32"/>
      <c r="P103" s="32">
        <v>17144807.854425773</v>
      </c>
      <c r="Q103" s="33"/>
      <c r="R103" s="33">
        <v>22466324.325228836</v>
      </c>
      <c r="S103" s="33"/>
      <c r="T103" s="32">
        <v>85901938.252034485</v>
      </c>
      <c r="U103" s="32"/>
      <c r="V103" s="33">
        <v>143813.46793809001</v>
      </c>
      <c r="W103" s="33"/>
      <c r="X103" s="33">
        <v>361217.96888716781</v>
      </c>
      <c r="Y103" s="32"/>
      <c r="Z103" s="32">
        <f t="shared" si="30"/>
        <v>-8710330.6669211239</v>
      </c>
      <c r="AA103" s="32"/>
      <c r="AB103" s="32">
        <f t="shared" si="31"/>
        <v>-56792435.30443272</v>
      </c>
      <c r="AC103" s="12"/>
      <c r="AD103" s="32"/>
      <c r="AE103" s="32"/>
      <c r="AF103" s="32">
        <f>BB103/100*AF25</f>
        <v>7631796731.5685387</v>
      </c>
      <c r="AG103" s="34">
        <f t="shared" si="37"/>
        <v>5.8468316170175753E-3</v>
      </c>
      <c r="AH103" s="34"/>
      <c r="AI103" s="34">
        <f t="shared" si="32"/>
        <v>-7.4415550232769826E-3</v>
      </c>
      <c r="AV103" s="31">
        <v>12982956</v>
      </c>
      <c r="AX103" s="31">
        <f t="shared" si="33"/>
        <v>1.514271877448735E-3</v>
      </c>
      <c r="AY103" s="38">
        <v>7688.1473179758004</v>
      </c>
      <c r="AZ103" s="34">
        <f t="shared" si="34"/>
        <v>4.3260089858196066E-3</v>
      </c>
      <c r="BB103" s="31">
        <f t="shared" si="38"/>
        <v>132.79561740799321</v>
      </c>
      <c r="BE103" s="34">
        <f t="shared" ref="BE103:BE110" si="39">T110/AF110</f>
        <v>9.442014287753887E-3</v>
      </c>
    </row>
    <row r="104" spans="1:57">
      <c r="A104" s="31">
        <f t="shared" si="35"/>
        <v>2037</v>
      </c>
      <c r="B104" s="31">
        <f t="shared" si="36"/>
        <v>3</v>
      </c>
      <c r="C104" s="32"/>
      <c r="D104" s="32">
        <v>125585018.07425715</v>
      </c>
      <c r="E104" s="32"/>
      <c r="F104" s="33">
        <v>28192806.467464902</v>
      </c>
      <c r="G104" s="32">
        <v>5366242.8543514702</v>
      </c>
      <c r="H104" s="32">
        <v>29523484.887029972</v>
      </c>
      <c r="I104" s="33">
        <v>165966.27384591941</v>
      </c>
      <c r="J104" s="32">
        <v>913097.47073287272</v>
      </c>
      <c r="K104" s="32"/>
      <c r="L104" s="33">
        <v>2157114.22563024</v>
      </c>
      <c r="M104" s="33"/>
      <c r="N104" s="33">
        <v>1110063.7256120779</v>
      </c>
      <c r="O104" s="32"/>
      <c r="P104" s="32">
        <v>17300519.067853477</v>
      </c>
      <c r="Q104" s="33"/>
      <c r="R104" s="33">
        <v>18894719.263824798</v>
      </c>
      <c r="S104" s="33"/>
      <c r="T104" s="32">
        <v>72245596.74267374</v>
      </c>
      <c r="U104" s="32"/>
      <c r="V104" s="33">
        <v>141177.301599142</v>
      </c>
      <c r="W104" s="33"/>
      <c r="X104" s="33">
        <v>354596.67907157523</v>
      </c>
      <c r="Y104" s="32"/>
      <c r="Z104" s="32">
        <f t="shared" si="30"/>
        <v>-12424087.853283281</v>
      </c>
      <c r="AA104" s="32"/>
      <c r="AB104" s="32">
        <f t="shared" si="31"/>
        <v>-70639940.399436891</v>
      </c>
      <c r="AC104" s="12"/>
      <c r="AD104" s="32"/>
      <c r="AE104" s="32"/>
      <c r="AF104" s="32">
        <f>BB104/100*AF25</f>
        <v>7631632081.882926</v>
      </c>
      <c r="AG104" s="34">
        <f t="shared" si="37"/>
        <v>-2.1574170723338777E-5</v>
      </c>
      <c r="AH104" s="34"/>
      <c r="AI104" s="34">
        <f t="shared" si="32"/>
        <v>-9.2562036064516556E-3</v>
      </c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2"/>
      <c r="AV104" s="31">
        <v>13053998</v>
      </c>
      <c r="AX104" s="31">
        <f t="shared" si="33"/>
        <v>5.4719433694452946E-3</v>
      </c>
      <c r="AY104" s="38">
        <v>7646.1421954846001</v>
      </c>
      <c r="AZ104" s="34">
        <f t="shared" si="34"/>
        <v>-5.4636209159243639E-3</v>
      </c>
      <c r="BA104" s="31"/>
      <c r="BB104" s="31">
        <f t="shared" si="38"/>
        <v>132.79275245267195</v>
      </c>
      <c r="BC104" s="31"/>
      <c r="BE104" s="34">
        <f t="shared" si="39"/>
        <v>1.1188849755981478E-2</v>
      </c>
    </row>
    <row r="105" spans="1:57">
      <c r="A105" s="31">
        <f t="shared" si="35"/>
        <v>2037</v>
      </c>
      <c r="B105" s="31">
        <f t="shared" si="36"/>
        <v>4</v>
      </c>
      <c r="C105" s="32"/>
      <c r="D105" s="32">
        <v>125745677.81271158</v>
      </c>
      <c r="E105" s="32"/>
      <c r="F105" s="33">
        <v>28344990.814512901</v>
      </c>
      <c r="G105" s="32">
        <v>5489225.3921699002</v>
      </c>
      <c r="H105" s="32">
        <v>30200098.52439205</v>
      </c>
      <c r="I105" s="33">
        <v>169769.85748978984</v>
      </c>
      <c r="J105" s="32">
        <v>934023.66570284194</v>
      </c>
      <c r="K105" s="32"/>
      <c r="L105" s="33">
        <v>2096797.9601803001</v>
      </c>
      <c r="M105" s="33"/>
      <c r="N105" s="33">
        <v>1112971.5868314095</v>
      </c>
      <c r="O105" s="32"/>
      <c r="P105" s="32">
        <v>17003535.874173276</v>
      </c>
      <c r="Q105" s="33"/>
      <c r="R105" s="33">
        <v>22317534.749484956</v>
      </c>
      <c r="S105" s="33"/>
      <c r="T105" s="32">
        <v>85333028.413332283</v>
      </c>
      <c r="U105" s="32"/>
      <c r="V105" s="33">
        <v>146043.73953663101</v>
      </c>
      <c r="W105" s="33"/>
      <c r="X105" s="33">
        <v>366819.76813755877</v>
      </c>
      <c r="Y105" s="32"/>
      <c r="Z105" s="32">
        <f t="shared" si="30"/>
        <v>-9091181.8725030236</v>
      </c>
      <c r="AA105" s="32"/>
      <c r="AB105" s="32">
        <f t="shared" si="31"/>
        <v>-57416185.273552582</v>
      </c>
      <c r="AC105" s="12"/>
      <c r="AD105" s="32"/>
      <c r="AE105" s="32"/>
      <c r="AF105" s="32">
        <f>BB105/100*AF25</f>
        <v>7617654638.2494011</v>
      </c>
      <c r="AG105" s="34">
        <f t="shared" si="37"/>
        <v>-1.8315143449730204E-3</v>
      </c>
      <c r="AH105" s="34">
        <f>(AF105-AF101)/AF101</f>
        <v>2.8712784787538657E-3</v>
      </c>
      <c r="AI105" s="34">
        <f t="shared" si="32"/>
        <v>-7.5372523434256511E-3</v>
      </c>
      <c r="AJ105" s="54"/>
      <c r="AK105" s="31"/>
      <c r="AL105" s="31"/>
      <c r="AM105" s="31"/>
      <c r="AN105" s="31"/>
      <c r="AO105" s="31"/>
      <c r="AP105" s="31"/>
      <c r="AQ105" s="31"/>
      <c r="AR105" s="31"/>
      <c r="AS105" s="31"/>
      <c r="AV105" s="31">
        <v>12980923</v>
      </c>
      <c r="AX105" s="31">
        <f t="shared" si="33"/>
        <v>-5.5979018841584008E-3</v>
      </c>
      <c r="AY105" s="38">
        <v>7675.1026479438997</v>
      </c>
      <c r="AZ105" s="34">
        <f t="shared" si="34"/>
        <v>3.787590096925233E-3</v>
      </c>
      <c r="BA105" s="31"/>
      <c r="BB105" s="31">
        <f t="shared" si="38"/>
        <v>132.54954062164643</v>
      </c>
      <c r="BC105" s="54" t="e">
        <f>(BA105-BA101)/BA101</f>
        <v>#DIV/0!</v>
      </c>
      <c r="BE105" s="34">
        <f t="shared" si="39"/>
        <v>9.4073330030455607E-3</v>
      </c>
    </row>
    <row r="106" spans="1:57" s="23" customFormat="1">
      <c r="A106" s="23">
        <f t="shared" si="35"/>
        <v>2038</v>
      </c>
      <c r="B106" s="23">
        <f t="shared" si="36"/>
        <v>1</v>
      </c>
      <c r="C106" s="24"/>
      <c r="D106" s="24">
        <v>125903092.85004085</v>
      </c>
      <c r="E106" s="24"/>
      <c r="F106" s="52">
        <v>28476255.898003001</v>
      </c>
      <c r="G106" s="53">
        <v>5591878.4292681897</v>
      </c>
      <c r="H106" s="53">
        <v>30764865.246964343</v>
      </c>
      <c r="I106" s="25">
        <v>172944.69368871022</v>
      </c>
      <c r="J106" s="24">
        <v>951490.67774118355</v>
      </c>
      <c r="K106" s="24"/>
      <c r="L106" s="52">
        <v>2658161.8301263899</v>
      </c>
      <c r="M106" s="25"/>
      <c r="N106" s="25">
        <v>1115725.0637457855</v>
      </c>
      <c r="O106" s="24"/>
      <c r="P106" s="24">
        <v>19931604.481510967</v>
      </c>
      <c r="Q106" s="25"/>
      <c r="R106" s="25">
        <v>18831934.157375738</v>
      </c>
      <c r="S106" s="25"/>
      <c r="T106" s="24">
        <v>72005532.446473852</v>
      </c>
      <c r="U106" s="24"/>
      <c r="V106" s="25">
        <v>142837.20685709</v>
      </c>
      <c r="W106" s="25"/>
      <c r="X106" s="25">
        <v>358765.8825155755</v>
      </c>
      <c r="Y106" s="24"/>
      <c r="Z106" s="24">
        <f t="shared" si="30"/>
        <v>-13275371.427642349</v>
      </c>
      <c r="AA106" s="24"/>
      <c r="AB106" s="24">
        <f t="shared" si="31"/>
        <v>-73829164.885077968</v>
      </c>
      <c r="AC106" s="12"/>
      <c r="AD106" s="24"/>
      <c r="AE106" s="24"/>
      <c r="AF106" s="24">
        <f>BB106/100*AF25</f>
        <v>7598837063.9779577</v>
      </c>
      <c r="AG106" s="26">
        <f t="shared" si="37"/>
        <v>-2.4702582573063194E-3</v>
      </c>
      <c r="AH106" s="26"/>
      <c r="AI106" s="26">
        <f t="shared" si="32"/>
        <v>-9.7158504996853728E-3</v>
      </c>
      <c r="AT106" s="26">
        <f>AVERAGE(AG106:AG109)</f>
        <v>2.3611044487658406E-3</v>
      </c>
      <c r="AV106" s="23">
        <v>12944456</v>
      </c>
      <c r="AX106" s="23">
        <f t="shared" si="33"/>
        <v>-2.8092763511500685E-3</v>
      </c>
      <c r="AY106" s="30">
        <v>7677.7119769398996</v>
      </c>
      <c r="AZ106" s="26">
        <f t="shared" si="34"/>
        <v>3.3997317243684684E-4</v>
      </c>
      <c r="BB106" s="23">
        <f t="shared" si="38"/>
        <v>132.22210902442364</v>
      </c>
      <c r="BE106" s="26">
        <f t="shared" si="39"/>
        <v>1.1157975471233142E-2</v>
      </c>
    </row>
    <row r="107" spans="1:57" s="31" customFormat="1">
      <c r="A107" s="31">
        <f t="shared" si="35"/>
        <v>2038</v>
      </c>
      <c r="B107" s="31">
        <f t="shared" si="36"/>
        <v>2</v>
      </c>
      <c r="C107" s="32"/>
      <c r="D107" s="32">
        <v>125921485.6755491</v>
      </c>
      <c r="E107" s="32"/>
      <c r="F107" s="33">
        <v>28570406.7207832</v>
      </c>
      <c r="G107" s="32">
        <v>5682686.1382922502</v>
      </c>
      <c r="H107" s="32">
        <v>31264462.469409034</v>
      </c>
      <c r="I107" s="33">
        <v>175753.17953480966</v>
      </c>
      <c r="J107" s="32">
        <v>966942.13822913333</v>
      </c>
      <c r="K107" s="32"/>
      <c r="L107" s="33">
        <v>2124359.91785924</v>
      </c>
      <c r="M107" s="33"/>
      <c r="N107" s="33">
        <v>1117096.4618373886</v>
      </c>
      <c r="O107" s="32"/>
      <c r="P107" s="32">
        <v>17169248.848841339</v>
      </c>
      <c r="Q107" s="33"/>
      <c r="R107" s="33">
        <v>22512439.531813256</v>
      </c>
      <c r="S107" s="33"/>
      <c r="T107" s="32">
        <v>86078263.741293356</v>
      </c>
      <c r="U107" s="32"/>
      <c r="V107" s="33">
        <v>144113.84931335101</v>
      </c>
      <c r="W107" s="33"/>
      <c r="X107" s="33">
        <v>361972.44029946992</v>
      </c>
      <c r="Y107" s="32"/>
      <c r="Z107" s="32">
        <f t="shared" si="30"/>
        <v>-9155309.7193532214</v>
      </c>
      <c r="AA107" s="32"/>
      <c r="AB107" s="32">
        <f t="shared" si="31"/>
        <v>-57012470.783097088</v>
      </c>
      <c r="AC107" s="12"/>
      <c r="AD107" s="32"/>
      <c r="AE107" s="32"/>
      <c r="AF107" s="32">
        <f>BB107/100*AF25</f>
        <v>7645729037.1762247</v>
      </c>
      <c r="AG107" s="34">
        <f t="shared" si="37"/>
        <v>6.170940737834329E-3</v>
      </c>
      <c r="AH107" s="34"/>
      <c r="AI107" s="34">
        <f t="shared" si="32"/>
        <v>-7.4567736452446059E-3</v>
      </c>
      <c r="AV107" s="31">
        <v>12925521</v>
      </c>
      <c r="AX107" s="31">
        <f t="shared" si="33"/>
        <v>-1.462788393733966E-3</v>
      </c>
      <c r="AY107" s="38">
        <v>7736.4074095196002</v>
      </c>
      <c r="AZ107" s="34">
        <f t="shared" si="34"/>
        <v>7.6449120201425858E-3</v>
      </c>
      <c r="BB107" s="31">
        <f t="shared" si="38"/>
        <v>133.03804382344484</v>
      </c>
      <c r="BE107" s="34">
        <f t="shared" si="39"/>
        <v>9.3952240619936418E-3</v>
      </c>
    </row>
    <row r="108" spans="1:57">
      <c r="A108" s="31">
        <f t="shared" si="35"/>
        <v>2038</v>
      </c>
      <c r="B108" s="31">
        <f t="shared" si="36"/>
        <v>3</v>
      </c>
      <c r="C108" s="32"/>
      <c r="D108" s="32">
        <v>126336162.80141547</v>
      </c>
      <c r="E108" s="32"/>
      <c r="F108" s="33">
        <v>28732133.6698834</v>
      </c>
      <c r="G108" s="32">
        <v>5769040.6111397902</v>
      </c>
      <c r="H108" s="32">
        <v>31739559.300327603</v>
      </c>
      <c r="I108" s="33">
        <v>178423.93642699998</v>
      </c>
      <c r="J108" s="32">
        <v>981635.85464928614</v>
      </c>
      <c r="K108" s="32"/>
      <c r="L108" s="33">
        <v>2100345.4122522702</v>
      </c>
      <c r="M108" s="33"/>
      <c r="N108" s="33">
        <v>1122399.6323703974</v>
      </c>
      <c r="O108" s="32"/>
      <c r="P108" s="32">
        <v>17073813.944670964</v>
      </c>
      <c r="Q108" s="33"/>
      <c r="R108" s="33">
        <v>18966199.109889023</v>
      </c>
      <c r="S108" s="33"/>
      <c r="T108" s="32">
        <v>72518906.129380077</v>
      </c>
      <c r="U108" s="32"/>
      <c r="V108" s="33">
        <v>145983.559832967</v>
      </c>
      <c r="W108" s="33"/>
      <c r="X108" s="33">
        <v>366668.61407224479</v>
      </c>
      <c r="Y108" s="32"/>
      <c r="Z108" s="32">
        <f t="shared" si="30"/>
        <v>-12842696.044784077</v>
      </c>
      <c r="AA108" s="32"/>
      <c r="AB108" s="32">
        <f t="shared" si="31"/>
        <v>-70891070.616706356</v>
      </c>
      <c r="AC108" s="12"/>
      <c r="AD108" s="32"/>
      <c r="AE108" s="32"/>
      <c r="AF108" s="32">
        <f>BB108/100*AF25</f>
        <v>7663363353.3676682</v>
      </c>
      <c r="AG108" s="34">
        <f t="shared" si="37"/>
        <v>2.3064270399459873E-3</v>
      </c>
      <c r="AH108" s="34"/>
      <c r="AI108" s="34">
        <f t="shared" si="32"/>
        <v>-9.2506471829439281E-3</v>
      </c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2"/>
      <c r="AV108" s="31">
        <v>13002376</v>
      </c>
      <c r="AX108" s="31">
        <f t="shared" si="33"/>
        <v>5.945988560151657E-3</v>
      </c>
      <c r="AY108" s="38">
        <v>7708.4167111794004</v>
      </c>
      <c r="AZ108" s="34">
        <f t="shared" si="34"/>
        <v>-3.6180486443562121E-3</v>
      </c>
      <c r="BA108" s="31"/>
      <c r="BB108" s="31">
        <f t="shared" si="38"/>
        <v>133.34488636506074</v>
      </c>
      <c r="BC108" s="31"/>
      <c r="BE108" s="34">
        <f t="shared" si="39"/>
        <v>1.1125848925467887E-2</v>
      </c>
    </row>
    <row r="109" spans="1:57">
      <c r="A109" s="31">
        <f t="shared" si="35"/>
        <v>2038</v>
      </c>
      <c r="B109" s="31">
        <f t="shared" si="36"/>
        <v>4</v>
      </c>
      <c r="C109" s="32"/>
      <c r="D109" s="32">
        <v>126405124.00915317</v>
      </c>
      <c r="E109" s="32"/>
      <c r="F109" s="33">
        <v>28803307.366342701</v>
      </c>
      <c r="G109" s="32">
        <v>5827679.7917834297</v>
      </c>
      <c r="H109" s="32">
        <v>32062174.770873528</v>
      </c>
      <c r="I109" s="33">
        <v>180237.51933351066</v>
      </c>
      <c r="J109" s="32">
        <v>991613.65270744252</v>
      </c>
      <c r="K109" s="32"/>
      <c r="L109" s="33">
        <v>2202240.3732466199</v>
      </c>
      <c r="M109" s="33"/>
      <c r="N109" s="33">
        <v>1124147.2813868858</v>
      </c>
      <c r="O109" s="32"/>
      <c r="P109" s="32">
        <v>17612162.430907808</v>
      </c>
      <c r="Q109" s="33"/>
      <c r="R109" s="33">
        <v>22598163.463904399</v>
      </c>
      <c r="S109" s="33"/>
      <c r="T109" s="32">
        <v>86406036.625482768</v>
      </c>
      <c r="U109" s="32"/>
      <c r="V109" s="33">
        <v>138532.30036914101</v>
      </c>
      <c r="W109" s="33"/>
      <c r="X109" s="33">
        <v>347953.19855682738</v>
      </c>
      <c r="Y109" s="32"/>
      <c r="Z109" s="32">
        <f t="shared" si="30"/>
        <v>-9392999.256702669</v>
      </c>
      <c r="AA109" s="32"/>
      <c r="AB109" s="32">
        <f t="shared" si="31"/>
        <v>-57611249.81457822</v>
      </c>
      <c r="AC109" s="12"/>
      <c r="AD109" s="32"/>
      <c r="AE109" s="32"/>
      <c r="AF109" s="32">
        <f>BB109/100*AF25</f>
        <v>7689704695.6333838</v>
      </c>
      <c r="AG109" s="34">
        <f t="shared" si="37"/>
        <v>3.437308274589366E-3</v>
      </c>
      <c r="AH109" s="34">
        <f>(AF109-AF105)/AF105</f>
        <v>9.4582992804909238E-3</v>
      </c>
      <c r="AI109" s="34">
        <f t="shared" si="32"/>
        <v>-7.4919976897543155E-3</v>
      </c>
      <c r="AJ109" s="54"/>
      <c r="AK109" s="31"/>
      <c r="AL109" s="31"/>
      <c r="AM109" s="31"/>
      <c r="AN109" s="31"/>
      <c r="AO109" s="31"/>
      <c r="AP109" s="31"/>
      <c r="AQ109" s="31"/>
      <c r="AR109" s="31"/>
      <c r="AS109" s="31"/>
      <c r="AV109" s="31">
        <v>13039381</v>
      </c>
      <c r="AX109" s="31">
        <f t="shared" si="33"/>
        <v>2.8460182969635706E-3</v>
      </c>
      <c r="AY109" s="38">
        <v>7712.9616856435996</v>
      </c>
      <c r="AZ109" s="34">
        <f t="shared" si="34"/>
        <v>5.8961193128125489E-4</v>
      </c>
      <c r="BA109" s="31"/>
      <c r="BB109" s="31">
        <f t="shared" si="38"/>
        <v>133.80323384633755</v>
      </c>
      <c r="BC109" s="54" t="e">
        <f>(BA109-BA105)/BA105</f>
        <v>#DIV/0!</v>
      </c>
      <c r="BE109" s="34">
        <f t="shared" si="39"/>
        <v>9.4115837762923441E-3</v>
      </c>
    </row>
    <row r="110" spans="1:57" s="23" customFormat="1">
      <c r="A110" s="23">
        <f t="shared" si="35"/>
        <v>2039</v>
      </c>
      <c r="B110" s="23">
        <f t="shared" si="36"/>
        <v>1</v>
      </c>
      <c r="C110" s="24"/>
      <c r="D110" s="24">
        <v>126734849.93846433</v>
      </c>
      <c r="E110" s="24"/>
      <c r="F110" s="52">
        <v>28979548.0724135</v>
      </c>
      <c r="G110" s="53">
        <v>5943988.9071619101</v>
      </c>
      <c r="H110" s="53">
        <v>32702073.206948943</v>
      </c>
      <c r="I110" s="25">
        <v>183834.70846892986</v>
      </c>
      <c r="J110" s="24">
        <v>1011404.3259881382</v>
      </c>
      <c r="K110" s="24"/>
      <c r="L110" s="52">
        <v>2708323.0108326501</v>
      </c>
      <c r="M110" s="25"/>
      <c r="N110" s="25">
        <v>1128839.8865327723</v>
      </c>
      <c r="O110" s="24"/>
      <c r="P110" s="24">
        <v>20264044.972127676</v>
      </c>
      <c r="Q110" s="25"/>
      <c r="R110" s="25">
        <v>19011480.746442262</v>
      </c>
      <c r="S110" s="25"/>
      <c r="T110" s="24">
        <v>72692044.391377807</v>
      </c>
      <c r="U110" s="24"/>
      <c r="V110" s="25">
        <v>145781.12857291201</v>
      </c>
      <c r="W110" s="25"/>
      <c r="X110" s="25">
        <v>366160.16510953836</v>
      </c>
      <c r="Y110" s="24"/>
      <c r="Z110" s="24">
        <f t="shared" ref="Z110:Z117" si="40">R110+V110-N110-L110-F110</f>
        <v>-13659449.09476375</v>
      </c>
      <c r="AA110" s="24"/>
      <c r="AB110" s="24">
        <f t="shared" ref="AB110:AB117" si="41">T110-P110-D110</f>
        <v>-74306850.519214198</v>
      </c>
      <c r="AC110" s="12"/>
      <c r="AD110" s="24"/>
      <c r="AE110" s="24"/>
      <c r="AF110" s="24">
        <f>BB110/100*AF25</f>
        <v>7698785680.2608328</v>
      </c>
      <c r="AG110" s="26">
        <f t="shared" si="37"/>
        <v>1.1809276151535043E-3</v>
      </c>
      <c r="AH110" s="26"/>
      <c r="AI110" s="26">
        <f t="shared" ref="AI110:AI117" si="42">AB110/AF110</f>
        <v>-9.651762447385949E-3</v>
      </c>
      <c r="AT110" s="26">
        <f>AVERAGE(AG110:AG113)</f>
        <v>-4.3767653770377356E-6</v>
      </c>
      <c r="AV110" s="23">
        <v>13073649</v>
      </c>
      <c r="AX110" s="23">
        <f t="shared" si="33"/>
        <v>2.6280388616606878E-3</v>
      </c>
      <c r="AY110" s="30">
        <v>7701.8294280500004</v>
      </c>
      <c r="AZ110" s="26">
        <f t="shared" si="34"/>
        <v>-1.4433181503183219E-3</v>
      </c>
      <c r="BB110" s="23">
        <f t="shared" si="38"/>
        <v>133.96124578018353</v>
      </c>
      <c r="BE110" s="26">
        <f t="shared" si="39"/>
        <v>1.1172398194429559E-2</v>
      </c>
    </row>
    <row r="111" spans="1:57" s="31" customFormat="1">
      <c r="A111" s="31">
        <f t="shared" si="35"/>
        <v>2039</v>
      </c>
      <c r="B111" s="31">
        <f t="shared" si="36"/>
        <v>2</v>
      </c>
      <c r="C111" s="32"/>
      <c r="D111" s="32">
        <v>127127373.72696833</v>
      </c>
      <c r="E111" s="32"/>
      <c r="F111" s="33">
        <v>29180640.177751102</v>
      </c>
      <c r="G111" s="32">
        <v>6073735.1675465005</v>
      </c>
      <c r="H111" s="32">
        <v>33415898.850249249</v>
      </c>
      <c r="I111" s="33">
        <v>187847.47940864973</v>
      </c>
      <c r="J111" s="32">
        <v>1033481.4077396404</v>
      </c>
      <c r="K111" s="32"/>
      <c r="L111" s="33">
        <v>2095677.11998081</v>
      </c>
      <c r="M111" s="33"/>
      <c r="N111" s="33">
        <v>1134127.8179229461</v>
      </c>
      <c r="O111" s="32"/>
      <c r="P111" s="32">
        <v>17114115.170418181</v>
      </c>
      <c r="Q111" s="33"/>
      <c r="R111" s="33">
        <v>22448227.965203788</v>
      </c>
      <c r="S111" s="33"/>
      <c r="T111" s="32">
        <v>85832745.25103642</v>
      </c>
      <c r="U111" s="32"/>
      <c r="V111" s="33">
        <v>147008.08997373001</v>
      </c>
      <c r="W111" s="33"/>
      <c r="X111" s="33">
        <v>369241.93840560562</v>
      </c>
      <c r="Y111" s="32"/>
      <c r="Z111" s="32">
        <f t="shared" si="40"/>
        <v>-9815209.0604773387</v>
      </c>
      <c r="AA111" s="32"/>
      <c r="AB111" s="32">
        <f t="shared" si="41"/>
        <v>-58408743.646350101</v>
      </c>
      <c r="AC111" s="12"/>
      <c r="AD111" s="32"/>
      <c r="AE111" s="32"/>
      <c r="AF111" s="32">
        <f>BB111/100*AF25</f>
        <v>7671275164.3796864</v>
      </c>
      <c r="AG111" s="34">
        <f t="shared" si="37"/>
        <v>-3.573357802605356E-3</v>
      </c>
      <c r="AH111" s="34"/>
      <c r="AI111" s="34">
        <f t="shared" si="42"/>
        <v>-7.6139549676905822E-3</v>
      </c>
      <c r="AV111" s="31">
        <v>13016841</v>
      </c>
      <c r="AX111" s="31">
        <f t="shared" ref="AX111:AX117" si="43">(AV111-AV110)/AV110</f>
        <v>-4.3452290940348788E-3</v>
      </c>
      <c r="AY111" s="38">
        <v>7707.8001934204003</v>
      </c>
      <c r="AZ111" s="34">
        <f t="shared" ref="AZ111:AZ117" si="44">(AY111-AY110)/AY110</f>
        <v>7.7523988633849147E-4</v>
      </c>
      <c r="BB111" s="31">
        <f t="shared" si="38"/>
        <v>133.48255431732818</v>
      </c>
      <c r="BE111" s="34"/>
    </row>
    <row r="112" spans="1:57">
      <c r="A112" s="31">
        <f t="shared" si="35"/>
        <v>2039</v>
      </c>
      <c r="B112" s="31">
        <f t="shared" si="36"/>
        <v>3</v>
      </c>
      <c r="C112" s="32"/>
      <c r="D112" s="32">
        <v>127309793.22878875</v>
      </c>
      <c r="E112" s="32"/>
      <c r="F112" s="33">
        <v>29325129.732335702</v>
      </c>
      <c r="G112" s="32">
        <v>6185067.8183345497</v>
      </c>
      <c r="H112" s="32">
        <v>34028418.246442549</v>
      </c>
      <c r="I112" s="33">
        <v>191290.75726808049</v>
      </c>
      <c r="J112" s="32">
        <v>1052425.3065910155</v>
      </c>
      <c r="K112" s="32"/>
      <c r="L112" s="33">
        <v>2082322.5808409499</v>
      </c>
      <c r="M112" s="33"/>
      <c r="N112" s="33">
        <v>1137679.9502876177</v>
      </c>
      <c r="O112" s="32"/>
      <c r="P112" s="32">
        <v>17064361.187558576</v>
      </c>
      <c r="Q112" s="33"/>
      <c r="R112" s="33">
        <v>18828538.492899556</v>
      </c>
      <c r="S112" s="33"/>
      <c r="T112" s="32">
        <v>71992548.829041153</v>
      </c>
      <c r="U112" s="32"/>
      <c r="V112" s="33">
        <v>144629.13786306401</v>
      </c>
      <c r="W112" s="33"/>
      <c r="X112" s="33">
        <v>363266.69657453778</v>
      </c>
      <c r="Y112" s="32"/>
      <c r="Z112" s="32">
        <f t="shared" si="40"/>
        <v>-13571964.63270165</v>
      </c>
      <c r="AA112" s="32"/>
      <c r="AB112" s="32">
        <f t="shared" si="41"/>
        <v>-72381605.587306172</v>
      </c>
      <c r="AC112" s="12"/>
      <c r="AD112" s="32"/>
      <c r="AE112" s="32"/>
      <c r="AF112" s="32">
        <f>BB112/100*AF25</f>
        <v>7652811780.5263243</v>
      </c>
      <c r="AG112" s="34">
        <f t="shared" si="37"/>
        <v>-2.4068206990010984E-3</v>
      </c>
      <c r="AH112" s="34"/>
      <c r="AI112" s="34">
        <f t="shared" si="42"/>
        <v>-9.4581714098197905E-3</v>
      </c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2"/>
      <c r="AV112" s="31">
        <v>13001161</v>
      </c>
      <c r="AX112" s="31">
        <f t="shared" si="43"/>
        <v>-1.2045933418100444E-3</v>
      </c>
      <c r="AY112" s="38">
        <v>7698.5224893035002</v>
      </c>
      <c r="AZ112" s="34">
        <f t="shared" si="44"/>
        <v>-1.2036772988510888E-3</v>
      </c>
      <c r="BA112" s="31"/>
      <c r="BB112" s="31">
        <f t="shared" si="38"/>
        <v>133.1612857426417</v>
      </c>
      <c r="BC112" s="31"/>
      <c r="BE112" s="34"/>
    </row>
    <row r="113" spans="1:57">
      <c r="A113" s="31">
        <f t="shared" si="35"/>
        <v>2039</v>
      </c>
      <c r="B113" s="31">
        <f t="shared" si="36"/>
        <v>4</v>
      </c>
      <c r="C113" s="32"/>
      <c r="D113" s="32">
        <v>127509866.82182199</v>
      </c>
      <c r="E113" s="32"/>
      <c r="F113" s="33">
        <v>29485513.966909502</v>
      </c>
      <c r="G113" s="32">
        <v>6309086.3090584204</v>
      </c>
      <c r="H113" s="32">
        <v>34710731.391034842</v>
      </c>
      <c r="I113" s="33">
        <v>195126.38069251925</v>
      </c>
      <c r="J113" s="32">
        <v>1073527.7749804081</v>
      </c>
      <c r="K113" s="32"/>
      <c r="L113" s="33">
        <v>2135762.3927657101</v>
      </c>
      <c r="M113" s="33"/>
      <c r="N113" s="33">
        <v>1141514.8292987794</v>
      </c>
      <c r="O113" s="32"/>
      <c r="P113" s="32">
        <v>17362758.998525515</v>
      </c>
      <c r="Q113" s="33"/>
      <c r="R113" s="33">
        <v>22439192.847081378</v>
      </c>
      <c r="S113" s="33"/>
      <c r="T113" s="32">
        <v>85798198.693806335</v>
      </c>
      <c r="U113" s="32"/>
      <c r="V113" s="33">
        <v>148999.465982603</v>
      </c>
      <c r="W113" s="33"/>
      <c r="X113" s="33">
        <v>374243.7008102602</v>
      </c>
      <c r="Y113" s="32"/>
      <c r="Z113" s="32">
        <f t="shared" si="40"/>
        <v>-10174598.87591001</v>
      </c>
      <c r="AA113" s="32"/>
      <c r="AB113" s="32">
        <f t="shared" si="41"/>
        <v>-59074427.126541167</v>
      </c>
      <c r="AC113" s="12"/>
      <c r="AD113" s="32"/>
      <c r="AE113" s="32"/>
      <c r="AF113" s="32">
        <f>BB113/100*AF25</f>
        <v>7689405566.0013208</v>
      </c>
      <c r="AG113" s="34">
        <f t="shared" si="37"/>
        <v>4.7817438249447997E-3</v>
      </c>
      <c r="AH113" s="34">
        <f>(AF113-AF109)/AF109</f>
        <v>-3.8900015527614917E-5</v>
      </c>
      <c r="AI113" s="34">
        <f t="shared" si="42"/>
        <v>-7.6825739804567642E-3</v>
      </c>
      <c r="AJ113" s="54"/>
      <c r="AK113" s="31"/>
      <c r="AL113" s="31"/>
      <c r="AM113" s="31"/>
      <c r="AN113" s="31"/>
      <c r="AO113" s="31"/>
      <c r="AP113" s="31"/>
      <c r="AQ113" s="31"/>
      <c r="AR113" s="31"/>
      <c r="AS113" s="31"/>
      <c r="AV113" s="31">
        <v>13039899</v>
      </c>
      <c r="AX113" s="31">
        <f t="shared" si="43"/>
        <v>2.9795800544274468E-3</v>
      </c>
      <c r="AY113" s="38">
        <v>7712.3552717375997</v>
      </c>
      <c r="AZ113" s="34">
        <f t="shared" si="44"/>
        <v>1.7968100311870332E-3</v>
      </c>
      <c r="BA113" s="31"/>
      <c r="BB113" s="31">
        <f t="shared" si="38"/>
        <v>133.79802889846329</v>
      </c>
      <c r="BC113" s="54" t="e">
        <f>(BA113-BA109)/BA109</f>
        <v>#DIV/0!</v>
      </c>
      <c r="BE113" s="34"/>
    </row>
    <row r="114" spans="1:57" s="23" customFormat="1">
      <c r="A114" s="23">
        <f t="shared" ref="A114:A117" si="45">A110+1</f>
        <v>2040</v>
      </c>
      <c r="B114" s="23">
        <f t="shared" ref="B114:B117" si="46">B110</f>
        <v>1</v>
      </c>
      <c r="C114" s="24"/>
      <c r="D114" s="24">
        <v>127344053.93210602</v>
      </c>
      <c r="E114" s="24"/>
      <c r="F114" s="52">
        <v>29579539.168799199</v>
      </c>
      <c r="G114" s="53">
        <v>6433249.9664184796</v>
      </c>
      <c r="H114" s="53">
        <v>35393843.199628361</v>
      </c>
      <c r="I114" s="25">
        <v>198966.49380676076</v>
      </c>
      <c r="J114" s="24">
        <v>1094654.9443184228</v>
      </c>
      <c r="K114" s="24"/>
      <c r="L114" s="52">
        <v>2654895.07950478</v>
      </c>
      <c r="M114" s="25"/>
      <c r="N114" s="25">
        <v>1142224.5519823395</v>
      </c>
      <c r="O114" s="24"/>
      <c r="P114" s="24">
        <v>20060445.662670419</v>
      </c>
      <c r="Q114" s="25"/>
      <c r="R114" s="25">
        <v>18841901.137743596</v>
      </c>
      <c r="S114" s="25"/>
      <c r="T114" s="24">
        <v>72043642.059765488</v>
      </c>
      <c r="U114" s="24"/>
      <c r="V114" s="25">
        <v>149802.641288863</v>
      </c>
      <c r="W114" s="25"/>
      <c r="X114" s="25">
        <v>376261.04561771912</v>
      </c>
      <c r="Y114" s="24"/>
      <c r="Z114" s="24">
        <f t="shared" si="40"/>
        <v>-14384955.021253861</v>
      </c>
      <c r="AA114" s="24"/>
      <c r="AB114" s="24">
        <f t="shared" si="41"/>
        <v>-75360857.535010949</v>
      </c>
      <c r="AC114" s="12"/>
      <c r="AD114" s="24"/>
      <c r="AE114" s="24"/>
      <c r="AF114" s="24">
        <f>BB114/100*AF25</f>
        <v>7668113243.9621687</v>
      </c>
      <c r="AG114" s="26">
        <f t="shared" si="37"/>
        <v>-2.7690465610626745E-3</v>
      </c>
      <c r="AH114" s="26"/>
      <c r="AI114" s="26">
        <f t="shared" si="42"/>
        <v>-9.827822716931011E-3</v>
      </c>
      <c r="AT114" s="26">
        <f>AVERAGE(AG114:AG117)</f>
        <v>3.3527082645643264E-3</v>
      </c>
      <c r="AV114" s="23">
        <v>12992499</v>
      </c>
      <c r="AX114" s="23">
        <f t="shared" si="43"/>
        <v>-3.6349974796583929E-3</v>
      </c>
      <c r="AY114" s="30">
        <v>7719.0581578437996</v>
      </c>
      <c r="AZ114" s="26">
        <f t="shared" si="44"/>
        <v>8.6911013173408271E-4</v>
      </c>
      <c r="BB114" s="23">
        <f t="shared" si="38"/>
        <v>133.42753592666503</v>
      </c>
      <c r="BE114" s="26"/>
    </row>
    <row r="115" spans="1:57" s="31" customFormat="1">
      <c r="A115" s="31">
        <f t="shared" si="45"/>
        <v>2040</v>
      </c>
      <c r="B115" s="31">
        <f t="shared" si="46"/>
        <v>2</v>
      </c>
      <c r="C115" s="32"/>
      <c r="D115" s="32">
        <v>127126801.34865192</v>
      </c>
      <c r="E115" s="32"/>
      <c r="F115" s="33">
        <v>29671308.6306701</v>
      </c>
      <c r="G115" s="32">
        <v>6564507.6569998804</v>
      </c>
      <c r="H115" s="32">
        <v>36115984.285927512</v>
      </c>
      <c r="I115" s="33">
        <v>203026.01001030952</v>
      </c>
      <c r="J115" s="32">
        <v>1116989.2047194291</v>
      </c>
      <c r="K115" s="32"/>
      <c r="L115" s="33">
        <v>2123504.8242877801</v>
      </c>
      <c r="M115" s="33"/>
      <c r="N115" s="33">
        <v>1142908.1979159862</v>
      </c>
      <c r="O115" s="32"/>
      <c r="P115" s="32">
        <v>17306820.320445172</v>
      </c>
      <c r="Q115" s="33"/>
      <c r="R115" s="33">
        <v>22500660.386466384</v>
      </c>
      <c r="S115" s="33"/>
      <c r="T115" s="32">
        <v>86033225.158141047</v>
      </c>
      <c r="U115" s="32"/>
      <c r="V115" s="33">
        <v>146701.65140373699</v>
      </c>
      <c r="W115" s="33"/>
      <c r="X115" s="33">
        <v>368472.2530664744</v>
      </c>
      <c r="Y115" s="32"/>
      <c r="Z115" s="32">
        <f t="shared" si="40"/>
        <v>-10290359.615003746</v>
      </c>
      <c r="AA115" s="32"/>
      <c r="AB115" s="32">
        <f t="shared" si="41"/>
        <v>-58400396.510956049</v>
      </c>
      <c r="AC115" s="12"/>
      <c r="AD115" s="32"/>
      <c r="AE115" s="32"/>
      <c r="AF115" s="32">
        <f>BB115/100*AF25</f>
        <v>7732733541.0068951</v>
      </c>
      <c r="AG115" s="34">
        <f t="shared" si="37"/>
        <v>8.4271443298790678E-3</v>
      </c>
      <c r="AH115" s="34"/>
      <c r="AI115" s="34">
        <f t="shared" si="42"/>
        <v>-7.5523611671418868E-3</v>
      </c>
      <c r="AV115" s="31">
        <v>13059447</v>
      </c>
      <c r="AX115" s="31">
        <f t="shared" si="43"/>
        <v>5.1528193305999098E-3</v>
      </c>
      <c r="AY115" s="38">
        <v>7744.2032945942001</v>
      </c>
      <c r="AZ115" s="34">
        <f t="shared" si="44"/>
        <v>3.257539486841285E-3</v>
      </c>
      <c r="BB115" s="31">
        <f t="shared" si="38"/>
        <v>134.55194902949916</v>
      </c>
      <c r="BE115" s="34"/>
    </row>
    <row r="116" spans="1:57">
      <c r="A116" s="31">
        <f t="shared" si="45"/>
        <v>2040</v>
      </c>
      <c r="B116" s="31">
        <f t="shared" si="46"/>
        <v>3</v>
      </c>
      <c r="C116" s="32"/>
      <c r="D116" s="32">
        <v>127357985.85431837</v>
      </c>
      <c r="E116" s="32"/>
      <c r="F116" s="33">
        <v>29744699.3537535</v>
      </c>
      <c r="G116" s="32">
        <v>6595877.85959539</v>
      </c>
      <c r="H116" s="32">
        <v>36288573.884901881</v>
      </c>
      <c r="I116" s="33">
        <v>203996.22246170975</v>
      </c>
      <c r="J116" s="32">
        <v>1122327.027368081</v>
      </c>
      <c r="K116" s="32"/>
      <c r="L116" s="33">
        <v>2130437.37433379</v>
      </c>
      <c r="M116" s="33"/>
      <c r="N116" s="33">
        <v>1146382.6867709905</v>
      </c>
      <c r="O116" s="32"/>
      <c r="P116" s="32">
        <v>17361908.968130164</v>
      </c>
      <c r="Q116" s="33"/>
      <c r="R116" s="33">
        <v>19091756.462974913</v>
      </c>
      <c r="S116" s="33"/>
      <c r="T116" s="32">
        <v>72998985.551173225</v>
      </c>
      <c r="U116" s="32"/>
      <c r="V116" s="33">
        <v>143345.95840983599</v>
      </c>
      <c r="W116" s="33"/>
      <c r="X116" s="33">
        <v>360043.71973893081</v>
      </c>
      <c r="Y116" s="32"/>
      <c r="Z116" s="32">
        <f t="shared" si="40"/>
        <v>-13786416.993473532</v>
      </c>
      <c r="AA116" s="32"/>
      <c r="AB116" s="32">
        <f t="shared" si="41"/>
        <v>-71720909.271275312</v>
      </c>
      <c r="AC116" s="12"/>
      <c r="AD116" s="32"/>
      <c r="AE116" s="32"/>
      <c r="AF116" s="32">
        <f>BB116/100*AF25</f>
        <v>7756291319.9643097</v>
      </c>
      <c r="AG116" s="34">
        <f t="shared" si="37"/>
        <v>3.0465008049853377E-3</v>
      </c>
      <c r="AH116" s="34"/>
      <c r="AI116" s="34">
        <f t="shared" si="42"/>
        <v>-9.2468044729920405E-3</v>
      </c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2"/>
      <c r="AV116" s="31">
        <v>13059232</v>
      </c>
      <c r="AX116" s="31">
        <f t="shared" si="43"/>
        <v>-1.6463177958454137E-5</v>
      </c>
      <c r="AY116" s="38">
        <v>7767.9239008786999</v>
      </c>
      <c r="AZ116" s="34">
        <f t="shared" si="44"/>
        <v>3.0630144098951861E-3</v>
      </c>
      <c r="BA116" s="31"/>
      <c r="BB116" s="31">
        <f t="shared" si="38"/>
        <v>134.96186165052987</v>
      </c>
      <c r="BC116" s="31"/>
      <c r="BE116" s="34"/>
    </row>
    <row r="117" spans="1:57">
      <c r="A117" s="31">
        <f t="shared" si="45"/>
        <v>2040</v>
      </c>
      <c r="B117" s="31">
        <f t="shared" si="46"/>
        <v>4</v>
      </c>
      <c r="C117" s="32"/>
      <c r="D117" s="32">
        <v>126931508.80065484</v>
      </c>
      <c r="E117" s="32"/>
      <c r="F117" s="33">
        <v>29758368.994061202</v>
      </c>
      <c r="G117" s="32">
        <v>6687064.7527112802</v>
      </c>
      <c r="H117" s="32">
        <v>36790257.266342424</v>
      </c>
      <c r="I117" s="33">
        <v>206816.4356508702</v>
      </c>
      <c r="J117" s="32">
        <v>1137843.0082374269</v>
      </c>
      <c r="K117" s="32"/>
      <c r="L117" s="33">
        <v>2034855.2147265901</v>
      </c>
      <c r="M117" s="33"/>
      <c r="N117" s="33">
        <v>1144231.1006014273</v>
      </c>
      <c r="O117" s="32"/>
      <c r="P117" s="32">
        <v>16854095.295265548</v>
      </c>
      <c r="Q117" s="33"/>
      <c r="R117" s="33">
        <v>22770296.016568337</v>
      </c>
      <c r="S117" s="33"/>
      <c r="T117" s="32">
        <v>87064200.359614298</v>
      </c>
      <c r="U117" s="32"/>
      <c r="V117" s="33">
        <v>154105.651615237</v>
      </c>
      <c r="W117" s="33"/>
      <c r="X117" s="33">
        <v>387068.96696526947</v>
      </c>
      <c r="Y117" s="32"/>
      <c r="Z117" s="32">
        <f t="shared" si="40"/>
        <v>-10013053.641205646</v>
      </c>
      <c r="AA117" s="32"/>
      <c r="AB117" s="32">
        <f t="shared" si="41"/>
        <v>-56721403.736306086</v>
      </c>
      <c r="AC117" s="12"/>
      <c r="AD117" s="32"/>
      <c r="AE117" s="32"/>
      <c r="AF117" s="32">
        <f>BB117/100*AF25</f>
        <v>7792794245.6458092</v>
      </c>
      <c r="AG117" s="34">
        <f t="shared" si="37"/>
        <v>4.7062344844555747E-3</v>
      </c>
      <c r="AH117" s="34">
        <f>(AF117-AF113)/AF113</f>
        <v>1.34456010620146E-2</v>
      </c>
      <c r="AI117" s="34">
        <f t="shared" si="42"/>
        <v>-7.2786990068419849E-3</v>
      </c>
      <c r="AJ117" s="54"/>
      <c r="AK117" s="40"/>
      <c r="AL117" s="31"/>
      <c r="AM117" s="31"/>
      <c r="AN117" s="31"/>
      <c r="AO117" s="31"/>
      <c r="AP117" s="31"/>
      <c r="AQ117" s="31"/>
      <c r="AR117" s="31"/>
      <c r="AS117" s="31"/>
      <c r="AV117" s="31">
        <v>13081094</v>
      </c>
      <c r="AX117" s="31">
        <f t="shared" si="43"/>
        <v>1.6740647535781583E-3</v>
      </c>
      <c r="AY117" s="38">
        <v>7791.4382001431004</v>
      </c>
      <c r="AZ117" s="34">
        <f t="shared" si="44"/>
        <v>3.0271021658361758E-3</v>
      </c>
      <c r="BA117" s="31"/>
      <c r="BB117" s="31">
        <f t="shared" si="38"/>
        <v>135.59702381791593</v>
      </c>
      <c r="BC117" s="54" t="e">
        <f>(BA117-BA113)/BA113</f>
        <v>#DIV/0!</v>
      </c>
      <c r="BE117" s="34"/>
    </row>
    <row r="118" spans="1:57">
      <c r="AJ118" s="23"/>
      <c r="AK118" s="22"/>
      <c r="BC118" s="23"/>
    </row>
    <row r="119" spans="1:57">
      <c r="AH119" s="15">
        <f>AVERAGE(AH29:AH117)</f>
        <v>1.3674013494201354E-2</v>
      </c>
      <c r="AJ119" s="31"/>
    </row>
    <row r="120" spans="1:57">
      <c r="AJ120" s="31"/>
    </row>
    <row r="121" spans="1:57">
      <c r="AJ121" s="54"/>
    </row>
    <row r="122" spans="1:57">
      <c r="AJ122" s="23"/>
    </row>
    <row r="123" spans="1:57">
      <c r="AJ123" s="31"/>
    </row>
    <row r="124" spans="1:57">
      <c r="AJ124" s="31"/>
      <c r="BA124" t="s">
        <v>46</v>
      </c>
    </row>
    <row r="125" spans="1:57">
      <c r="AJ125" s="54"/>
    </row>
    <row r="127" spans="1:57">
      <c r="AE127" s="23">
        <v>2015</v>
      </c>
      <c r="AF127" s="24">
        <f t="shared" ref="AF127:AF158" si="47">AF14</f>
        <v>4939996537.5502996</v>
      </c>
    </row>
    <row r="128" spans="1:57">
      <c r="AE128" s="31">
        <v>2015</v>
      </c>
      <c r="AF128" s="32">
        <f t="shared" si="47"/>
        <v>5575972427.7771788</v>
      </c>
    </row>
    <row r="129" spans="31:47">
      <c r="AE129" s="31">
        <v>2015</v>
      </c>
      <c r="AF129" s="32">
        <f t="shared" si="47"/>
        <v>5631310929.7641611</v>
      </c>
    </row>
    <row r="130" spans="31:47">
      <c r="AE130" s="31">
        <v>2015</v>
      </c>
      <c r="AF130" s="32">
        <f t="shared" si="47"/>
        <v>5658523044.9401817</v>
      </c>
      <c r="AG130" s="15"/>
      <c r="AH130" s="15"/>
    </row>
    <row r="131" spans="31:47">
      <c r="AE131" s="23">
        <f t="shared" ref="AE131:AE162" si="48">AE127+1</f>
        <v>2016</v>
      </c>
      <c r="AF131" s="24">
        <f t="shared" si="47"/>
        <v>5310325654.3908043</v>
      </c>
    </row>
    <row r="132" spans="31:47">
      <c r="AE132" s="31">
        <f t="shared" si="48"/>
        <v>2016</v>
      </c>
      <c r="AF132" s="32">
        <f t="shared" si="47"/>
        <v>5680414010.4820404</v>
      </c>
    </row>
    <row r="133" spans="31:47">
      <c r="AE133" s="31">
        <f t="shared" si="48"/>
        <v>2016</v>
      </c>
      <c r="AF133" s="32">
        <f t="shared" si="47"/>
        <v>5420066876.0125456</v>
      </c>
    </row>
    <row r="134" spans="31:47">
      <c r="AE134" s="31">
        <f t="shared" si="48"/>
        <v>2016</v>
      </c>
      <c r="AF134" s="32">
        <f t="shared" si="47"/>
        <v>5452188460.364418</v>
      </c>
      <c r="AI134" s="15"/>
    </row>
    <row r="135" spans="31:47">
      <c r="AE135" s="23">
        <f t="shared" si="48"/>
        <v>2017</v>
      </c>
      <c r="AF135" s="24">
        <f t="shared" si="47"/>
        <v>5321089171.2110472</v>
      </c>
      <c r="AG135" s="15"/>
      <c r="AH135" s="15"/>
    </row>
    <row r="136" spans="31:47">
      <c r="AE136" s="31">
        <f t="shared" si="48"/>
        <v>2017</v>
      </c>
      <c r="AF136" s="32">
        <f t="shared" si="47"/>
        <v>5775318002.6090412</v>
      </c>
    </row>
    <row r="137" spans="31:47">
      <c r="AE137" s="31">
        <f t="shared" si="48"/>
        <v>2017</v>
      </c>
      <c r="AF137" s="32">
        <f t="shared" si="47"/>
        <v>5711092269.986743</v>
      </c>
    </row>
    <row r="138" spans="31:47">
      <c r="AE138" s="31">
        <f t="shared" si="48"/>
        <v>2017</v>
      </c>
      <c r="AF138" s="32">
        <f t="shared" si="47"/>
        <v>5747024548.3486614</v>
      </c>
      <c r="AI138" s="15">
        <f>(AF138-AF134)/AF134</f>
        <v>5.4076650161233954E-2</v>
      </c>
      <c r="AJ138" s="15">
        <f>AVERAGE(AI138:AI230)</f>
        <v>1.5052273737456297E-2</v>
      </c>
    </row>
    <row r="139" spans="31:47">
      <c r="AE139" s="23">
        <f t="shared" si="48"/>
        <v>2018</v>
      </c>
      <c r="AF139" s="24">
        <f t="shared" si="47"/>
        <v>5687221153.9923506</v>
      </c>
      <c r="AG139" s="15"/>
      <c r="AH139" s="15"/>
    </row>
    <row r="140" spans="31:47">
      <c r="AE140" s="31">
        <f t="shared" si="48"/>
        <v>2018</v>
      </c>
      <c r="AF140" s="32">
        <f t="shared" si="47"/>
        <v>5699009265.5698023</v>
      </c>
    </row>
    <row r="141" spans="31:47">
      <c r="AE141" s="31">
        <f t="shared" si="48"/>
        <v>2018</v>
      </c>
      <c r="AF141" s="32">
        <f t="shared" si="47"/>
        <v>5768821815.6217031</v>
      </c>
    </row>
    <row r="142" spans="31:47">
      <c r="AE142" s="31">
        <f t="shared" si="48"/>
        <v>2018</v>
      </c>
      <c r="AF142" s="32">
        <f t="shared" si="47"/>
        <v>5783515985.6788187</v>
      </c>
      <c r="AI142" s="15">
        <f>(AF142-AF138)/AF138</f>
        <v>6.3496226652873192E-3</v>
      </c>
    </row>
    <row r="143" spans="31:47">
      <c r="AE143" s="23">
        <f t="shared" si="48"/>
        <v>2019</v>
      </c>
      <c r="AF143" s="24">
        <f t="shared" si="47"/>
        <v>5847627995.8639269</v>
      </c>
      <c r="AG143" s="15"/>
      <c r="AH143" s="15"/>
    </row>
    <row r="144" spans="31:47">
      <c r="AE144" s="31">
        <f t="shared" si="48"/>
        <v>2019</v>
      </c>
      <c r="AF144" s="32">
        <f t="shared" si="47"/>
        <v>5870010479.044548</v>
      </c>
      <c r="AJ144">
        <v>1.0014888795000001</v>
      </c>
      <c r="AK144">
        <v>1.0014888795000001</v>
      </c>
      <c r="AT144">
        <v>1.0014888795000001</v>
      </c>
      <c r="AU144">
        <v>1.0014888795000001</v>
      </c>
    </row>
    <row r="145" spans="31:45">
      <c r="AE145" s="31">
        <f t="shared" si="48"/>
        <v>2019</v>
      </c>
      <c r="AF145" s="32">
        <f t="shared" si="47"/>
        <v>5870621202.6947727</v>
      </c>
    </row>
    <row r="146" spans="31:45">
      <c r="AE146" s="31">
        <f t="shared" si="48"/>
        <v>2019</v>
      </c>
      <c r="AF146" s="32">
        <f t="shared" si="47"/>
        <v>5930198330.3876104</v>
      </c>
      <c r="AI146" s="15">
        <f>(AF146-AF142)/AF142</f>
        <v>2.536214044743847E-2</v>
      </c>
    </row>
    <row r="147" spans="31:45">
      <c r="AE147" s="23">
        <f t="shared" si="48"/>
        <v>2020</v>
      </c>
      <c r="AF147" s="24">
        <f t="shared" si="47"/>
        <v>5924760070.4787378</v>
      </c>
      <c r="AG147" s="15"/>
      <c r="AH147" s="15"/>
      <c r="AJ147">
        <f>100*AJ144*AK144*AT144*AU144</f>
        <v>100.59688317798745</v>
      </c>
      <c r="AK147" s="15">
        <f>(AJ147-100)/100</f>
        <v>5.9688317798745061E-3</v>
      </c>
      <c r="AL147" s="15"/>
      <c r="AM147" s="15"/>
      <c r="AN147" s="15"/>
      <c r="AO147" s="15"/>
      <c r="AP147" s="15"/>
      <c r="AQ147" s="15"/>
      <c r="AR147" s="15"/>
      <c r="AS147" s="15"/>
    </row>
    <row r="148" spans="31:45">
      <c r="AE148" s="31">
        <f t="shared" si="48"/>
        <v>2020</v>
      </c>
      <c r="AF148" s="32">
        <f t="shared" si="47"/>
        <v>5972312519.9963484</v>
      </c>
    </row>
    <row r="149" spans="31:45">
      <c r="AE149" s="31">
        <f t="shared" si="48"/>
        <v>2020</v>
      </c>
      <c r="AF149" s="32">
        <f t="shared" si="47"/>
        <v>5994948208.7644339</v>
      </c>
      <c r="AG149" s="15">
        <f>AVERAGE(AI138:AI158)</f>
        <v>2.0839482856365416E-2</v>
      </c>
      <c r="AH149" s="15"/>
    </row>
    <row r="150" spans="31:45">
      <c r="AE150" s="31">
        <f t="shared" si="48"/>
        <v>2020</v>
      </c>
      <c r="AF150" s="32">
        <f t="shared" si="47"/>
        <v>6004918873.9814177</v>
      </c>
      <c r="AI150" s="15">
        <f>(AF150-AF146)/AF146</f>
        <v>1.2600007526042274E-2</v>
      </c>
    </row>
    <row r="151" spans="31:45">
      <c r="AE151" s="23">
        <f t="shared" si="48"/>
        <v>2021</v>
      </c>
      <c r="AF151" s="24">
        <f t="shared" si="47"/>
        <v>6025862058.5009241</v>
      </c>
      <c r="AG151" s="15"/>
      <c r="AH151" s="15"/>
    </row>
    <row r="152" spans="31:45">
      <c r="AE152" s="31">
        <f t="shared" si="48"/>
        <v>2021</v>
      </c>
      <c r="AF152" s="32">
        <f t="shared" si="47"/>
        <v>6054394588.4142103</v>
      </c>
    </row>
    <row r="153" spans="31:45">
      <c r="AE153" s="31">
        <f t="shared" si="48"/>
        <v>2021</v>
      </c>
      <c r="AF153" s="32">
        <f t="shared" si="47"/>
        <v>6102315718.3817501</v>
      </c>
    </row>
    <row r="154" spans="31:45">
      <c r="AE154" s="31">
        <f t="shared" si="48"/>
        <v>2021</v>
      </c>
      <c r="AF154" s="32">
        <f t="shared" si="47"/>
        <v>6111007967.7041235</v>
      </c>
      <c r="AI154" s="15">
        <f>(AF154-AF150)/AF150</f>
        <v>1.7667031969803449E-2</v>
      </c>
    </row>
    <row r="155" spans="31:45">
      <c r="AE155" s="23">
        <f t="shared" si="48"/>
        <v>2022</v>
      </c>
      <c r="AF155" s="24">
        <f t="shared" si="47"/>
        <v>6107380720.417285</v>
      </c>
      <c r="AG155" s="15"/>
      <c r="AH155" s="15"/>
    </row>
    <row r="156" spans="31:45">
      <c r="AE156" s="31">
        <f t="shared" si="48"/>
        <v>2022</v>
      </c>
      <c r="AF156" s="32">
        <f t="shared" si="47"/>
        <v>6126693980.5802212</v>
      </c>
    </row>
    <row r="157" spans="31:45">
      <c r="AE157" s="31">
        <f t="shared" si="48"/>
        <v>2022</v>
      </c>
      <c r="AF157" s="32">
        <f t="shared" si="47"/>
        <v>6137873828.9987803</v>
      </c>
    </row>
    <row r="158" spans="31:45">
      <c r="AE158" s="31">
        <f t="shared" si="48"/>
        <v>2022</v>
      </c>
      <c r="AF158" s="32">
        <f t="shared" si="47"/>
        <v>6165893645.800828</v>
      </c>
      <c r="AI158" s="15">
        <f>(AF158-AF154)/AF154</f>
        <v>8.9814443683870326E-3</v>
      </c>
    </row>
    <row r="159" spans="31:45">
      <c r="AE159" s="23">
        <f t="shared" si="48"/>
        <v>2023</v>
      </c>
      <c r="AF159" s="24">
        <f t="shared" ref="AF159:AF190" si="49">AF46</f>
        <v>6209683968.774601</v>
      </c>
      <c r="AG159" s="15"/>
      <c r="AH159" s="15"/>
    </row>
    <row r="160" spans="31:45">
      <c r="AE160" s="31">
        <f t="shared" si="48"/>
        <v>2023</v>
      </c>
      <c r="AF160" s="32">
        <f t="shared" si="49"/>
        <v>6225774288.4218607</v>
      </c>
    </row>
    <row r="161" spans="31:35">
      <c r="AE161" s="31">
        <f t="shared" si="48"/>
        <v>2023</v>
      </c>
      <c r="AF161" s="32">
        <f t="shared" si="49"/>
        <v>6245437478.9504604</v>
      </c>
    </row>
    <row r="162" spans="31:35">
      <c r="AE162" s="31">
        <f t="shared" si="48"/>
        <v>2023</v>
      </c>
      <c r="AF162" s="32">
        <f t="shared" si="49"/>
        <v>6274230336.3257456</v>
      </c>
      <c r="AI162" s="15">
        <f>(AF162-AF158)/AF158</f>
        <v>1.7570314499131587E-2</v>
      </c>
    </row>
    <row r="163" spans="31:35">
      <c r="AE163" s="23">
        <f t="shared" ref="AE163:AE194" si="50">AE159+1</f>
        <v>2024</v>
      </c>
      <c r="AF163" s="24">
        <f t="shared" si="49"/>
        <v>6337174859.9546309</v>
      </c>
      <c r="AG163" s="15"/>
      <c r="AH163" s="15"/>
    </row>
    <row r="164" spans="31:35">
      <c r="AE164" s="31">
        <f t="shared" si="50"/>
        <v>2024</v>
      </c>
      <c r="AF164" s="32">
        <f t="shared" si="49"/>
        <v>6336643122.5006266</v>
      </c>
    </row>
    <row r="165" spans="31:35">
      <c r="AE165" s="31">
        <f t="shared" si="50"/>
        <v>2024</v>
      </c>
      <c r="AF165" s="32">
        <f t="shared" si="49"/>
        <v>6361859299.1881447</v>
      </c>
    </row>
    <row r="166" spans="31:35">
      <c r="AE166" s="31">
        <f t="shared" si="50"/>
        <v>2024</v>
      </c>
      <c r="AF166" s="32">
        <f t="shared" si="49"/>
        <v>6390528722.0529928</v>
      </c>
      <c r="AI166" s="15">
        <f>(AF166-AF162)/AF162</f>
        <v>1.8535880816156453E-2</v>
      </c>
    </row>
    <row r="167" spans="31:35">
      <c r="AE167" s="23">
        <f t="shared" si="50"/>
        <v>2025</v>
      </c>
      <c r="AF167" s="24">
        <f t="shared" si="49"/>
        <v>6419483112.3963861</v>
      </c>
      <c r="AG167" s="15"/>
      <c r="AH167" s="15"/>
    </row>
    <row r="168" spans="31:35">
      <c r="AE168" s="31">
        <f t="shared" si="50"/>
        <v>2025</v>
      </c>
      <c r="AF168" s="32">
        <f t="shared" si="49"/>
        <v>6496452864.9585943</v>
      </c>
    </row>
    <row r="169" spans="31:35">
      <c r="AE169" s="31">
        <f t="shared" si="50"/>
        <v>2025</v>
      </c>
      <c r="AF169" s="32">
        <f t="shared" si="49"/>
        <v>6475585982.1982203</v>
      </c>
    </row>
    <row r="170" spans="31:35">
      <c r="AE170" s="31">
        <f t="shared" si="50"/>
        <v>2025</v>
      </c>
      <c r="AF170" s="32">
        <f t="shared" si="49"/>
        <v>6474400416.0913315</v>
      </c>
      <c r="AI170" s="15">
        <f>(AF170-AF166)/AF166</f>
        <v>1.3124374787473674E-2</v>
      </c>
    </row>
    <row r="171" spans="31:35">
      <c r="AE171" s="23">
        <f t="shared" si="50"/>
        <v>2026</v>
      </c>
      <c r="AF171" s="24">
        <f t="shared" si="49"/>
        <v>6515912011.2048588</v>
      </c>
      <c r="AG171" s="15"/>
      <c r="AH171" s="15"/>
    </row>
    <row r="172" spans="31:35">
      <c r="AE172" s="31">
        <f t="shared" si="50"/>
        <v>2026</v>
      </c>
      <c r="AF172" s="32">
        <f t="shared" si="49"/>
        <v>6577642159.2396183</v>
      </c>
    </row>
    <row r="173" spans="31:35">
      <c r="AE173" s="31">
        <f t="shared" si="50"/>
        <v>2026</v>
      </c>
      <c r="AF173" s="32">
        <f t="shared" si="49"/>
        <v>6633955296.9435072</v>
      </c>
    </row>
    <row r="174" spans="31:35">
      <c r="AE174" s="31">
        <f t="shared" si="50"/>
        <v>2026</v>
      </c>
      <c r="AF174" s="32">
        <f t="shared" si="49"/>
        <v>6692097146.037364</v>
      </c>
      <c r="AI174" s="15">
        <f>(AF174-AF170)/AF170</f>
        <v>3.3624230192030431E-2</v>
      </c>
    </row>
    <row r="175" spans="31:35">
      <c r="AE175" s="23">
        <f t="shared" si="50"/>
        <v>2027</v>
      </c>
      <c r="AF175" s="24">
        <f t="shared" si="49"/>
        <v>6706863262.0979013</v>
      </c>
      <c r="AG175" s="15"/>
      <c r="AH175" s="15"/>
    </row>
    <row r="176" spans="31:35">
      <c r="AE176" s="31">
        <f t="shared" si="50"/>
        <v>2027</v>
      </c>
      <c r="AF176" s="32">
        <f t="shared" si="49"/>
        <v>6718195472.4738369</v>
      </c>
    </row>
    <row r="177" spans="31:35">
      <c r="AE177" s="31">
        <f t="shared" si="50"/>
        <v>2027</v>
      </c>
      <c r="AF177" s="32">
        <f t="shared" si="49"/>
        <v>6784159480.8362856</v>
      </c>
    </row>
    <row r="178" spans="31:35">
      <c r="AE178" s="31">
        <f t="shared" si="50"/>
        <v>2027</v>
      </c>
      <c r="AF178" s="32">
        <f t="shared" si="49"/>
        <v>6818117962.0026226</v>
      </c>
      <c r="AI178" s="15">
        <f>(AF178-AF174)/AF174</f>
        <v>1.8831289088485536E-2</v>
      </c>
    </row>
    <row r="179" spans="31:35">
      <c r="AE179" s="23">
        <f t="shared" si="50"/>
        <v>2028</v>
      </c>
      <c r="AF179" s="24">
        <f t="shared" si="49"/>
        <v>6854832105.5908012</v>
      </c>
      <c r="AG179" s="15"/>
      <c r="AH179" s="15"/>
    </row>
    <row r="180" spans="31:35">
      <c r="AE180" s="31">
        <f t="shared" si="50"/>
        <v>2028</v>
      </c>
      <c r="AF180" s="32">
        <f t="shared" si="49"/>
        <v>6890308136.224597</v>
      </c>
    </row>
    <row r="181" spans="31:35">
      <c r="AE181" s="31">
        <f t="shared" si="50"/>
        <v>2028</v>
      </c>
      <c r="AF181" s="32">
        <f t="shared" si="49"/>
        <v>6891368535.2552414</v>
      </c>
    </row>
    <row r="182" spans="31:35">
      <c r="AE182" s="31">
        <f t="shared" si="50"/>
        <v>2028</v>
      </c>
      <c r="AF182" s="32">
        <f t="shared" si="49"/>
        <v>6902349821.2198343</v>
      </c>
      <c r="AI182" s="15">
        <f>(AF182-AF178)/AF178</f>
        <v>1.2354121721952591E-2</v>
      </c>
    </row>
    <row r="183" spans="31:35">
      <c r="AE183" s="23">
        <f t="shared" si="50"/>
        <v>2029</v>
      </c>
      <c r="AF183" s="24">
        <f t="shared" si="49"/>
        <v>6945262662.320014</v>
      </c>
      <c r="AG183" s="15"/>
      <c r="AH183" s="15"/>
    </row>
    <row r="184" spans="31:35">
      <c r="AE184" s="31">
        <f t="shared" si="50"/>
        <v>2029</v>
      </c>
      <c r="AF184" s="32">
        <f t="shared" si="49"/>
        <v>6962784660.4737759</v>
      </c>
    </row>
    <row r="185" spans="31:35">
      <c r="AE185" s="31">
        <f t="shared" si="50"/>
        <v>2029</v>
      </c>
      <c r="AF185" s="32">
        <f t="shared" si="49"/>
        <v>6926908801.8554401</v>
      </c>
    </row>
    <row r="186" spans="31:35">
      <c r="AE186" s="31">
        <f t="shared" si="50"/>
        <v>2029</v>
      </c>
      <c r="AF186" s="32">
        <f t="shared" si="49"/>
        <v>6940325354.6935644</v>
      </c>
      <c r="AI186" s="15">
        <f>(AF186-AF182)/AF182</f>
        <v>5.5018268354035367E-3</v>
      </c>
    </row>
    <row r="187" spans="31:35">
      <c r="AE187" s="23">
        <f t="shared" si="50"/>
        <v>2030</v>
      </c>
      <c r="AF187" s="24">
        <f t="shared" si="49"/>
        <v>6960919730.2887421</v>
      </c>
      <c r="AG187" s="15"/>
      <c r="AH187" s="15"/>
    </row>
    <row r="188" spans="31:35">
      <c r="AE188" s="31">
        <f t="shared" si="50"/>
        <v>2030</v>
      </c>
      <c r="AF188" s="32">
        <f t="shared" si="49"/>
        <v>6980991210.0330734</v>
      </c>
    </row>
    <row r="189" spans="31:35">
      <c r="AE189" s="31">
        <f t="shared" si="50"/>
        <v>2030</v>
      </c>
      <c r="AF189" s="32">
        <f t="shared" si="49"/>
        <v>7043265421.7905874</v>
      </c>
    </row>
    <row r="190" spans="31:35">
      <c r="AE190" s="31">
        <f t="shared" si="50"/>
        <v>2030</v>
      </c>
      <c r="AF190" s="32">
        <f t="shared" si="49"/>
        <v>7090134424.3225965</v>
      </c>
      <c r="AI190" s="15">
        <f>(AF190-AF186)/AF186</f>
        <v>2.1585309329586414E-2</v>
      </c>
    </row>
    <row r="191" spans="31:35">
      <c r="AE191" s="23">
        <f t="shared" si="50"/>
        <v>2031</v>
      </c>
      <c r="AF191" s="24">
        <f t="shared" ref="AF191:AF222" si="51">AF78</f>
        <v>7120140707.033392</v>
      </c>
      <c r="AG191" s="15"/>
      <c r="AH191" s="15"/>
    </row>
    <row r="192" spans="31:35">
      <c r="AE192" s="31">
        <f t="shared" si="50"/>
        <v>2031</v>
      </c>
      <c r="AF192" s="32">
        <f t="shared" si="51"/>
        <v>7150551924.4817362</v>
      </c>
    </row>
    <row r="193" spans="31:35">
      <c r="AE193" s="31">
        <f t="shared" si="50"/>
        <v>2031</v>
      </c>
      <c r="AF193" s="32">
        <f t="shared" si="51"/>
        <v>7154630023.0963087</v>
      </c>
    </row>
    <row r="194" spans="31:35">
      <c r="AE194" s="31">
        <f t="shared" si="50"/>
        <v>2031</v>
      </c>
      <c r="AF194" s="32">
        <f t="shared" si="51"/>
        <v>7132229740.0360317</v>
      </c>
      <c r="AI194" s="15">
        <f>(AF194-AF190)/AF190</f>
        <v>5.9371675054605234E-3</v>
      </c>
    </row>
    <row r="195" spans="31:35">
      <c r="AE195" s="23">
        <f t="shared" ref="AE195:AE226" si="52">AE191+1</f>
        <v>2032</v>
      </c>
      <c r="AF195" s="24">
        <f t="shared" si="51"/>
        <v>7135980344.3717012</v>
      </c>
      <c r="AG195" s="15"/>
      <c r="AH195" s="15"/>
    </row>
    <row r="196" spans="31:35">
      <c r="AE196" s="31">
        <f t="shared" si="52"/>
        <v>2032</v>
      </c>
      <c r="AF196" s="32">
        <f t="shared" si="51"/>
        <v>7185082747.7761908</v>
      </c>
    </row>
    <row r="197" spans="31:35">
      <c r="AE197" s="31">
        <f t="shared" si="52"/>
        <v>2032</v>
      </c>
      <c r="AF197" s="32">
        <f t="shared" si="51"/>
        <v>7209887672.4167013</v>
      </c>
    </row>
    <row r="198" spans="31:35">
      <c r="AE198" s="31">
        <f t="shared" si="52"/>
        <v>2032</v>
      </c>
      <c r="AF198" s="32">
        <f t="shared" si="51"/>
        <v>7241867017.7434664</v>
      </c>
      <c r="AI198" s="15">
        <f>(AF198-AF194)/AF194</f>
        <v>1.537209003406006E-2</v>
      </c>
    </row>
    <row r="199" spans="31:35">
      <c r="AE199" s="23">
        <f t="shared" si="52"/>
        <v>2033</v>
      </c>
      <c r="AF199" s="24">
        <f t="shared" si="51"/>
        <v>7228520364.7240744</v>
      </c>
      <c r="AG199" s="15"/>
      <c r="AH199" s="15"/>
    </row>
    <row r="200" spans="31:35">
      <c r="AE200" s="31">
        <f t="shared" si="52"/>
        <v>2033</v>
      </c>
      <c r="AF200" s="32">
        <f t="shared" si="51"/>
        <v>7237473476.0840397</v>
      </c>
    </row>
    <row r="201" spans="31:35">
      <c r="AE201" s="31">
        <f t="shared" si="52"/>
        <v>2033</v>
      </c>
      <c r="AF201" s="32">
        <f t="shared" si="51"/>
        <v>7269632898.1381273</v>
      </c>
    </row>
    <row r="202" spans="31:35">
      <c r="AE202" s="31">
        <f t="shared" si="52"/>
        <v>2033</v>
      </c>
      <c r="AF202" s="32">
        <f t="shared" si="51"/>
        <v>7308472515.1793594</v>
      </c>
      <c r="AI202" s="15">
        <f>(AF202-AF198)/AF198</f>
        <v>9.1972825892413356E-3</v>
      </c>
    </row>
    <row r="203" spans="31:35">
      <c r="AE203" s="23">
        <f t="shared" si="52"/>
        <v>2034</v>
      </c>
      <c r="AF203" s="24">
        <f t="shared" si="51"/>
        <v>7302331533.2873945</v>
      </c>
      <c r="AG203" s="15"/>
      <c r="AH203" s="15"/>
    </row>
    <row r="204" spans="31:35">
      <c r="AE204" s="31">
        <f t="shared" si="52"/>
        <v>2034</v>
      </c>
      <c r="AF204" s="32">
        <f t="shared" si="51"/>
        <v>7330519219.7279415</v>
      </c>
    </row>
    <row r="205" spans="31:35">
      <c r="AE205" s="31">
        <f t="shared" si="52"/>
        <v>2034</v>
      </c>
      <c r="AF205" s="32">
        <f t="shared" si="51"/>
        <v>7300365095.2866564</v>
      </c>
    </row>
    <row r="206" spans="31:35">
      <c r="AE206" s="31">
        <f t="shared" si="52"/>
        <v>2034</v>
      </c>
      <c r="AF206" s="32">
        <f t="shared" si="51"/>
        <v>7370389267.778595</v>
      </c>
      <c r="AI206" s="15">
        <f>(AF206-AF202)/AF202</f>
        <v>8.4719142708188748E-3</v>
      </c>
    </row>
    <row r="207" spans="31:35">
      <c r="AE207" s="23">
        <f t="shared" si="52"/>
        <v>2035</v>
      </c>
      <c r="AF207" s="24">
        <f t="shared" si="51"/>
        <v>7380247234.5021143</v>
      </c>
      <c r="AG207" s="15"/>
      <c r="AH207" s="15"/>
    </row>
    <row r="208" spans="31:35">
      <c r="AE208" s="31">
        <f t="shared" si="52"/>
        <v>2035</v>
      </c>
      <c r="AF208" s="32">
        <f t="shared" si="51"/>
        <v>7427786487.9701881</v>
      </c>
    </row>
    <row r="209" spans="31:35">
      <c r="AE209" s="31">
        <f t="shared" si="52"/>
        <v>2035</v>
      </c>
      <c r="AF209" s="32">
        <f t="shared" si="51"/>
        <v>7468307523.3697786</v>
      </c>
    </row>
    <row r="210" spans="31:35">
      <c r="AE210" s="31">
        <f t="shared" si="52"/>
        <v>2035</v>
      </c>
      <c r="AF210" s="32">
        <f t="shared" si="51"/>
        <v>7512618294.8602877</v>
      </c>
      <c r="AI210" s="15">
        <f>(AF210-AF206)/AF206</f>
        <v>1.9297356206609145E-2</v>
      </c>
    </row>
    <row r="211" spans="31:35">
      <c r="AE211" s="23">
        <f t="shared" si="52"/>
        <v>2036</v>
      </c>
      <c r="AF211" s="24">
        <f t="shared" si="51"/>
        <v>7571440762.7284718</v>
      </c>
      <c r="AG211" s="15"/>
      <c r="AH211" s="15"/>
    </row>
    <row r="212" spans="31:35">
      <c r="AE212" s="31">
        <f t="shared" si="52"/>
        <v>2036</v>
      </c>
      <c r="AF212" s="32">
        <f t="shared" si="51"/>
        <v>7572929285.9185658</v>
      </c>
    </row>
    <row r="213" spans="31:35">
      <c r="AE213" s="31">
        <f t="shared" si="52"/>
        <v>2036</v>
      </c>
      <c r="AF213" s="32">
        <f t="shared" si="51"/>
        <v>7561312349.8592978</v>
      </c>
    </row>
    <row r="214" spans="31:35">
      <c r="AE214" s="31">
        <f t="shared" si="52"/>
        <v>2036</v>
      </c>
      <c r="AF214" s="32">
        <f t="shared" si="51"/>
        <v>7595844852.3967609</v>
      </c>
      <c r="AI214" s="15">
        <f>(AF214-AF210)/AF210</f>
        <v>1.1078235878616676E-2</v>
      </c>
    </row>
    <row r="215" spans="31:35">
      <c r="AE215" s="23">
        <f t="shared" si="52"/>
        <v>2037</v>
      </c>
      <c r="AF215" s="24">
        <f t="shared" si="51"/>
        <v>7587434280.9227962</v>
      </c>
      <c r="AG215" s="15"/>
      <c r="AH215" s="15"/>
    </row>
    <row r="216" spans="31:35">
      <c r="AE216" s="31">
        <f t="shared" si="52"/>
        <v>2037</v>
      </c>
      <c r="AF216" s="32">
        <f t="shared" si="51"/>
        <v>7631796731.5685387</v>
      </c>
    </row>
    <row r="217" spans="31:35">
      <c r="AE217" s="31">
        <f t="shared" si="52"/>
        <v>2037</v>
      </c>
      <c r="AF217" s="32">
        <f t="shared" si="51"/>
        <v>7631632081.882926</v>
      </c>
    </row>
    <row r="218" spans="31:35">
      <c r="AE218" s="31">
        <f t="shared" si="52"/>
        <v>2037</v>
      </c>
      <c r="AF218" s="32">
        <f t="shared" si="51"/>
        <v>7617654638.2494011</v>
      </c>
      <c r="AI218" s="15">
        <f>(AF218-AF214)/AF214</f>
        <v>2.8712784787538657E-3</v>
      </c>
    </row>
    <row r="219" spans="31:35">
      <c r="AE219" s="23">
        <f t="shared" si="52"/>
        <v>2038</v>
      </c>
      <c r="AF219" s="24">
        <f t="shared" si="51"/>
        <v>7598837063.9779577</v>
      </c>
      <c r="AG219" s="15"/>
      <c r="AH219" s="15"/>
    </row>
    <row r="220" spans="31:35">
      <c r="AE220" s="31">
        <f t="shared" si="52"/>
        <v>2038</v>
      </c>
      <c r="AF220" s="32">
        <f t="shared" si="51"/>
        <v>7645729037.1762247</v>
      </c>
    </row>
    <row r="221" spans="31:35">
      <c r="AE221" s="31">
        <f t="shared" si="52"/>
        <v>2038</v>
      </c>
      <c r="AF221" s="32">
        <f t="shared" si="51"/>
        <v>7663363353.3676682</v>
      </c>
    </row>
    <row r="222" spans="31:35">
      <c r="AE222" s="31">
        <f t="shared" si="52"/>
        <v>2038</v>
      </c>
      <c r="AF222" s="32">
        <f t="shared" si="51"/>
        <v>7689704695.6333838</v>
      </c>
      <c r="AI222" s="15">
        <f>(AF222-AF218)/AF218</f>
        <v>9.4582992804909238E-3</v>
      </c>
    </row>
    <row r="223" spans="31:35">
      <c r="AE223" s="23">
        <f t="shared" si="52"/>
        <v>2039</v>
      </c>
      <c r="AF223" s="24">
        <f t="shared" ref="AF223:AF230" si="53">AF110</f>
        <v>7698785680.2608328</v>
      </c>
      <c r="AG223" s="15"/>
      <c r="AH223" s="15"/>
    </row>
    <row r="224" spans="31:35">
      <c r="AE224" s="31">
        <f t="shared" si="52"/>
        <v>2039</v>
      </c>
      <c r="AF224" s="32">
        <f t="shared" si="53"/>
        <v>7671275164.3796864</v>
      </c>
    </row>
    <row r="225" spans="31:35">
      <c r="AE225" s="31">
        <f t="shared" si="52"/>
        <v>2039</v>
      </c>
      <c r="AF225" s="32">
        <f t="shared" si="53"/>
        <v>7652811780.5263243</v>
      </c>
    </row>
    <row r="226" spans="31:35">
      <c r="AE226" s="31">
        <f t="shared" si="52"/>
        <v>2039</v>
      </c>
      <c r="AF226" s="32">
        <f t="shared" si="53"/>
        <v>7689405566.0013208</v>
      </c>
      <c r="AI226" s="15">
        <f>(AF226-AF222)/AF222</f>
        <v>-3.8900015527614917E-5</v>
      </c>
    </row>
    <row r="227" spans="31:35">
      <c r="AE227" s="23">
        <f t="shared" ref="AE227:AE230" si="54">AE223+1</f>
        <v>2040</v>
      </c>
      <c r="AF227" s="24">
        <f t="shared" si="53"/>
        <v>7668113243.9621687</v>
      </c>
      <c r="AG227" s="15"/>
      <c r="AH227" s="15"/>
    </row>
    <row r="228" spans="31:35">
      <c r="AE228" s="31">
        <f t="shared" si="54"/>
        <v>2040</v>
      </c>
      <c r="AF228" s="32">
        <f t="shared" si="53"/>
        <v>7732733541.0068951</v>
      </c>
    </row>
    <row r="229" spans="31:35">
      <c r="AE229" s="31">
        <f t="shared" si="54"/>
        <v>2040</v>
      </c>
      <c r="AF229" s="32">
        <f t="shared" si="53"/>
        <v>7756291319.9643097</v>
      </c>
    </row>
    <row r="230" spans="31:35">
      <c r="AE230" s="31">
        <f t="shared" si="54"/>
        <v>2040</v>
      </c>
      <c r="AF230" s="32">
        <f t="shared" si="53"/>
        <v>7792794245.6458092</v>
      </c>
      <c r="AI230" s="15">
        <f>(AF230-AF226)/AF226</f>
        <v>1.34456010620146E-2</v>
      </c>
    </row>
  </sheetData>
  <mergeCells count="3">
    <mergeCell ref="AL1:AM1"/>
    <mergeCell ref="AP1:AQ1"/>
    <mergeCell ref="AR1:AS1"/>
  </mergeCells>
  <phoneticPr fontId="6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3"/>
  <sheetViews>
    <sheetView tabSelected="1" topLeftCell="AJ2" zoomScale="125" zoomScaleNormal="125" zoomScalePageLayoutView="125" workbookViewId="0">
      <selection activeCell="AJ43" sqref="AJ43"/>
    </sheetView>
  </sheetViews>
  <sheetFormatPr baseColWidth="10" defaultColWidth="8.83203125" defaultRowHeight="12" x14ac:dyDescent="0"/>
  <cols>
    <col min="3" max="6" width="12.5" customWidth="1"/>
    <col min="9" max="9" width="14.33203125" customWidth="1"/>
    <col min="15" max="16" width="12.83203125" customWidth="1"/>
    <col min="17" max="21" width="15" customWidth="1"/>
    <col min="32" max="32" width="14.5" customWidth="1"/>
    <col min="38" max="38" width="15.6640625" customWidth="1"/>
    <col min="40" max="40" width="20" customWidth="1"/>
    <col min="41" max="41" width="10.6640625" customWidth="1"/>
    <col min="42" max="42" width="11.1640625" customWidth="1"/>
    <col min="43" max="43" width="10" customWidth="1"/>
  </cols>
  <sheetData>
    <row r="1" spans="1:62" s="4" customFormat="1" ht="50.25" customHeight="1">
      <c r="A1" s="1" t="s">
        <v>0</v>
      </c>
      <c r="B1" s="1" t="s">
        <v>1</v>
      </c>
      <c r="C1" s="1" t="s">
        <v>47</v>
      </c>
      <c r="D1" s="1"/>
      <c r="E1" s="1" t="s">
        <v>48</v>
      </c>
      <c r="F1" s="1"/>
      <c r="G1" s="1" t="s">
        <v>4</v>
      </c>
      <c r="H1" s="1"/>
      <c r="I1" s="1" t="s">
        <v>5</v>
      </c>
      <c r="J1" s="1"/>
      <c r="K1" s="1" t="s">
        <v>6</v>
      </c>
      <c r="L1" s="1"/>
      <c r="M1" s="2" t="s">
        <v>7</v>
      </c>
      <c r="N1" s="1"/>
      <c r="O1" s="1" t="s">
        <v>8</v>
      </c>
      <c r="P1" s="3"/>
      <c r="Q1" s="1" t="s">
        <v>9</v>
      </c>
      <c r="R1" s="1"/>
      <c r="S1" s="1" t="s">
        <v>10</v>
      </c>
      <c r="T1" s="1"/>
      <c r="U1" s="3" t="s">
        <v>11</v>
      </c>
      <c r="V1" s="1"/>
      <c r="W1" s="1" t="s">
        <v>12</v>
      </c>
      <c r="X1" s="1"/>
      <c r="Y1" s="4" t="s">
        <v>13</v>
      </c>
      <c r="AA1" s="4" t="s">
        <v>14</v>
      </c>
      <c r="AD1" s="4" t="s">
        <v>15</v>
      </c>
      <c r="AE1" s="4" t="s">
        <v>16</v>
      </c>
      <c r="AF1" s="4" t="s">
        <v>17</v>
      </c>
      <c r="AG1" s="4" t="s">
        <v>18</v>
      </c>
      <c r="AI1" s="4" t="s">
        <v>19</v>
      </c>
      <c r="AJ1" s="5" t="s">
        <v>20</v>
      </c>
      <c r="AK1" s="5"/>
      <c r="AL1" s="55" t="s">
        <v>21</v>
      </c>
      <c r="AM1" s="55"/>
      <c r="AN1" s="6" t="s">
        <v>22</v>
      </c>
      <c r="AO1" s="7" t="s">
        <v>23</v>
      </c>
      <c r="AP1" s="55" t="s">
        <v>24</v>
      </c>
      <c r="AQ1" s="55"/>
      <c r="AR1" s="55" t="s">
        <v>25</v>
      </c>
      <c r="AS1" s="55"/>
      <c r="AT1" s="4" t="s">
        <v>27</v>
      </c>
      <c r="AV1" s="4" t="s">
        <v>28</v>
      </c>
      <c r="AX1" s="4" t="s">
        <v>29</v>
      </c>
      <c r="AZ1" s="4" t="s">
        <v>49</v>
      </c>
      <c r="BC1" s="4" t="s">
        <v>31</v>
      </c>
      <c r="BE1" s="4" t="s">
        <v>32</v>
      </c>
      <c r="BF1" s="4" t="s">
        <v>33</v>
      </c>
      <c r="BG1" s="4" t="s">
        <v>34</v>
      </c>
      <c r="BH1" s="4" t="s">
        <v>35</v>
      </c>
      <c r="BI1" s="5" t="s">
        <v>36</v>
      </c>
    </row>
    <row r="2" spans="1:62" s="8" customFormat="1">
      <c r="C2" s="8" t="s">
        <v>37</v>
      </c>
      <c r="D2" s="8" t="s">
        <v>38</v>
      </c>
      <c r="E2" s="8" t="s">
        <v>37</v>
      </c>
      <c r="F2" s="9" t="s">
        <v>38</v>
      </c>
      <c r="G2" s="9" t="s">
        <v>39</v>
      </c>
      <c r="H2" s="9" t="s">
        <v>40</v>
      </c>
      <c r="I2" s="9" t="s">
        <v>39</v>
      </c>
      <c r="J2" s="8" t="s">
        <v>40</v>
      </c>
      <c r="K2" s="8" t="s">
        <v>37</v>
      </c>
      <c r="L2" s="9" t="s">
        <v>38</v>
      </c>
      <c r="M2" s="9" t="s">
        <v>37</v>
      </c>
      <c r="N2" s="9" t="s">
        <v>38</v>
      </c>
      <c r="O2" s="8" t="s">
        <v>37</v>
      </c>
      <c r="P2" s="8" t="s">
        <v>38</v>
      </c>
      <c r="Q2" s="9" t="s">
        <v>37</v>
      </c>
      <c r="R2" s="9" t="s">
        <v>38</v>
      </c>
      <c r="S2" s="9" t="s">
        <v>37</v>
      </c>
      <c r="T2" s="8" t="s">
        <v>38</v>
      </c>
      <c r="U2" s="8" t="s">
        <v>37</v>
      </c>
      <c r="V2" s="8" t="s">
        <v>38</v>
      </c>
      <c r="W2" s="8" t="s">
        <v>37</v>
      </c>
      <c r="X2" s="9" t="s">
        <v>38</v>
      </c>
      <c r="AC2" s="4"/>
      <c r="AJ2" s="10"/>
      <c r="AK2" s="10"/>
      <c r="AL2" s="10"/>
      <c r="AN2" s="10"/>
      <c r="AO2" s="10"/>
      <c r="AP2" s="10"/>
      <c r="AQ2" s="10"/>
      <c r="AR2" s="10"/>
      <c r="AS2" s="10"/>
      <c r="AT2" s="8" t="s">
        <v>41</v>
      </c>
      <c r="AU2" s="8" t="s">
        <v>39</v>
      </c>
      <c r="AV2" s="8" t="s">
        <v>41</v>
      </c>
      <c r="AW2" s="8" t="s">
        <v>39</v>
      </c>
      <c r="AX2" s="8" t="s">
        <v>42</v>
      </c>
      <c r="AY2" s="8" t="s">
        <v>43</v>
      </c>
      <c r="BI2" s="10"/>
    </row>
    <row r="3" spans="1:62">
      <c r="A3" s="8">
        <v>2014</v>
      </c>
      <c r="B3" s="8">
        <v>1</v>
      </c>
      <c r="C3" s="9">
        <v>73541829.264479399</v>
      </c>
      <c r="D3" s="9"/>
      <c r="E3" s="9">
        <v>13367097.642000001</v>
      </c>
      <c r="F3" s="9"/>
      <c r="G3" s="9"/>
      <c r="H3" s="9"/>
      <c r="I3" s="9"/>
      <c r="J3" s="11"/>
      <c r="K3" s="11">
        <v>2431521.2590999999</v>
      </c>
      <c r="L3" s="9"/>
      <c r="M3" s="9">
        <v>552644.92299999902</v>
      </c>
      <c r="N3" s="9"/>
      <c r="O3" s="9">
        <v>15657663.7612308</v>
      </c>
      <c r="P3" s="9"/>
      <c r="Q3" s="9">
        <v>16188956.83674</v>
      </c>
      <c r="R3" s="9"/>
      <c r="S3" s="9">
        <v>61899879.651203699</v>
      </c>
      <c r="T3" s="9"/>
      <c r="U3" s="9">
        <v>147745.90426000001</v>
      </c>
      <c r="V3" s="11"/>
      <c r="W3" s="11">
        <v>371095.07358448301</v>
      </c>
      <c r="X3" s="9"/>
      <c r="Y3" s="9">
        <f t="shared" ref="Y3:Y8" si="0">Q3+U3-M3-K3-E3</f>
        <v>-14561.083099998534</v>
      </c>
      <c r="Z3" s="9"/>
      <c r="AA3" s="9">
        <f t="shared" ref="AA3:AA8" si="1">S3-O3-C3</f>
        <v>-27299613.374506503</v>
      </c>
      <c r="AB3" s="9"/>
      <c r="AC3" s="12"/>
      <c r="AD3" s="9">
        <v>3917648861.1710801</v>
      </c>
      <c r="AE3" s="9">
        <v>87.364011981999994</v>
      </c>
      <c r="AF3" s="9">
        <f>AD3*100/AE3</f>
        <v>4484282225.9333181</v>
      </c>
      <c r="AG3" s="9"/>
      <c r="AH3" s="9"/>
      <c r="AI3" s="13">
        <f>AA3/AF3</f>
        <v>-6.087844609027615E-3</v>
      </c>
      <c r="AJ3" s="10">
        <v>2014</v>
      </c>
      <c r="AK3" s="14">
        <f>(SUM(AA3:AA6)/AVERAGE(AF3:AF6))</f>
        <v>-2.0764450566254731E-2</v>
      </c>
      <c r="AL3" s="14"/>
      <c r="AN3" s="14"/>
      <c r="AO3" s="14"/>
      <c r="AP3" s="11" t="s">
        <v>44</v>
      </c>
      <c r="AQ3" s="14" t="s">
        <v>45</v>
      </c>
      <c r="AR3" s="14" t="s">
        <v>44</v>
      </c>
      <c r="AS3" s="14" t="s">
        <v>45</v>
      </c>
      <c r="AT3" s="8">
        <v>10923418</v>
      </c>
      <c r="BC3" s="13">
        <f>S3/AF3</f>
        <v>1.3803743059084649E-2</v>
      </c>
      <c r="BD3" s="8">
        <v>2014</v>
      </c>
      <c r="BE3" s="13">
        <f>(SUM(S3:S6)/AVERAGE(AF3:AF6))</f>
        <v>5.6918105137217651E-2</v>
      </c>
      <c r="BF3" s="13">
        <f>(SUM(O3:O6)/AVERAGE(AF3:AF6))</f>
        <v>1.3201759021596645E-2</v>
      </c>
      <c r="BG3" s="13">
        <f>(SUM(C3:C6)/AVERAGE(AF3:AF6))</f>
        <v>6.4480796681875729E-2</v>
      </c>
      <c r="BH3" s="13">
        <f>(SUM(H3:H6)+SUM(J3:J6))/AVERAGE(AF3:AF6)</f>
        <v>0</v>
      </c>
      <c r="BI3" s="14">
        <f t="shared" ref="BI3:BI29" si="2">AK3-BH3</f>
        <v>-2.0764450566254731E-2</v>
      </c>
      <c r="BJ3" s="15">
        <f>BH3+BG3</f>
        <v>6.4480796681875729E-2</v>
      </c>
    </row>
    <row r="4" spans="1:62">
      <c r="A4" s="8">
        <v>2014</v>
      </c>
      <c r="B4" s="8">
        <v>2</v>
      </c>
      <c r="C4" s="9">
        <v>76536005.645554796</v>
      </c>
      <c r="D4" s="9"/>
      <c r="E4" s="9">
        <v>13911324.754000001</v>
      </c>
      <c r="F4" s="9"/>
      <c r="G4" s="9"/>
      <c r="H4" s="9"/>
      <c r="I4" s="9"/>
      <c r="J4" s="11"/>
      <c r="K4" s="11">
        <v>2156056.4542999999</v>
      </c>
      <c r="L4" s="9"/>
      <c r="M4" s="9">
        <v>571465.44299999997</v>
      </c>
      <c r="N4" s="9"/>
      <c r="O4" s="9">
        <v>14331816.6540251</v>
      </c>
      <c r="P4" s="9"/>
      <c r="Q4" s="9">
        <v>18889074.98367</v>
      </c>
      <c r="R4" s="9"/>
      <c r="S4" s="9">
        <v>72224015.420081005</v>
      </c>
      <c r="T4" s="9"/>
      <c r="U4" s="9">
        <v>150093.53833000001</v>
      </c>
      <c r="V4" s="11"/>
      <c r="W4" s="11">
        <v>376991.65286577999</v>
      </c>
      <c r="X4" s="9"/>
      <c r="Y4" s="9">
        <f t="shared" si="0"/>
        <v>2400321.8706999999</v>
      </c>
      <c r="Z4" s="9"/>
      <c r="AA4" s="9">
        <f t="shared" si="1"/>
        <v>-18643806.879498892</v>
      </c>
      <c r="AB4" s="9"/>
      <c r="AC4" s="12"/>
      <c r="AD4" s="9">
        <v>4702629524.92031</v>
      </c>
      <c r="AE4" s="9">
        <v>92.542254682000006</v>
      </c>
      <c r="AF4" s="9">
        <f>AD4*100/AE4</f>
        <v>5081602497.2374029</v>
      </c>
      <c r="AG4" s="9"/>
      <c r="AH4" s="9"/>
      <c r="AI4" s="13">
        <f>AA4/AF4</f>
        <v>-3.6688833669368155E-3</v>
      </c>
      <c r="AJ4" s="10">
        <v>2015</v>
      </c>
      <c r="AK4" s="14">
        <f>SUM(AB14:AB17)/AVERAGE(AF14:AF17)</f>
        <v>-3.282226621078576E-2</v>
      </c>
      <c r="AL4" s="14"/>
      <c r="AN4" s="14"/>
      <c r="AO4" s="14"/>
      <c r="AP4" s="9">
        <v>545118865</v>
      </c>
      <c r="AQ4" s="9">
        <f>AP4</f>
        <v>545118865</v>
      </c>
      <c r="AR4" s="16">
        <f>AP4/AF17</f>
        <v>9.6335892011156887E-2</v>
      </c>
      <c r="AS4" s="16">
        <f>AQ4/AF17</f>
        <v>9.6335892011156887E-2</v>
      </c>
      <c r="AT4" s="8">
        <v>10933469</v>
      </c>
      <c r="AV4" s="8">
        <f t="shared" ref="AV4:AV12" si="3">(AT4-AT3)/AT3</f>
        <v>9.2013324034656552E-4</v>
      </c>
      <c r="BC4" s="13">
        <f>S4/AF4</f>
        <v>1.4212842397520341E-2</v>
      </c>
      <c r="BD4" s="8">
        <v>2015</v>
      </c>
      <c r="BE4" s="13">
        <f>SUM(T14:T17)/AVERAGE(AF14:AF17)</f>
        <v>5.8016302548056807E-2</v>
      </c>
      <c r="BF4" s="13">
        <f>SUM(P14:P17)/AVERAGE(AF14:AF17)</f>
        <v>1.2830632068419513E-2</v>
      </c>
      <c r="BG4" s="13">
        <f>SUM(D14:D17)/AVERAGE(AF14:AF17)</f>
        <v>7.8007936690423052E-2</v>
      </c>
      <c r="BH4" s="13">
        <f>(SUM(H14:H17)+SUM(J14:J17))/AVERAGE(AF14:AF17)</f>
        <v>0</v>
      </c>
      <c r="BI4" s="14">
        <f t="shared" si="2"/>
        <v>-3.282226621078576E-2</v>
      </c>
      <c r="BJ4" s="15">
        <f t="shared" ref="BJ4:BJ29" si="4">BH4+BG4</f>
        <v>7.8007936690423052E-2</v>
      </c>
    </row>
    <row r="5" spans="1:62">
      <c r="A5" s="8">
        <v>2014</v>
      </c>
      <c r="B5" s="8">
        <v>3</v>
      </c>
      <c r="C5" s="9">
        <v>79948619.698482305</v>
      </c>
      <c r="D5" s="9"/>
      <c r="E5" s="9">
        <v>14531608.437999999</v>
      </c>
      <c r="F5" s="9"/>
      <c r="G5" s="9"/>
      <c r="H5" s="9"/>
      <c r="I5" s="9"/>
      <c r="J5" s="11"/>
      <c r="K5" s="11">
        <v>2697105.9034000002</v>
      </c>
      <c r="L5" s="9"/>
      <c r="M5" s="9">
        <v>618357.67000000004</v>
      </c>
      <c r="N5" s="9"/>
      <c r="O5" s="9">
        <v>17397319.126396801</v>
      </c>
      <c r="P5" s="9"/>
      <c r="Q5" s="9">
        <v>16666086.76898</v>
      </c>
      <c r="R5" s="9"/>
      <c r="S5" s="9">
        <v>63724227.302598797</v>
      </c>
      <c r="T5" s="9"/>
      <c r="U5" s="9">
        <v>145660.84302</v>
      </c>
      <c r="V5" s="11"/>
      <c r="W5" s="11">
        <v>365858.00147638301</v>
      </c>
      <c r="X5" s="9"/>
      <c r="Y5" s="9">
        <f t="shared" si="0"/>
        <v>-1035324.3993999995</v>
      </c>
      <c r="Z5" s="9"/>
      <c r="AA5" s="9">
        <f t="shared" si="1"/>
        <v>-33621711.522280306</v>
      </c>
      <c r="AB5" s="9"/>
      <c r="AC5" s="12"/>
      <c r="AD5" s="9">
        <v>4685503118.6782703</v>
      </c>
      <c r="AE5" s="9">
        <v>96.348619912999993</v>
      </c>
      <c r="AF5" s="9">
        <f>AD5*100/AE5</f>
        <v>4863072374.995245</v>
      </c>
      <c r="AG5" s="9"/>
      <c r="AH5" s="9"/>
      <c r="AI5" s="13">
        <f>AA5/AF5</f>
        <v>-6.9136769781908049E-3</v>
      </c>
      <c r="AJ5" s="10">
        <v>2016</v>
      </c>
      <c r="AK5" s="14">
        <f>SUM(AB18:AB21)/AVERAGE(AF18:AF21)</f>
        <v>-3.1724030403584076E-2</v>
      </c>
      <c r="AL5" s="14"/>
      <c r="AN5" s="14"/>
      <c r="AO5" s="14"/>
      <c r="AP5" s="9">
        <v>527406836</v>
      </c>
      <c r="AQ5" s="9">
        <f>AP5</f>
        <v>527406836</v>
      </c>
      <c r="AR5" s="16">
        <f>AP5/AF21</f>
        <v>9.6733053127945015E-2</v>
      </c>
      <c r="AS5" s="16">
        <f>AQ5/AF21</f>
        <v>9.6733053127945015E-2</v>
      </c>
      <c r="AT5" s="8">
        <v>10927942</v>
      </c>
      <c r="AV5" s="8">
        <f t="shared" si="3"/>
        <v>-5.0551202001853203E-4</v>
      </c>
      <c r="BC5" s="13">
        <f>S5/AF5</f>
        <v>1.3103697084635945E-2</v>
      </c>
      <c r="BD5" s="8">
        <v>2016</v>
      </c>
      <c r="BE5" s="13">
        <f>SUM(T18:T21)/AVERAGE(AF18:AF21)</f>
        <v>5.6853574673360385E-2</v>
      </c>
      <c r="BF5" s="13">
        <f>SUM(P18:P21)/AVERAGE(AF18:AF21)</f>
        <v>1.37087922756335E-2</v>
      </c>
      <c r="BG5" s="13">
        <f>SUM(D18:D21)/AVERAGE(AF18:AF21)</f>
        <v>7.4868812801310955E-2</v>
      </c>
      <c r="BH5" s="13">
        <f>(SUM(H18:H21)+SUM(J18:J21))/AVERAGE(AF18:AF21)</f>
        <v>2.3570486548502998E-5</v>
      </c>
      <c r="BI5" s="14">
        <f t="shared" si="2"/>
        <v>-3.174760089013258E-2</v>
      </c>
      <c r="BJ5" s="15">
        <f t="shared" si="4"/>
        <v>7.4892383287859451E-2</v>
      </c>
    </row>
    <row r="6" spans="1:62">
      <c r="A6" s="8">
        <v>2014</v>
      </c>
      <c r="B6" s="8">
        <v>4</v>
      </c>
      <c r="C6" s="9">
        <v>83342500.446047202</v>
      </c>
      <c r="D6" s="9"/>
      <c r="E6" s="9">
        <v>15148485.804</v>
      </c>
      <c r="F6" s="9"/>
      <c r="G6" s="9"/>
      <c r="H6" s="9"/>
      <c r="I6" s="9"/>
      <c r="J6" s="11"/>
      <c r="K6" s="11">
        <v>2598760.7445</v>
      </c>
      <c r="L6" s="9"/>
      <c r="M6" s="9">
        <v>597485.603</v>
      </c>
      <c r="N6" s="9"/>
      <c r="O6" s="9">
        <v>16772169.366415</v>
      </c>
      <c r="P6" s="9"/>
      <c r="Q6" s="9">
        <v>20600306.344000001</v>
      </c>
      <c r="R6" s="9"/>
      <c r="S6" s="9">
        <v>78767056.8481365</v>
      </c>
      <c r="T6" s="9"/>
      <c r="U6" s="9">
        <v>143630.44399999999</v>
      </c>
      <c r="V6" s="11"/>
      <c r="W6" s="11">
        <v>360758.22508998099</v>
      </c>
      <c r="X6" s="9"/>
      <c r="Y6" s="9">
        <f t="shared" si="0"/>
        <v>2399204.6364999991</v>
      </c>
      <c r="Z6" s="9"/>
      <c r="AA6" s="9">
        <f t="shared" si="1"/>
        <v>-21347612.964325704</v>
      </c>
      <c r="AB6" s="9"/>
      <c r="AC6" s="12"/>
      <c r="AD6" s="9">
        <v>5010564196.8707304</v>
      </c>
      <c r="AE6" s="9">
        <v>100</v>
      </c>
      <c r="AF6" s="9">
        <f>AD6*100/AE6</f>
        <v>5010564196.8707304</v>
      </c>
      <c r="AG6" s="9"/>
      <c r="AH6" s="9"/>
      <c r="AI6" s="13">
        <f>AA6/AF6</f>
        <v>-4.260520796771354E-3</v>
      </c>
      <c r="AJ6" s="10">
        <v>2017</v>
      </c>
      <c r="AK6" s="14">
        <f>SUM(AB22:AB25)/AVERAGE(AF22:AF25)</f>
        <v>-3.6974895946206184E-2</v>
      </c>
      <c r="AL6" s="14"/>
      <c r="AN6" s="14"/>
      <c r="AO6" s="9">
        <v>46349018</v>
      </c>
      <c r="AP6" s="9">
        <v>580675520</v>
      </c>
      <c r="AQ6" s="9">
        <f>AP6</f>
        <v>580675520</v>
      </c>
      <c r="AR6" s="16">
        <f>AP6/AF25</f>
        <v>0.10103933176461725</v>
      </c>
      <c r="AS6" s="16">
        <f>AQ6/AF25</f>
        <v>0.10103933176461725</v>
      </c>
      <c r="AT6" s="8">
        <v>11163575</v>
      </c>
      <c r="AV6" s="8">
        <f t="shared" si="3"/>
        <v>2.1562431425789046E-2</v>
      </c>
      <c r="BC6" s="13">
        <f>S6/AF6</f>
        <v>1.5720197118186657E-2</v>
      </c>
      <c r="BD6" s="8">
        <v>2017</v>
      </c>
      <c r="BE6" s="13">
        <f>SUM(T22:T25)/AVERAGE(AF22:AF25)</f>
        <v>5.6355346428822027E-2</v>
      </c>
      <c r="BF6" s="13">
        <f>SUM(P22:P25)/AVERAGE(AF22:AF25)</f>
        <v>1.6866824252726217E-2</v>
      </c>
      <c r="BG6" s="13">
        <f>SUM(D22:D25)/AVERAGE(AF22:AF25)</f>
        <v>7.6463418122301993E-2</v>
      </c>
      <c r="BH6" s="13">
        <f>(SUM(H22:H25)+SUM(J22:J25))/AVERAGE(AF22:AF25)</f>
        <v>4.6397329718049409E-4</v>
      </c>
      <c r="BI6" s="14">
        <f t="shared" si="2"/>
        <v>-3.7438869243386678E-2</v>
      </c>
      <c r="BJ6" s="15">
        <f t="shared" si="4"/>
        <v>7.6927391419482488E-2</v>
      </c>
    </row>
    <row r="7" spans="1:62">
      <c r="A7" s="8">
        <v>2015</v>
      </c>
      <c r="B7" s="8">
        <v>1</v>
      </c>
      <c r="C7" s="9">
        <v>87220448.7038403</v>
      </c>
      <c r="D7" s="9"/>
      <c r="E7" s="9">
        <v>15853348.733999999</v>
      </c>
      <c r="F7" s="9"/>
      <c r="G7" s="9"/>
      <c r="H7" s="9"/>
      <c r="I7" s="9"/>
      <c r="J7" s="11"/>
      <c r="K7" s="11">
        <v>3002195.4358999999</v>
      </c>
      <c r="L7" s="9"/>
      <c r="M7" s="9">
        <v>654530.51300000004</v>
      </c>
      <c r="N7" s="9"/>
      <c r="O7" s="9">
        <v>19179435.069263499</v>
      </c>
      <c r="P7" s="9"/>
      <c r="Q7" s="9">
        <v>18139908.10636</v>
      </c>
      <c r="R7" s="9"/>
      <c r="S7" s="9">
        <v>69359510.930272505</v>
      </c>
      <c r="T7" s="9"/>
      <c r="U7" s="9">
        <v>167252.22263999999</v>
      </c>
      <c r="V7" s="11"/>
      <c r="W7" s="11">
        <v>420089.31603637501</v>
      </c>
      <c r="X7" s="9"/>
      <c r="Y7" s="9">
        <f t="shared" si="0"/>
        <v>-1202914.3538999986</v>
      </c>
      <c r="Z7" s="9"/>
      <c r="AA7" s="9">
        <f t="shared" si="1"/>
        <v>-37040372.842831299</v>
      </c>
      <c r="AB7" s="9"/>
      <c r="AC7" s="12"/>
      <c r="AD7" s="9"/>
      <c r="AE7" s="9"/>
      <c r="AF7" s="9"/>
      <c r="AG7" s="9"/>
      <c r="AH7" s="9"/>
      <c r="AI7" s="13"/>
      <c r="AJ7" s="10">
        <f t="shared" ref="AJ7:AJ29" si="5">AJ6+1</f>
        <v>2018</v>
      </c>
      <c r="AK7" s="14">
        <f>SUM(AB26:AB29)/AVERAGE(AF26:AF29)</f>
        <v>-3.616626405169205E-2</v>
      </c>
      <c r="AL7" s="9">
        <v>34256427</v>
      </c>
      <c r="AM7" s="14">
        <f>AL7/AVERAGE(AF26:AF29)</f>
        <v>5.9764067789873443E-3</v>
      </c>
      <c r="AN7" s="14">
        <f>(AF29-AF25)/AF25</f>
        <v>4.4715125413759297E-3</v>
      </c>
      <c r="AO7" s="9">
        <f>+ (((((((((((AO6*((1+AN7)^(1/12))-AL7/12)*((1+AN7)^(1/12))-AL7/12)*((1+AN7)^(1/12))-AL7/12)*((1+AN7)^(1/12))-AL7/12)*((1+AN7)^(1/12))-AL7/12)*((1+AN7)^(1/12))-AL7/12)*((1+AN7)^(1/12))-AL7/12)*((1+AN7)^(1/12))-AL7/12)*((1+AN7)^(1/12))-AL7/12)*((1+AN7)^(1/12))-AL7/12)*((1+AN7)^(1/12))-AL7/12)*((1+AN7)^(1/12))-AL7/12</f>
        <v>12229691.16763073</v>
      </c>
      <c r="AP7" s="9">
        <f t="shared" ref="AP7:AP29" si="6">AP6*(1+AN7)</f>
        <v>583272017.87014997</v>
      </c>
      <c r="AQ7" s="9">
        <f>AP7</f>
        <v>583272017.87014997</v>
      </c>
      <c r="AR7" s="16">
        <f>AP7/AF29</f>
        <v>0.10103933176461724</v>
      </c>
      <c r="AS7" s="16">
        <f>AQ7/AF29</f>
        <v>0.10103933176461724</v>
      </c>
      <c r="AT7" s="8">
        <v>11012334</v>
      </c>
      <c r="AV7" s="8">
        <f t="shared" si="3"/>
        <v>-1.3547721048140941E-2</v>
      </c>
      <c r="BC7" s="13">
        <f t="shared" ref="BC7:BC38" si="7">T14/AF14</f>
        <v>1.3827254222720353E-2</v>
      </c>
      <c r="BD7" s="8">
        <f t="shared" ref="BD7:BD29" si="8">BD6+1</f>
        <v>2018</v>
      </c>
      <c r="BE7" s="13">
        <f>SUM(T26:T29)/AVERAGE(AF26:AF29)</f>
        <v>5.3044656750831455E-2</v>
      </c>
      <c r="BF7" s="13">
        <f>SUM(P26:P29)/AVERAGE(AF26:AF29)</f>
        <v>1.5428120282073758E-2</v>
      </c>
      <c r="BG7" s="13">
        <f>SUM(D26:D29)/AVERAGE(AF26:AF29)</f>
        <v>7.3782800520449748E-2</v>
      </c>
      <c r="BH7" s="13">
        <f>(SUM(H26:H29)+SUM(J26:J29))/AVERAGE(AF26:AF29)</f>
        <v>8.7040951621785085E-4</v>
      </c>
      <c r="BI7" s="14">
        <f t="shared" si="2"/>
        <v>-3.7036673567909899E-2</v>
      </c>
      <c r="BJ7" s="15">
        <f t="shared" si="4"/>
        <v>7.4653210036667597E-2</v>
      </c>
    </row>
    <row r="8" spans="1:62">
      <c r="A8" s="8">
        <v>2015</v>
      </c>
      <c r="B8" s="8">
        <v>2</v>
      </c>
      <c r="C8" s="9">
        <v>94524704.7581871</v>
      </c>
      <c r="D8" s="9"/>
      <c r="E8" s="9">
        <v>17180984.028999999</v>
      </c>
      <c r="F8" s="9"/>
      <c r="G8" s="9"/>
      <c r="H8" s="9"/>
      <c r="I8" s="9"/>
      <c r="J8" s="11"/>
      <c r="K8" s="11">
        <v>2371185.1833000001</v>
      </c>
      <c r="L8" s="9"/>
      <c r="M8" s="9">
        <v>696491.069000002</v>
      </c>
      <c r="N8" s="11"/>
      <c r="O8" s="11">
        <v>16135978.221071601</v>
      </c>
      <c r="P8" s="11"/>
      <c r="Q8" s="9">
        <v>21552530.200959999</v>
      </c>
      <c r="R8" s="9"/>
      <c r="S8" s="9">
        <v>82407967.299702004</v>
      </c>
      <c r="T8" s="11"/>
      <c r="U8" s="11">
        <v>188439.08603999999</v>
      </c>
      <c r="V8" s="11"/>
      <c r="W8" s="11">
        <v>473304.60259085899</v>
      </c>
      <c r="X8" s="9"/>
      <c r="Y8" s="9">
        <f t="shared" si="0"/>
        <v>1492309.0056999996</v>
      </c>
      <c r="Z8" s="9"/>
      <c r="AA8" s="9">
        <f t="shared" si="1"/>
        <v>-28252715.679556698</v>
      </c>
      <c r="AB8" s="9"/>
      <c r="AC8" s="12"/>
      <c r="AD8" s="9"/>
      <c r="AE8" s="9"/>
      <c r="AF8" s="9"/>
      <c r="AG8" s="9"/>
      <c r="AH8" s="9"/>
      <c r="AI8" s="13"/>
      <c r="AJ8" s="10">
        <f t="shared" si="5"/>
        <v>2019</v>
      </c>
      <c r="AK8" s="14">
        <f>SUM(AB30:AB33)/AVERAGE(AF30:AF33)</f>
        <v>-3.8898108006604738E-2</v>
      </c>
      <c r="AL8" s="9">
        <v>32756268.404204398</v>
      </c>
      <c r="AM8" s="14">
        <f>AL8/AVERAGE(AF30:AF33)</f>
        <v>5.6201340749621569E-3</v>
      </c>
      <c r="AN8" s="14">
        <f>(AF33-AF29)/AF29</f>
        <v>1.3689091651170273E-2</v>
      </c>
      <c r="AO8" s="9">
        <f>((((AO7*((1+AN8)^(1/12))-AL8/12)*((1+AN8)^(1/12))-AL8/12)*((1+AN8)^(1/12))-AL8/12)*((1+AN8)^(1/12))-AL8/12)*((1+AN8)^(1/12))-AL8/12</f>
        <v>-1380255.5052863352</v>
      </c>
      <c r="AP8" s="9">
        <f t="shared" si="6"/>
        <v>591256481.9803375</v>
      </c>
      <c r="AQ8" s="9">
        <f>((((((((AP7*((1+AN8)^(4/12)))*((1+AN8)^(1/12))+AO8)*((1+AN8)^(1/12))-AL8/12)*((1+AN8)^(1/12))-AL8/12)*((1+AN8)^(1/12))-AL8/12)*((1+AN8)^(1/12))-AL8/12)*((1+AN8)^(1/12))-AL8/12)*((1+AN8)^(1/12))-AL8/12)*((1+AN8)^(1/12))-AL8/12</f>
        <v>570692304.32913673</v>
      </c>
      <c r="AR8" s="16">
        <f>AP8/AF33</f>
        <v>0.10103933176461725</v>
      </c>
      <c r="AS8" s="16">
        <f>AQ8/AF33</f>
        <v>9.7525136434010617E-2</v>
      </c>
      <c r="AT8" s="8">
        <v>11082939</v>
      </c>
      <c r="AV8" s="8">
        <f t="shared" si="3"/>
        <v>6.4114473825439729E-3</v>
      </c>
      <c r="BC8" s="13">
        <f t="shared" si="7"/>
        <v>1.4927503834836226E-2</v>
      </c>
      <c r="BD8" s="8">
        <f t="shared" si="8"/>
        <v>2019</v>
      </c>
      <c r="BE8" s="13">
        <f>SUM(T30:T33)/AVERAGE(AF30:AF33)</f>
        <v>4.9500015811117855E-2</v>
      </c>
      <c r="BF8" s="13">
        <f>SUM(P30:P33)/AVERAGE(AF30:AF33)</f>
        <v>1.4918048495935617E-2</v>
      </c>
      <c r="BG8" s="13">
        <f>SUM(D30:D33)/AVERAGE(AF30:AF33)</f>
        <v>7.3480075321786978E-2</v>
      </c>
      <c r="BH8" s="13">
        <f>(SUM(H30:H33)+SUM(J30:J33))/AVERAGE(AF30:AF33)</f>
        <v>1.244779246166355E-3</v>
      </c>
      <c r="BI8" s="14">
        <f t="shared" si="2"/>
        <v>-4.0142887252771091E-2</v>
      </c>
      <c r="BJ8" s="15">
        <f t="shared" si="4"/>
        <v>7.472485456795333E-2</v>
      </c>
    </row>
    <row r="9" spans="1:62">
      <c r="A9" s="8">
        <v>2016</v>
      </c>
      <c r="B9" s="8">
        <v>2</v>
      </c>
      <c r="C9" s="9">
        <v>97915025.902647793</v>
      </c>
      <c r="D9" s="9"/>
      <c r="E9" s="9">
        <v>17797214.875</v>
      </c>
      <c r="F9" s="9"/>
      <c r="G9" s="9"/>
      <c r="H9" s="9"/>
      <c r="I9" s="9"/>
      <c r="J9" s="11"/>
      <c r="K9" s="11"/>
      <c r="L9" s="9"/>
      <c r="M9" s="9">
        <v>732730.52299999795</v>
      </c>
      <c r="N9" s="11"/>
      <c r="O9" s="11"/>
      <c r="P9" s="11"/>
      <c r="Q9" s="9"/>
      <c r="R9" s="9"/>
      <c r="S9" s="9"/>
      <c r="T9" s="11"/>
      <c r="U9" s="11"/>
      <c r="V9" s="11"/>
      <c r="W9" s="11"/>
      <c r="X9" s="9"/>
      <c r="Y9" s="9"/>
      <c r="Z9" s="9"/>
      <c r="AA9" s="9"/>
      <c r="AB9" s="9"/>
      <c r="AC9" s="12"/>
      <c r="AD9" s="9"/>
      <c r="AE9" s="9"/>
      <c r="AF9" s="9"/>
      <c r="AG9" s="9"/>
      <c r="AH9" s="9"/>
      <c r="AI9" s="13"/>
      <c r="AJ9" s="10">
        <f t="shared" si="5"/>
        <v>2020</v>
      </c>
      <c r="AK9" s="14">
        <f>SUM(AB34:AB37)/AVERAGE(AF34:AF37)</f>
        <v>-4.3583308965895663E-2</v>
      </c>
      <c r="AL9" s="9">
        <v>31300261.047187898</v>
      </c>
      <c r="AM9" s="14">
        <f>AL9/AVERAGE(AF34:AF37)</f>
        <v>5.3492569801652954E-3</v>
      </c>
      <c r="AN9" s="14">
        <f>(AF37-AF33)/AF33</f>
        <v>1.1538387966501377E-3</v>
      </c>
      <c r="AO9" s="14"/>
      <c r="AP9" s="9">
        <f t="shared" si="6"/>
        <v>591938696.64801729</v>
      </c>
      <c r="AQ9" s="9">
        <f t="shared" ref="AQ9:AQ29" si="9">(((((((((((AQ8*((1+AN9)^(1/12))-AL9/12)*((1+AN9)^(1/12))-AL9/12)*((1+AN9)^(1/12))-AL9/12)*((1+AN9)^(1/12))-AL9/12)*((1+AN9)^(1/12))-AL9/12)*((1+AN9)^(1/12))-AL9/12)*((1+AN9)^(1/12))-AL9/12)*((1+AN9)^(1/12))-AL9/12)*((1+AN9)^(1/12))-AL9/12)*((1+AN9)^(1/12))-AL9/12)*((1+AN9)^(1/12))-AL9/12)*((1+AN9)^(1/12))-AL9/12</f>
        <v>540033980.73302567</v>
      </c>
      <c r="AR9" s="16">
        <f>AP9/AF37</f>
        <v>0.10103933176461725</v>
      </c>
      <c r="AS9" s="16">
        <f>AQ9/AF37</f>
        <v>9.2179600442470699E-2</v>
      </c>
      <c r="AT9" s="8">
        <v>11339977</v>
      </c>
      <c r="AV9" s="8">
        <f t="shared" si="3"/>
        <v>2.3192223651145243E-2</v>
      </c>
      <c r="BC9" s="13">
        <f t="shared" si="7"/>
        <v>1.3592051892300448E-2</v>
      </c>
      <c r="BD9" s="8">
        <f t="shared" si="8"/>
        <v>2020</v>
      </c>
      <c r="BE9" s="13">
        <f>SUM(T34:T37)/AVERAGE(AF34:AF37)</f>
        <v>4.6205162911021551E-2</v>
      </c>
      <c r="BF9" s="13">
        <f>SUM(P34:P37)/AVERAGE(AF34:AF37)</f>
        <v>1.4607196356835122E-2</v>
      </c>
      <c r="BG9" s="13">
        <f>SUM(D34:D37)/AVERAGE(AF34:AF37)</f>
        <v>7.5181275520082094E-2</v>
      </c>
      <c r="BH9" s="13">
        <f>(SUM(H34:H37)+SUM(J34:J37))/AVERAGE(AF34:AF37)</f>
        <v>1.6645254036631359E-3</v>
      </c>
      <c r="BI9" s="14">
        <f t="shared" si="2"/>
        <v>-4.5247834369558801E-2</v>
      </c>
      <c r="BJ9" s="15">
        <f t="shared" si="4"/>
        <v>7.6845800923745225E-2</v>
      </c>
    </row>
    <row r="10" spans="1:62">
      <c r="A10" s="8">
        <v>2016</v>
      </c>
      <c r="B10" s="8">
        <v>3</v>
      </c>
      <c r="C10" s="9">
        <v>100917465.84456199</v>
      </c>
      <c r="D10" s="9"/>
      <c r="E10" s="9">
        <v>18342943.715</v>
      </c>
      <c r="F10" s="9"/>
      <c r="G10" s="9"/>
      <c r="H10" s="9"/>
      <c r="I10" s="9"/>
      <c r="J10" s="11"/>
      <c r="K10" s="11"/>
      <c r="L10" s="9"/>
      <c r="M10" s="9">
        <v>775294.91</v>
      </c>
      <c r="N10" s="11"/>
      <c r="O10" s="11"/>
      <c r="P10" s="11"/>
      <c r="Q10" s="9"/>
      <c r="R10" s="9"/>
      <c r="S10" s="9"/>
      <c r="T10" s="11"/>
      <c r="U10" s="9"/>
      <c r="V10" s="11"/>
      <c r="W10" s="11"/>
      <c r="X10" s="9"/>
      <c r="Y10" s="9"/>
      <c r="Z10" s="9"/>
      <c r="AA10" s="9"/>
      <c r="AB10" s="9"/>
      <c r="AC10" s="12"/>
      <c r="AD10" s="9"/>
      <c r="AE10" s="9"/>
      <c r="AF10" s="9"/>
      <c r="AG10" s="9"/>
      <c r="AH10" s="9"/>
      <c r="AI10" s="13"/>
      <c r="AJ10" s="10">
        <f t="shared" si="5"/>
        <v>2021</v>
      </c>
      <c r="AK10" s="14">
        <f>SUM(AB38:AB41)/AVERAGE(AF38:AF41)</f>
        <v>-4.6903977352554874E-2</v>
      </c>
      <c r="AL10" s="9">
        <v>29595644.625455201</v>
      </c>
      <c r="AM10" s="14">
        <f>AL10/AVERAGE(AF38:AF41)</f>
        <v>5.0354056227849006E-3</v>
      </c>
      <c r="AN10" s="14">
        <f>(AF41-AF37)/AF37</f>
        <v>4.027110303748983E-3</v>
      </c>
      <c r="AO10" s="14"/>
      <c r="AP10" s="9">
        <f t="shared" si="6"/>
        <v>594322499.07247627</v>
      </c>
      <c r="AQ10" s="9">
        <f t="shared" si="9"/>
        <v>512558525.7316404</v>
      </c>
      <c r="AR10" s="16">
        <f>AP10/AF41</f>
        <v>0.10103933176461725</v>
      </c>
      <c r="AS10" s="16">
        <f>AQ10/AF41</f>
        <v>8.7138836256419133E-2</v>
      </c>
      <c r="AT10" s="8">
        <v>11479064</v>
      </c>
      <c r="AV10" s="8">
        <f t="shared" si="3"/>
        <v>1.2265192424993455E-2</v>
      </c>
      <c r="BC10" s="13">
        <f t="shared" si="7"/>
        <v>1.5585340256804794E-2</v>
      </c>
      <c r="BD10" s="8">
        <f t="shared" si="8"/>
        <v>2021</v>
      </c>
      <c r="BE10" s="13">
        <f>SUM(T38:T41)/AVERAGE(AF38:AF41)</f>
        <v>4.2925114228358423E-2</v>
      </c>
      <c r="BF10" s="13">
        <f>SUM(P38:P41)/AVERAGE(AF38:AF41)</f>
        <v>1.4345977092509201E-2</v>
      </c>
      <c r="BG10" s="13">
        <f>SUM(D38:D41)/AVERAGE(AF38:AF41)</f>
        <v>7.5483114488404099E-2</v>
      </c>
      <c r="BH10" s="13">
        <f>(SUM(H38:H41)+SUM(J38:J41))/AVERAGE(AF38:AF41)</f>
        <v>2.032579829429928E-3</v>
      </c>
      <c r="BI10" s="14">
        <f t="shared" si="2"/>
        <v>-4.8936557181984801E-2</v>
      </c>
      <c r="BJ10" s="15">
        <f t="shared" si="4"/>
        <v>7.7515694317834033E-2</v>
      </c>
    </row>
    <row r="11" spans="1:62">
      <c r="A11" s="8">
        <v>2016</v>
      </c>
      <c r="B11" s="8">
        <v>4</v>
      </c>
      <c r="C11" s="9">
        <v>108710229.285033</v>
      </c>
      <c r="D11" s="9"/>
      <c r="E11" s="9">
        <v>19759371.113000002</v>
      </c>
      <c r="F11" s="9"/>
      <c r="G11" s="9"/>
      <c r="H11" s="9"/>
      <c r="I11" s="9"/>
      <c r="J11" s="11"/>
      <c r="K11" s="11"/>
      <c r="L11" s="9"/>
      <c r="M11" s="9">
        <v>832906.25299999898</v>
      </c>
      <c r="N11" s="11"/>
      <c r="O11" s="11"/>
      <c r="P11" s="9"/>
      <c r="Q11" s="9"/>
      <c r="R11" s="9"/>
      <c r="S11" s="9"/>
      <c r="T11" s="11"/>
      <c r="U11" s="11"/>
      <c r="V11" s="11"/>
      <c r="W11" s="11"/>
      <c r="X11" s="9"/>
      <c r="Y11" s="9"/>
      <c r="Z11" s="9"/>
      <c r="AA11" s="9"/>
      <c r="AB11" s="9"/>
      <c r="AC11" s="12"/>
      <c r="AD11" s="9"/>
      <c r="AE11" s="9"/>
      <c r="AF11" s="9"/>
      <c r="AG11" s="9"/>
      <c r="AH11" s="9"/>
      <c r="AI11" s="13"/>
      <c r="AJ11" s="10">
        <f t="shared" si="5"/>
        <v>2022</v>
      </c>
      <c r="AK11" s="14">
        <f>SUM(AB42:AB45)/AVERAGE(AF42:AF45)</f>
        <v>-5.0377613346389544E-2</v>
      </c>
      <c r="AL11" s="9">
        <v>27922349.647321399</v>
      </c>
      <c r="AM11" s="14">
        <f>AL11/AVERAGE(AF42:AF45)</f>
        <v>4.7676295977973279E-3</v>
      </c>
      <c r="AN11" s="14">
        <f>(AF45-AF41)/AF41</f>
        <v>4.7566800362626178E-4</v>
      </c>
      <c r="AO11" s="14"/>
      <c r="AP11" s="9">
        <f t="shared" si="6"/>
        <v>594605199.26912022</v>
      </c>
      <c r="AQ11" s="9">
        <f t="shared" si="9"/>
        <v>484873896.82054675</v>
      </c>
      <c r="AR11" s="16">
        <f>AP11/AF45</f>
        <v>0.10103933176461724</v>
      </c>
      <c r="AS11" s="16">
        <f>AQ11/AF45</f>
        <v>8.2393047664355151E-2</v>
      </c>
      <c r="AT11" s="8">
        <v>11462881</v>
      </c>
      <c r="AV11" s="8">
        <f t="shared" si="3"/>
        <v>-1.4097839336029488E-3</v>
      </c>
      <c r="BC11" s="13">
        <f t="shared" si="7"/>
        <v>1.364893781379666E-2</v>
      </c>
      <c r="BD11" s="8">
        <f t="shared" si="8"/>
        <v>2022</v>
      </c>
      <c r="BE11" s="13">
        <f>SUM(T42:T45)/AVERAGE(AF42:AF45)</f>
        <v>4.0324933221843016E-2</v>
      </c>
      <c r="BF11" s="13">
        <f>SUM(P42:P45)/AVERAGE(AF42:AF45)</f>
        <v>1.4229853359040135E-2</v>
      </c>
      <c r="BG11" s="13">
        <f>SUM(D42:D45)/AVERAGE(AF42:AF45)</f>
        <v>7.6472693209192436E-2</v>
      </c>
      <c r="BH11" s="13">
        <f>(SUM(H42:H45)+SUM(J42:J45))/AVERAGE(AF42:AF45)</f>
        <v>2.502814417273035E-3</v>
      </c>
      <c r="BI11" s="14">
        <f t="shared" si="2"/>
        <v>-5.2880427763662578E-2</v>
      </c>
      <c r="BJ11" s="15">
        <f t="shared" si="4"/>
        <v>7.8975507626465477E-2</v>
      </c>
    </row>
    <row r="12" spans="1:62" ht="11.5" customHeight="1">
      <c r="A12" s="8">
        <v>2017</v>
      </c>
      <c r="B12" s="8">
        <v>1</v>
      </c>
      <c r="C12" s="9">
        <v>106787377.90249901</v>
      </c>
      <c r="D12" s="9"/>
      <c r="E12" s="9">
        <v>19409869.568</v>
      </c>
      <c r="F12" s="9"/>
      <c r="G12" s="9"/>
      <c r="H12" s="9"/>
      <c r="I12" s="9"/>
      <c r="J12" s="11"/>
      <c r="K12" s="11"/>
      <c r="L12" s="9"/>
      <c r="M12" s="9">
        <v>832988.16000000003</v>
      </c>
      <c r="N12" s="11"/>
      <c r="O12" s="11"/>
      <c r="P12" s="11"/>
      <c r="Q12" s="9"/>
      <c r="R12" s="9"/>
      <c r="S12" s="9"/>
      <c r="T12" s="11"/>
      <c r="U12" s="11"/>
      <c r="V12" s="11"/>
      <c r="W12" s="11"/>
      <c r="X12" s="9"/>
      <c r="Y12" s="9"/>
      <c r="Z12" s="9"/>
      <c r="AA12" s="9"/>
      <c r="AB12" s="9"/>
      <c r="AC12" s="12"/>
      <c r="AD12" s="9"/>
      <c r="AE12" s="9"/>
      <c r="AF12" s="9"/>
      <c r="AG12" s="9"/>
      <c r="AH12" s="9"/>
      <c r="AI12" s="13"/>
      <c r="AJ12" s="10">
        <f t="shared" si="5"/>
        <v>2023</v>
      </c>
      <c r="AK12" s="14">
        <f>SUM(AB46:AB49)/AVERAGE(AF46:AF49)</f>
        <v>-5.1097578361565518E-2</v>
      </c>
      <c r="AL12" s="9">
        <v>26288739.510534</v>
      </c>
      <c r="AM12" s="14">
        <f>AL12/AVERAGE(AF46:AF49)</f>
        <v>4.4816307466390998E-3</v>
      </c>
      <c r="AN12" s="14">
        <f>(AF49-AF45)/AF45</f>
        <v>1.8097718379252786E-3</v>
      </c>
      <c r="AO12" s="14"/>
      <c r="AP12" s="9">
        <f t="shared" si="6"/>
        <v>595681299.01344144</v>
      </c>
      <c r="AQ12" s="9">
        <f t="shared" si="9"/>
        <v>459440869.60136473</v>
      </c>
      <c r="AR12" s="16">
        <f>AP12/AF49</f>
        <v>0.10103933176461725</v>
      </c>
      <c r="AS12" s="16">
        <f>AQ12/AF49</f>
        <v>7.7930259900318016E-2</v>
      </c>
      <c r="AT12" s="8">
        <v>11332510</v>
      </c>
      <c r="AV12" s="8">
        <f t="shared" si="3"/>
        <v>-1.1373318801791626E-2</v>
      </c>
      <c r="BC12" s="13">
        <f t="shared" si="7"/>
        <v>1.4371126013635348E-2</v>
      </c>
      <c r="BD12" s="8">
        <f t="shared" si="8"/>
        <v>2023</v>
      </c>
      <c r="BE12" s="13">
        <f>SUM(T46:T49)/AVERAGE(AF46:AF49)</f>
        <v>4.0065737526064238E-2</v>
      </c>
      <c r="BF12" s="13">
        <f>SUM(P46:P49)/AVERAGE(AF46:AF49)</f>
        <v>1.404300553087276E-2</v>
      </c>
      <c r="BG12" s="13">
        <f>SUM(D46:D49)/AVERAGE(AF46:AF49)</f>
        <v>7.712031035675701E-2</v>
      </c>
      <c r="BH12" s="13">
        <f>(SUM(H46:H49)+SUM(J46:J49))/AVERAGE(AF46:AF49)</f>
        <v>2.9053042724449603E-3</v>
      </c>
      <c r="BI12" s="14">
        <f t="shared" si="2"/>
        <v>-5.4002882634010478E-2</v>
      </c>
      <c r="BJ12" s="15">
        <f t="shared" si="4"/>
        <v>8.0025614629201977E-2</v>
      </c>
    </row>
    <row r="13" spans="1:62">
      <c r="C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7"/>
      <c r="P13" s="18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9"/>
      <c r="AD13" s="18"/>
      <c r="AE13" s="18"/>
      <c r="AF13" s="18"/>
      <c r="AG13" s="18"/>
      <c r="AH13" s="18"/>
      <c r="AI13" s="15"/>
      <c r="AJ13" s="20">
        <f t="shared" si="5"/>
        <v>2024</v>
      </c>
      <c r="AK13" s="21">
        <f>SUM(AB50:AB53)/AVERAGE(AF50:AF53)</f>
        <v>-5.1009663598526191E-2</v>
      </c>
      <c r="AL13" s="18">
        <v>24725359.226102501</v>
      </c>
      <c r="AM13" s="21">
        <f>AL13/AVERAGE(AF50:AF53)</f>
        <v>4.1701810031856343E-3</v>
      </c>
      <c r="AN13" s="21">
        <f>(AF53-AF49)/AF49</f>
        <v>7.3456892912474201E-3</v>
      </c>
      <c r="AO13" s="21"/>
      <c r="AP13" s="18">
        <f t="shared" si="6"/>
        <v>600056988.75260079</v>
      </c>
      <c r="AQ13" s="18">
        <f t="shared" si="9"/>
        <v>438007285.55231142</v>
      </c>
      <c r="AR13" s="22">
        <f>AP13/AF53</f>
        <v>0.10103933176461724</v>
      </c>
      <c r="AS13" s="22">
        <f>AQ13/AF53</f>
        <v>7.3752933920891051E-2</v>
      </c>
      <c r="BC13" s="15">
        <f t="shared" si="7"/>
        <v>1.3371306482896885E-2</v>
      </c>
      <c r="BD13">
        <f t="shared" si="8"/>
        <v>2024</v>
      </c>
      <c r="BE13" s="15">
        <f>SUM(T50:T53)/AVERAGE(AF50:AF53)</f>
        <v>3.9816584287449171E-2</v>
      </c>
      <c r="BF13" s="15">
        <f>SUM(P50:P53)/AVERAGE(AF50:AF53)</f>
        <v>1.3776435973106098E-2</v>
      </c>
      <c r="BG13" s="15">
        <f>SUM(D50:D53)/AVERAGE(AF50:AF53)</f>
        <v>7.7049811912869276E-2</v>
      </c>
      <c r="BH13" s="15">
        <f>(SUM(H50:H53)+SUM(J50:J53))/AVERAGE(AF50:AF53)</f>
        <v>3.3208497511367295E-3</v>
      </c>
      <c r="BI13" s="21">
        <f t="shared" si="2"/>
        <v>-5.4330513349662921E-2</v>
      </c>
      <c r="BJ13" s="15">
        <f t="shared" si="4"/>
        <v>8.0370661664005999E-2</v>
      </c>
    </row>
    <row r="14" spans="1:62" s="23" customFormat="1">
      <c r="A14" s="23">
        <v>2015</v>
      </c>
      <c r="B14" s="23">
        <v>1</v>
      </c>
      <c r="C14" s="24"/>
      <c r="D14" s="41">
        <v>94935467.946458384</v>
      </c>
      <c r="E14" s="24"/>
      <c r="F14" s="25">
        <v>17255645.0717646</v>
      </c>
      <c r="G14" s="42">
        <v>0</v>
      </c>
      <c r="H14" s="42">
        <v>0</v>
      </c>
      <c r="I14" s="42">
        <v>0</v>
      </c>
      <c r="J14" s="42">
        <v>0</v>
      </c>
      <c r="K14" s="24"/>
      <c r="L14" s="41">
        <v>2539896.5458378801</v>
      </c>
      <c r="M14" s="25"/>
      <c r="N14" s="41">
        <v>705811.99727709964</v>
      </c>
      <c r="O14" s="24"/>
      <c r="P14" s="41">
        <v>17062665.040799301</v>
      </c>
      <c r="Q14" s="25"/>
      <c r="R14" s="41">
        <v>17062704.611325134</v>
      </c>
      <c r="S14" s="25"/>
      <c r="T14" s="41">
        <v>68306587.984066308</v>
      </c>
      <c r="U14" s="24"/>
      <c r="V14" s="41">
        <v>116424.766458671</v>
      </c>
      <c r="W14" s="25"/>
      <c r="X14" s="41">
        <v>371095.35564623203</v>
      </c>
      <c r="Y14" s="24"/>
      <c r="Z14" s="24">
        <f t="shared" ref="Z14:Z45" si="10">R14+V14-N14-L14-F14</f>
        <v>-3322224.2370957732</v>
      </c>
      <c r="AA14" s="24"/>
      <c r="AB14" s="24">
        <f t="shared" ref="AB14:AB45" si="11">T14-P14-D14</f>
        <v>-43691545.003191382</v>
      </c>
      <c r="AC14" s="12"/>
      <c r="AD14" s="24">
        <v>5092693740.32864</v>
      </c>
      <c r="AE14" s="24">
        <v>103.09103866</v>
      </c>
      <c r="AF14" s="24">
        <f t="shared" ref="AF14:AF25" si="12">AD14*100/AE14</f>
        <v>4939996537.5502996</v>
      </c>
      <c r="AG14" s="24"/>
      <c r="AH14" s="24"/>
      <c r="AI14" s="26">
        <f t="shared" ref="AI14:AI45" si="13">AB14/AF14</f>
        <v>-8.8444485074189207E-3</v>
      </c>
      <c r="AJ14" s="27">
        <f t="shared" si="5"/>
        <v>2025</v>
      </c>
      <c r="AK14" s="28">
        <f>SUM(AB54:AB57)/AVERAGE(AF54:AF57)</f>
        <v>-5.0898065952480052E-2</v>
      </c>
      <c r="AL14" s="24">
        <v>23142925.059151199</v>
      </c>
      <c r="AM14" s="28">
        <f>AL14/AVERAGE(AF54:AF57)</f>
        <v>3.8880310128942774E-3</v>
      </c>
      <c r="AN14" s="28">
        <f>(AF57-AF53)/AF53</f>
        <v>3.0787875688660423E-3</v>
      </c>
      <c r="AO14" s="28"/>
      <c r="AP14" s="24">
        <f t="shared" si="6"/>
        <v>601904436.75018346</v>
      </c>
      <c r="AQ14" s="24">
        <f t="shared" si="9"/>
        <v>416180252.76959509</v>
      </c>
      <c r="AR14" s="29">
        <f>AP14/AF57</f>
        <v>0.10103933176461724</v>
      </c>
      <c r="AS14" s="29">
        <f>AQ14/AF57</f>
        <v>6.9862543064991886E-2</v>
      </c>
      <c r="AU14" s="23">
        <v>11004289</v>
      </c>
      <c r="AW14" s="23">
        <f>(AU14-AT6)/AT6</f>
        <v>-1.4268368331829186E-2</v>
      </c>
      <c r="AX14" s="43">
        <v>6368.9065332603996</v>
      </c>
      <c r="BC14" s="26">
        <f t="shared" si="7"/>
        <v>1.5435953799932024E-2</v>
      </c>
      <c r="BD14" s="23">
        <f t="shared" si="8"/>
        <v>2025</v>
      </c>
      <c r="BE14" s="26">
        <f>SUM(T54:T57)/AVERAGE(AF54:AF57)</f>
        <v>3.9826900182764836E-2</v>
      </c>
      <c r="BF14" s="26">
        <f>SUM(P54:P57)/AVERAGE(AF54:AF57)</f>
        <v>1.3770456354074641E-2</v>
      </c>
      <c r="BG14" s="26">
        <f>SUM(D54:D57)/AVERAGE(AF54:AF57)</f>
        <v>7.6954509781170244E-2</v>
      </c>
      <c r="BH14" s="26">
        <f>(SUM(H54:H57)+SUM(J54:J57))/AVERAGE(AF54:AF57)</f>
        <v>4.5256597160377564E-3</v>
      </c>
      <c r="BI14" s="28">
        <f t="shared" si="2"/>
        <v>-5.5423725668517811E-2</v>
      </c>
      <c r="BJ14" s="15">
        <f t="shared" si="4"/>
        <v>8.1480169497208002E-2</v>
      </c>
    </row>
    <row r="15" spans="1:62" s="31" customFormat="1">
      <c r="A15" s="31">
        <v>2015</v>
      </c>
      <c r="B15" s="31">
        <v>2</v>
      </c>
      <c r="C15" s="32"/>
      <c r="D15" s="44">
        <v>109339014.25973876</v>
      </c>
      <c r="E15" s="32"/>
      <c r="F15" s="33">
        <v>19873660.112222001</v>
      </c>
      <c r="G15" s="45">
        <v>0</v>
      </c>
      <c r="H15" s="45">
        <v>0</v>
      </c>
      <c r="I15" s="45">
        <v>0</v>
      </c>
      <c r="J15" s="45">
        <v>0</v>
      </c>
      <c r="K15" s="32"/>
      <c r="L15" s="44">
        <v>2236649.19177722</v>
      </c>
      <c r="M15" s="33"/>
      <c r="N15" s="44">
        <v>815524.15203280002</v>
      </c>
      <c r="O15" s="32"/>
      <c r="P15" s="44">
        <v>16092777.3126623</v>
      </c>
      <c r="Q15" s="33"/>
      <c r="R15" s="44">
        <v>16092756.554674037</v>
      </c>
      <c r="S15" s="33"/>
      <c r="T15" s="44">
        <v>83235349.798584893</v>
      </c>
      <c r="U15" s="32"/>
      <c r="V15" s="44">
        <v>117941.839121197</v>
      </c>
      <c r="W15" s="33"/>
      <c r="X15" s="44">
        <v>376992.85469904798</v>
      </c>
      <c r="Y15" s="32"/>
      <c r="Z15" s="32">
        <f t="shared" si="10"/>
        <v>-6715135.0622367878</v>
      </c>
      <c r="AA15" s="32"/>
      <c r="AB15" s="32">
        <f t="shared" si="11"/>
        <v>-42196441.773816168</v>
      </c>
      <c r="AC15" s="12"/>
      <c r="AD15" s="32">
        <v>5951478855.3666</v>
      </c>
      <c r="AE15" s="32">
        <v>106.73436665</v>
      </c>
      <c r="AF15" s="32">
        <f t="shared" si="12"/>
        <v>5575972427.7771788</v>
      </c>
      <c r="AG15" s="32"/>
      <c r="AH15" s="32"/>
      <c r="AI15" s="34">
        <f t="shared" si="13"/>
        <v>-7.5675484985562374E-3</v>
      </c>
      <c r="AJ15" s="35">
        <f t="shared" si="5"/>
        <v>2026</v>
      </c>
      <c r="AK15" s="36">
        <f>SUM(AB58:AB61)/AVERAGE(AF58:AF61)</f>
        <v>-5.151900356412939E-2</v>
      </c>
      <c r="AL15" s="32">
        <v>21624894.399816599</v>
      </c>
      <c r="AM15" s="36">
        <f>AL15/AVERAGE(AF58:AF61)</f>
        <v>3.638015098428211E-3</v>
      </c>
      <c r="AN15" s="36">
        <f>(AF61-AF57)/AF57</f>
        <v>-2.2275887411080273E-3</v>
      </c>
      <c r="AO15" s="36"/>
      <c r="AP15" s="32">
        <f t="shared" si="6"/>
        <v>600563641.20365572</v>
      </c>
      <c r="AQ15" s="32">
        <f t="shared" si="9"/>
        <v>393650367.35958636</v>
      </c>
      <c r="AR15" s="37">
        <f>AP15/AF61</f>
        <v>0.10103933176461723</v>
      </c>
      <c r="AS15" s="37">
        <f>AQ15/AF61</f>
        <v>6.6228068664284934E-2</v>
      </c>
      <c r="AU15" s="31">
        <v>11039157</v>
      </c>
      <c r="AW15" s="31">
        <f t="shared" ref="AW15:AW46" si="14">(AU15-AU14)/AU14</f>
        <v>3.1685827226093388E-3</v>
      </c>
      <c r="AX15" s="46">
        <v>6691.6267211455997</v>
      </c>
      <c r="AY15" s="34">
        <f t="shared" ref="AY15:AY46" si="15">(AX15-AX14)/AX14</f>
        <v>5.06712080323138E-2</v>
      </c>
      <c r="BC15" s="34">
        <f t="shared" si="7"/>
        <v>1.3822787597134706E-2</v>
      </c>
      <c r="BD15" s="31">
        <f t="shared" si="8"/>
        <v>2026</v>
      </c>
      <c r="BE15" s="34">
        <f>SUM(T58:T61)/AVERAGE(AF58:AF61)</f>
        <v>3.9364056923492846E-2</v>
      </c>
      <c r="BF15" s="34">
        <f>SUM(P58:P61)/AVERAGE(AF58:AF61)</f>
        <v>1.354531764924813E-2</v>
      </c>
      <c r="BG15" s="34">
        <f>SUM(D58:D61)/AVERAGE(AF58:AF61)</f>
        <v>7.7337742838374107E-2</v>
      </c>
      <c r="BH15" s="34">
        <f>(SUM(H58:H61)+SUM(J58:J61))/AVERAGE(AF58:AF61)</f>
        <v>5.833095805310249E-3</v>
      </c>
      <c r="BI15" s="36">
        <f t="shared" si="2"/>
        <v>-5.7352099369439635E-2</v>
      </c>
      <c r="BJ15" s="15">
        <f t="shared" si="4"/>
        <v>8.3170838643684353E-2</v>
      </c>
    </row>
    <row r="16" spans="1:62" s="31" customFormat="1">
      <c r="A16" s="31">
        <v>2015</v>
      </c>
      <c r="B16" s="31">
        <v>3</v>
      </c>
      <c r="C16" s="32"/>
      <c r="D16" s="44">
        <v>106210928.69184949</v>
      </c>
      <c r="E16" s="32"/>
      <c r="F16" s="33">
        <v>19305093.532405399</v>
      </c>
      <c r="G16" s="45">
        <v>0</v>
      </c>
      <c r="H16" s="45">
        <v>0</v>
      </c>
      <c r="I16" s="45">
        <v>0</v>
      </c>
      <c r="J16" s="45">
        <v>0</v>
      </c>
      <c r="K16" s="32"/>
      <c r="L16" s="44">
        <v>2734803.8185367598</v>
      </c>
      <c r="M16" s="33"/>
      <c r="N16" s="44">
        <v>793894.77474950254</v>
      </c>
      <c r="O16" s="32"/>
      <c r="P16" s="44">
        <v>18558691.123152401</v>
      </c>
      <c r="Q16" s="33"/>
      <c r="R16" s="44">
        <v>18558684.828942068</v>
      </c>
      <c r="S16" s="33"/>
      <c r="T16" s="44">
        <v>76541070.379033163</v>
      </c>
      <c r="U16" s="32"/>
      <c r="V16" s="44">
        <v>123359.29092606</v>
      </c>
      <c r="W16" s="33"/>
      <c r="X16" s="44">
        <v>365858.43676841201</v>
      </c>
      <c r="Y16" s="32"/>
      <c r="Z16" s="32">
        <f t="shared" si="10"/>
        <v>-4151748.0058235321</v>
      </c>
      <c r="AA16" s="32"/>
      <c r="AB16" s="32">
        <f t="shared" si="11"/>
        <v>-48228549.435968727</v>
      </c>
      <c r="AC16" s="12"/>
      <c r="AD16" s="32">
        <v>6221730755.7715998</v>
      </c>
      <c r="AE16" s="32">
        <v>110.48458934999999</v>
      </c>
      <c r="AF16" s="32">
        <f t="shared" si="12"/>
        <v>5631310929.7641611</v>
      </c>
      <c r="AG16" s="32"/>
      <c r="AH16" s="32"/>
      <c r="AI16" s="34">
        <f t="shared" si="13"/>
        <v>-8.5643556247370165E-3</v>
      </c>
      <c r="AJ16" s="35">
        <f t="shared" si="5"/>
        <v>2027</v>
      </c>
      <c r="AK16" s="36">
        <f>SUM(AB62:AB65)/AVERAGE(AF62:AF65)</f>
        <v>-5.1391858512157371E-2</v>
      </c>
      <c r="AL16" s="32">
        <v>20144490.731929</v>
      </c>
      <c r="AM16" s="36">
        <f>AL16/AVERAGE(AF62:AF65)</f>
        <v>3.3796006101672622E-3</v>
      </c>
      <c r="AN16" s="36">
        <f>(AF65-AF61)/AF61</f>
        <v>5.6066618367921327E-3</v>
      </c>
      <c r="AO16" s="36"/>
      <c r="AP16" s="32">
        <f t="shared" si="6"/>
        <v>603930798.45135713</v>
      </c>
      <c r="AQ16" s="32">
        <f t="shared" si="9"/>
        <v>375661227.67523301</v>
      </c>
      <c r="AR16" s="37">
        <f>AP16/AF65</f>
        <v>0.10103933176461721</v>
      </c>
      <c r="AS16" s="37">
        <f>AQ16/AF65</f>
        <v>6.2849186548379746E-2</v>
      </c>
      <c r="AU16" s="31">
        <v>11069835</v>
      </c>
      <c r="AW16" s="31">
        <f t="shared" si="14"/>
        <v>2.7790165499050334E-3</v>
      </c>
      <c r="AX16" s="46">
        <v>6984.1911310187998</v>
      </c>
      <c r="AY16" s="34">
        <f t="shared" si="15"/>
        <v>4.372096981272041E-2</v>
      </c>
      <c r="BC16" s="34">
        <f t="shared" si="7"/>
        <v>1.4452308760858797E-2</v>
      </c>
      <c r="BD16" s="31">
        <f t="shared" si="8"/>
        <v>2027</v>
      </c>
      <c r="BE16" s="34">
        <f>SUM(T62:T65)/AVERAGE(AF62:AF65)</f>
        <v>3.9321488720632333E-2</v>
      </c>
      <c r="BF16" s="34">
        <f>SUM(P62:P65)/AVERAGE(AF62:AF65)</f>
        <v>1.352911202402729E-2</v>
      </c>
      <c r="BG16" s="34">
        <f>SUM(D62:D65)/AVERAGE(AF62:AF65)</f>
        <v>7.7184235208762414E-2</v>
      </c>
      <c r="BH16" s="34">
        <f>(SUM(H62:H65)+SUM(J62:J65))/AVERAGE(AF62:AF65)</f>
        <v>7.2737769797772177E-3</v>
      </c>
      <c r="BI16" s="36">
        <f t="shared" si="2"/>
        <v>-5.8665635491934591E-2</v>
      </c>
      <c r="BJ16" s="15">
        <f t="shared" si="4"/>
        <v>8.4458012188539627E-2</v>
      </c>
    </row>
    <row r="17" spans="1:62" s="31" customFormat="1">
      <c r="A17" s="31">
        <v>2015</v>
      </c>
      <c r="B17" s="31">
        <v>4</v>
      </c>
      <c r="C17" s="32"/>
      <c r="D17" s="44">
        <v>114771012.9094142</v>
      </c>
      <c r="E17" s="32"/>
      <c r="F17" s="33">
        <v>20860990.166590799</v>
      </c>
      <c r="G17" s="45">
        <v>0</v>
      </c>
      <c r="H17" s="45">
        <v>0</v>
      </c>
      <c r="I17" s="45">
        <v>0</v>
      </c>
      <c r="J17" s="45">
        <v>0</v>
      </c>
      <c r="K17" s="32"/>
      <c r="L17" s="44">
        <v>2602828.7029223</v>
      </c>
      <c r="M17" s="33"/>
      <c r="N17" s="44">
        <v>858883.92638400197</v>
      </c>
      <c r="O17" s="32"/>
      <c r="P17" s="44">
        <v>18231425.143388201</v>
      </c>
      <c r="Q17" s="33"/>
      <c r="R17" s="44">
        <v>18231416.464028634</v>
      </c>
      <c r="S17" s="33"/>
      <c r="T17" s="44">
        <v>88190007.006363854</v>
      </c>
      <c r="U17" s="32"/>
      <c r="V17" s="44">
        <v>115904.1045511</v>
      </c>
      <c r="W17" s="33"/>
      <c r="X17" s="44">
        <v>360757.15032195998</v>
      </c>
      <c r="Y17" s="32"/>
      <c r="Z17" s="32">
        <f t="shared" si="10"/>
        <v>-5975382.2273173667</v>
      </c>
      <c r="AA17" s="32"/>
      <c r="AB17" s="32">
        <f t="shared" si="11"/>
        <v>-44812431.046438545</v>
      </c>
      <c r="AC17" s="12"/>
      <c r="AD17" s="32">
        <v>6552140231.3025303</v>
      </c>
      <c r="AE17" s="32">
        <v>115.79241048</v>
      </c>
      <c r="AF17" s="32">
        <f t="shared" si="12"/>
        <v>5658523044.9401817</v>
      </c>
      <c r="AG17" s="32"/>
      <c r="AH17" s="32"/>
      <c r="AI17" s="34">
        <f t="shared" si="13"/>
        <v>-7.9194571959037181E-3</v>
      </c>
      <c r="AJ17" s="35">
        <f t="shared" si="5"/>
        <v>2028</v>
      </c>
      <c r="AK17" s="36">
        <f>SUM(AB66:AB69)/AVERAGE(AF66:AF69)</f>
        <v>-5.075490454471572E-2</v>
      </c>
      <c r="AL17" s="32">
        <v>18706036.905342702</v>
      </c>
      <c r="AM17" s="36">
        <f>AL17/AVERAGE(AF66:AF69)</f>
        <v>3.1038356386742004E-3</v>
      </c>
      <c r="AN17" s="36">
        <f>(AF69-AF65)/AF65</f>
        <v>7.9537821312113694E-3</v>
      </c>
      <c r="AO17" s="36"/>
      <c r="AP17" s="32">
        <f t="shared" si="6"/>
        <v>608734332.4445678</v>
      </c>
      <c r="AQ17" s="32">
        <f t="shared" si="9"/>
        <v>359875023.32528383</v>
      </c>
      <c r="AR17" s="37">
        <f>AP17/AF69</f>
        <v>0.10103933176461723</v>
      </c>
      <c r="AS17" s="37">
        <f>AQ17/AF69</f>
        <v>5.973300656386725E-2</v>
      </c>
      <c r="AU17" s="31">
        <v>11079853</v>
      </c>
      <c r="AW17" s="31">
        <f t="shared" si="14"/>
        <v>9.0498187190685316E-4</v>
      </c>
      <c r="AX17" s="46">
        <v>6967.8308273950997</v>
      </c>
      <c r="AY17" s="34">
        <f t="shared" si="15"/>
        <v>-2.3424765039775628E-3</v>
      </c>
      <c r="BC17" s="34">
        <f t="shared" si="7"/>
        <v>1.3109265162362008E-2</v>
      </c>
      <c r="BD17" s="31">
        <f t="shared" si="8"/>
        <v>2028</v>
      </c>
      <c r="BE17" s="34">
        <f>SUM(T66:T69)/AVERAGE(AF66:AF69)</f>
        <v>3.9182341031647756E-2</v>
      </c>
      <c r="BF17" s="34">
        <f>SUM(P66:P69)/AVERAGE(AF66:AF69)</f>
        <v>1.3533856610048951E-2</v>
      </c>
      <c r="BG17" s="34">
        <f>SUM(D66:D69)/AVERAGE(AF66:AF69)</f>
        <v>7.6403388966314531E-2</v>
      </c>
      <c r="BH17" s="34">
        <f>(SUM(H66:H69)+SUM(J66:J69))/AVERAGE(AF66:AF69)</f>
        <v>8.5689296326458241E-3</v>
      </c>
      <c r="BI17" s="36">
        <f t="shared" si="2"/>
        <v>-5.9323834177361548E-2</v>
      </c>
      <c r="BJ17" s="15">
        <f t="shared" si="4"/>
        <v>8.4972318598960359E-2</v>
      </c>
    </row>
    <row r="18" spans="1:62" s="23" customFormat="1">
      <c r="A18" s="23">
        <f t="shared" ref="A18:A49" si="16">A14+1</f>
        <v>2016</v>
      </c>
      <c r="B18" s="23">
        <f t="shared" ref="B18:B49" si="17">B14</f>
        <v>1</v>
      </c>
      <c r="C18" s="24"/>
      <c r="D18" s="41">
        <v>100240264.60724892</v>
      </c>
      <c r="E18" s="24"/>
      <c r="F18" s="25">
        <v>18219854.658934999</v>
      </c>
      <c r="G18" s="42">
        <v>0</v>
      </c>
      <c r="H18" s="42">
        <v>0</v>
      </c>
      <c r="I18" s="42">
        <v>0</v>
      </c>
      <c r="J18" s="42">
        <v>0</v>
      </c>
      <c r="K18" s="24"/>
      <c r="L18" s="41">
        <v>2640788.5999428201</v>
      </c>
      <c r="M18" s="25"/>
      <c r="N18" s="41">
        <v>746581.10840870067</v>
      </c>
      <c r="O18" s="24"/>
      <c r="P18" s="41">
        <v>17810510.868193999</v>
      </c>
      <c r="Q18" s="25"/>
      <c r="R18" s="41">
        <v>17810533.580309913</v>
      </c>
      <c r="S18" s="25"/>
      <c r="T18" s="41">
        <v>72480304.62778914</v>
      </c>
      <c r="U18" s="24"/>
      <c r="V18" s="41">
        <v>109424.910354893</v>
      </c>
      <c r="W18" s="25"/>
      <c r="X18" s="41">
        <v>420088.80391038401</v>
      </c>
      <c r="Y18" s="24"/>
      <c r="Z18" s="24">
        <f t="shared" si="10"/>
        <v>-3687265.8766217139</v>
      </c>
      <c r="AA18" s="24"/>
      <c r="AB18" s="24">
        <f t="shared" si="11"/>
        <v>-45570470.847653776</v>
      </c>
      <c r="AC18" s="12"/>
      <c r="AD18" s="24">
        <v>6962845278.2518702</v>
      </c>
      <c r="AE18" s="24">
        <v>131.11898839</v>
      </c>
      <c r="AF18" s="24">
        <f t="shared" si="12"/>
        <v>5310325654.3908043</v>
      </c>
      <c r="AG18" s="24"/>
      <c r="AH18" s="24"/>
      <c r="AI18" s="26">
        <f t="shared" si="13"/>
        <v>-8.5814832862414307E-3</v>
      </c>
      <c r="AJ18" s="27">
        <f t="shared" si="5"/>
        <v>2029</v>
      </c>
      <c r="AK18" s="28">
        <f>SUM(AB70:AB73)/AVERAGE(AF70:AF73)</f>
        <v>-5.050494023159894E-2</v>
      </c>
      <c r="AL18" s="24">
        <v>17344459.458458502</v>
      </c>
      <c r="AM18" s="28">
        <f>AL18/AVERAGE(AF70:AF73)</f>
        <v>2.8742098753482786E-3</v>
      </c>
      <c r="AN18" s="28">
        <f>(AF73-AF69)/AF69</f>
        <v>1.5506458339752294E-3</v>
      </c>
      <c r="AO18" s="28"/>
      <c r="AP18" s="24">
        <f t="shared" si="6"/>
        <v>609678263.80117059</v>
      </c>
      <c r="AQ18" s="24">
        <f t="shared" si="9"/>
        <v>343076279.09392852</v>
      </c>
      <c r="AR18" s="29">
        <f>AP18/AF73</f>
        <v>0.10103933176461721</v>
      </c>
      <c r="AS18" s="29">
        <f>AQ18/AF73</f>
        <v>5.6856542281531308E-2</v>
      </c>
      <c r="AU18" s="23">
        <v>11091626</v>
      </c>
      <c r="AW18" s="23">
        <f t="shared" si="14"/>
        <v>1.0625592234842828E-3</v>
      </c>
      <c r="AX18" s="43">
        <v>6546.8359095505002</v>
      </c>
      <c r="AY18" s="26">
        <f t="shared" si="15"/>
        <v>-6.0419796099152288E-2</v>
      </c>
      <c r="BC18" s="26">
        <f t="shared" si="7"/>
        <v>1.4943352905037363E-2</v>
      </c>
      <c r="BD18" s="23">
        <f t="shared" si="8"/>
        <v>2029</v>
      </c>
      <c r="BE18" s="26">
        <f>SUM(T70:T73)/AVERAGE(AF70:AF73)</f>
        <v>3.9139983003253602E-2</v>
      </c>
      <c r="BF18" s="26">
        <f>SUM(P70:P73)/AVERAGE(AF70:AF73)</f>
        <v>1.3268503743418503E-2</v>
      </c>
      <c r="BG18" s="26">
        <f>SUM(D70:D73)/AVERAGE(AF70:AF73)</f>
        <v>7.6376419491434033E-2</v>
      </c>
      <c r="BH18" s="26">
        <f>(SUM(H70:H73)+SUM(J70:J73))/AVERAGE(AF70:AF73)</f>
        <v>9.8656150899148684E-3</v>
      </c>
      <c r="BI18" s="28">
        <f t="shared" si="2"/>
        <v>-6.0370555321513808E-2</v>
      </c>
      <c r="BJ18" s="15">
        <f t="shared" si="4"/>
        <v>8.6242034581348909E-2</v>
      </c>
    </row>
    <row r="19" spans="1:62" s="31" customFormat="1">
      <c r="A19" s="31">
        <f t="shared" si="16"/>
        <v>2016</v>
      </c>
      <c r="B19" s="31">
        <f t="shared" si="17"/>
        <v>2</v>
      </c>
      <c r="C19" s="32"/>
      <c r="D19" s="44">
        <v>103301064.50831549</v>
      </c>
      <c r="E19" s="32"/>
      <c r="F19" s="33">
        <v>18776191.272330999</v>
      </c>
      <c r="G19" s="45">
        <v>0</v>
      </c>
      <c r="H19" s="45">
        <v>0</v>
      </c>
      <c r="I19" s="45">
        <v>0</v>
      </c>
      <c r="J19" s="45">
        <v>0</v>
      </c>
      <c r="K19" s="32"/>
      <c r="L19" s="44">
        <v>2605355.52042699</v>
      </c>
      <c r="M19" s="33"/>
      <c r="N19" s="44">
        <v>770770.9933442995</v>
      </c>
      <c r="O19" s="32"/>
      <c r="P19" s="44">
        <v>17759744.5233065</v>
      </c>
      <c r="Q19" s="33"/>
      <c r="R19" s="44">
        <v>17759756.772006247</v>
      </c>
      <c r="S19" s="33"/>
      <c r="T19" s="44">
        <v>81633945.55425714</v>
      </c>
      <c r="U19" s="32"/>
      <c r="V19" s="44">
        <v>106122.576781039</v>
      </c>
      <c r="W19" s="33"/>
      <c r="X19" s="44">
        <v>473304.43952878797</v>
      </c>
      <c r="Y19" s="32"/>
      <c r="Z19" s="32">
        <f t="shared" si="10"/>
        <v>-4286438.4373150039</v>
      </c>
      <c r="AA19" s="32"/>
      <c r="AB19" s="32">
        <f t="shared" si="11"/>
        <v>-39426863.477364853</v>
      </c>
      <c r="AC19" s="12"/>
      <c r="AD19" s="32">
        <v>8401125356.75455</v>
      </c>
      <c r="AE19" s="32">
        <v>147.89635652000001</v>
      </c>
      <c r="AF19" s="32">
        <f t="shared" si="12"/>
        <v>5680414010.4820404</v>
      </c>
      <c r="AG19" s="32"/>
      <c r="AH19" s="32"/>
      <c r="AI19" s="34">
        <f t="shared" si="13"/>
        <v>-6.9408432914591532E-3</v>
      </c>
      <c r="AJ19" s="35">
        <f t="shared" si="5"/>
        <v>2030</v>
      </c>
      <c r="AK19" s="36">
        <f>SUM(AB74:AB77)/AVERAGE(AF74:AF77)</f>
        <v>-5.0762094334877703E-2</v>
      </c>
      <c r="AL19" s="32">
        <v>16011335.261168901</v>
      </c>
      <c r="AM19" s="36">
        <f>AL19/AVERAGE(AF74:AF77)</f>
        <v>2.6583108766669097E-3</v>
      </c>
      <c r="AN19" s="36">
        <f>(AF77-AF73)/AF73</f>
        <v>-2.7149581483662285E-3</v>
      </c>
      <c r="AO19" s="36"/>
      <c r="AP19" s="32">
        <f t="shared" si="6"/>
        <v>608023012.83098185</v>
      </c>
      <c r="AQ19" s="32">
        <f t="shared" si="9"/>
        <v>326153439.67145103</v>
      </c>
      <c r="AR19" s="37">
        <f>AP19/AF77</f>
        <v>0.10103933176461721</v>
      </c>
      <c r="AS19" s="37">
        <f>AQ19/AF77</f>
        <v>5.4199141976054528E-2</v>
      </c>
      <c r="AU19" s="31">
        <v>11171229</v>
      </c>
      <c r="AW19" s="31">
        <f t="shared" si="14"/>
        <v>7.1768557648806408E-3</v>
      </c>
      <c r="AX19" s="46">
        <v>6356.2046503346</v>
      </c>
      <c r="AY19" s="34">
        <f t="shared" si="15"/>
        <v>-2.9118075028855998E-2</v>
      </c>
      <c r="BC19" s="34">
        <f t="shared" si="7"/>
        <v>1.2255051179107742E-2</v>
      </c>
      <c r="BD19" s="31">
        <f t="shared" si="8"/>
        <v>2030</v>
      </c>
      <c r="BE19" s="34">
        <f>SUM(T74:T77)/AVERAGE(AF74:AF77)</f>
        <v>3.8865693378724871E-2</v>
      </c>
      <c r="BF19" s="34">
        <f>SUM(P74:P77)/AVERAGE(AF74:AF77)</f>
        <v>1.3368187969329882E-2</v>
      </c>
      <c r="BG19" s="34">
        <f>SUM(D74:D77)/AVERAGE(AF74:AF77)</f>
        <v>7.6259599744272683E-2</v>
      </c>
      <c r="BH19" s="34">
        <f>(SUM(H74:H77)+SUM(J74:J77))/AVERAGE(AF74:AF77)</f>
        <v>1.1061186225988073E-2</v>
      </c>
      <c r="BI19" s="36">
        <f t="shared" si="2"/>
        <v>-6.1823280560865779E-2</v>
      </c>
      <c r="BJ19" s="15">
        <f t="shared" si="4"/>
        <v>8.7320785970260759E-2</v>
      </c>
    </row>
    <row r="20" spans="1:62" s="31" customFormat="1">
      <c r="A20" s="31">
        <f t="shared" si="16"/>
        <v>2016</v>
      </c>
      <c r="B20" s="31">
        <f t="shared" si="17"/>
        <v>3</v>
      </c>
      <c r="C20" s="32"/>
      <c r="D20" s="44">
        <v>98292405.29868786</v>
      </c>
      <c r="E20" s="32"/>
      <c r="F20" s="33">
        <v>17865808.172355101</v>
      </c>
      <c r="G20" s="45">
        <v>0</v>
      </c>
      <c r="H20" s="45">
        <v>0</v>
      </c>
      <c r="I20" s="45">
        <v>0</v>
      </c>
      <c r="J20" s="45">
        <v>0</v>
      </c>
      <c r="K20" s="32"/>
      <c r="L20" s="44">
        <v>2268350.2564357999</v>
      </c>
      <c r="M20" s="33"/>
      <c r="N20" s="44">
        <v>735585.02939260006</v>
      </c>
      <c r="O20" s="32"/>
      <c r="P20" s="44">
        <v>15817441.205731399</v>
      </c>
      <c r="Q20" s="33"/>
      <c r="R20" s="44">
        <v>15817452.062975822</v>
      </c>
      <c r="S20" s="33"/>
      <c r="T20" s="44">
        <v>72473375.356961221</v>
      </c>
      <c r="U20" s="32"/>
      <c r="V20" s="44">
        <v>115976.965700388</v>
      </c>
      <c r="W20" s="33"/>
      <c r="X20" s="44">
        <v>292425.44715261337</v>
      </c>
      <c r="Y20" s="32"/>
      <c r="Z20" s="32">
        <f t="shared" si="10"/>
        <v>-4936314.4295072909</v>
      </c>
      <c r="AA20" s="32"/>
      <c r="AB20" s="32">
        <f t="shared" si="11"/>
        <v>-41636471.147458039</v>
      </c>
      <c r="AC20" s="12"/>
      <c r="AD20" s="32">
        <v>8448889759.2748203</v>
      </c>
      <c r="AE20" s="32">
        <v>155.88165151000001</v>
      </c>
      <c r="AF20" s="32">
        <f t="shared" si="12"/>
        <v>5420066876.0125456</v>
      </c>
      <c r="AG20" s="32"/>
      <c r="AH20" s="32"/>
      <c r="AI20" s="34">
        <f t="shared" si="13"/>
        <v>-7.6819109616022502E-3</v>
      </c>
      <c r="AJ20" s="35">
        <f t="shared" si="5"/>
        <v>2031</v>
      </c>
      <c r="AK20" s="36">
        <f>SUM(AB78:AB81)/AVERAGE(AF78:AF81)</f>
        <v>-5.0607502498619561E-2</v>
      </c>
      <c r="AL20" s="32">
        <v>14724508.078940799</v>
      </c>
      <c r="AM20" s="36">
        <f>AL20/AVERAGE(AF78:AF81)</f>
        <v>2.4478595031187478E-3</v>
      </c>
      <c r="AN20" s="36">
        <f>(AF81-AF77)/AF77</f>
        <v>-5.9347299501359653E-4</v>
      </c>
      <c r="AO20" s="36"/>
      <c r="AP20" s="32">
        <f t="shared" si="6"/>
        <v>607662167.59251988</v>
      </c>
      <c r="AQ20" s="32">
        <f t="shared" si="9"/>
        <v>311239373.95384568</v>
      </c>
      <c r="AR20" s="37">
        <f>AP20/AF81</f>
        <v>0.10103933176461723</v>
      </c>
      <c r="AS20" s="37">
        <f>AQ20/AF81</f>
        <v>5.1751483044806042E-2</v>
      </c>
      <c r="AU20" s="31">
        <v>11262070</v>
      </c>
      <c r="AW20" s="31">
        <f t="shared" si="14"/>
        <v>8.1316925827946054E-3</v>
      </c>
      <c r="AX20" s="46">
        <v>6421.7509021330998</v>
      </c>
      <c r="AY20" s="34">
        <f t="shared" si="15"/>
        <v>1.0312168252016441E-2</v>
      </c>
      <c r="BC20" s="34">
        <f t="shared" si="7"/>
        <v>1.4144878468138852E-2</v>
      </c>
      <c r="BD20" s="31">
        <f t="shared" si="8"/>
        <v>2031</v>
      </c>
      <c r="BE20" s="34">
        <f>SUM(T78:T81)/AVERAGE(AF78:AF81)</f>
        <v>3.8662078038046915E-2</v>
      </c>
      <c r="BF20" s="34">
        <f>SUM(P78:P81)/AVERAGE(AF78:AF81)</f>
        <v>1.3233842519002005E-2</v>
      </c>
      <c r="BG20" s="34">
        <f>SUM(D78:D81)/AVERAGE(AF78:AF81)</f>
        <v>7.6035738017664473E-2</v>
      </c>
      <c r="BH20" s="34">
        <f>(SUM(H78:H81)+SUM(J78:J81))/AVERAGE(AF78:AF81)</f>
        <v>1.2172974097955709E-2</v>
      </c>
      <c r="BI20" s="36">
        <f t="shared" si="2"/>
        <v>-6.2780476596575263E-2</v>
      </c>
      <c r="BJ20" s="15">
        <f t="shared" si="4"/>
        <v>8.8208712115620175E-2</v>
      </c>
    </row>
    <row r="21" spans="1:62">
      <c r="A21" s="31">
        <f t="shared" si="16"/>
        <v>2016</v>
      </c>
      <c r="B21" s="31">
        <f t="shared" si="17"/>
        <v>4</v>
      </c>
      <c r="C21" s="32"/>
      <c r="D21" s="44">
        <v>107380385.59189004</v>
      </c>
      <c r="E21" s="32"/>
      <c r="F21" s="33">
        <v>19517656.167112239</v>
      </c>
      <c r="G21" s="44">
        <v>22713.949177262301</v>
      </c>
      <c r="H21" s="44">
        <v>124965.4466748345</v>
      </c>
      <c r="I21" s="47">
        <v>702.49327352359978</v>
      </c>
      <c r="J21" s="44">
        <v>3864.9107219022271</v>
      </c>
      <c r="K21" s="32"/>
      <c r="L21" s="44">
        <v>3682918.2738983599</v>
      </c>
      <c r="M21" s="33"/>
      <c r="N21" s="44">
        <v>805276.03250077739</v>
      </c>
      <c r="O21" s="32"/>
      <c r="P21" s="44">
        <v>23541117.651604898</v>
      </c>
      <c r="Q21" s="33"/>
      <c r="R21" s="44">
        <v>23541071.567093499</v>
      </c>
      <c r="S21" s="33"/>
      <c r="T21" s="44">
        <v>84159729.182707667</v>
      </c>
      <c r="U21" s="32"/>
      <c r="V21" s="44">
        <v>116561.02930682201</v>
      </c>
      <c r="W21" s="33"/>
      <c r="X21" s="44">
        <v>296235.89629669354</v>
      </c>
      <c r="Y21" s="32"/>
      <c r="Z21" s="32">
        <f t="shared" si="10"/>
        <v>-348217.87711105496</v>
      </c>
      <c r="AA21" s="32"/>
      <c r="AB21" s="32">
        <f t="shared" si="11"/>
        <v>-46761774.060787268</v>
      </c>
      <c r="AC21" s="12"/>
      <c r="AD21" s="32">
        <v>8942134800.3519897</v>
      </c>
      <c r="AE21" s="32">
        <v>164.01000929</v>
      </c>
      <c r="AF21" s="32">
        <f t="shared" si="12"/>
        <v>5452188460.364418</v>
      </c>
      <c r="AG21" s="32"/>
      <c r="AH21" s="32"/>
      <c r="AI21" s="34">
        <f t="shared" si="13"/>
        <v>-8.5766980361610175E-3</v>
      </c>
      <c r="AJ21" s="35">
        <f t="shared" si="5"/>
        <v>2032</v>
      </c>
      <c r="AK21" s="36">
        <f>SUM(AB82:AB85)/AVERAGE(AF82:AF85)</f>
        <v>-5.0698391203668737E-2</v>
      </c>
      <c r="AL21" s="32">
        <v>13484007.9992915</v>
      </c>
      <c r="AM21" s="36">
        <f>AL21/AVERAGE(AF82:AF85)</f>
        <v>2.2477513416841702E-3</v>
      </c>
      <c r="AN21" s="36">
        <f>(AF85-AF81)/AF81</f>
        <v>-6.3805291182908426E-3</v>
      </c>
      <c r="AO21" s="36"/>
      <c r="AP21" s="32">
        <f t="shared" si="6"/>
        <v>603784961.43811214</v>
      </c>
      <c r="AQ21" s="32">
        <f t="shared" si="9"/>
        <v>295808972.39667702</v>
      </c>
      <c r="AR21" s="37">
        <f>AP21/AF85</f>
        <v>0.10103933176461723</v>
      </c>
      <c r="AS21" s="37">
        <f>AQ21/AF85</f>
        <v>4.9501631888527749E-2</v>
      </c>
      <c r="AU21" s="31">
        <v>11267048</v>
      </c>
      <c r="AW21" s="31">
        <f t="shared" si="14"/>
        <v>4.4201465627544492E-4</v>
      </c>
      <c r="AX21" s="46">
        <v>6485.7556979743003</v>
      </c>
      <c r="AY21" s="34">
        <f t="shared" si="15"/>
        <v>9.966876139642887E-3</v>
      </c>
      <c r="BC21" s="34">
        <f t="shared" si="7"/>
        <v>1.238315025379967E-2</v>
      </c>
      <c r="BD21" s="31">
        <f t="shared" si="8"/>
        <v>2032</v>
      </c>
      <c r="BE21" s="34">
        <f>SUM(T82:T85)/AVERAGE(AF82:AF85)</f>
        <v>3.8676032764483594E-2</v>
      </c>
      <c r="BF21" s="34">
        <f>SUM(P82:P85)/AVERAGE(AF82:AF85)</f>
        <v>1.3057167053900734E-2</v>
      </c>
      <c r="BG21" s="34">
        <f>SUM(D82:D85)/AVERAGE(AF82:AF85)</f>
        <v>7.6317256914251591E-2</v>
      </c>
      <c r="BH21" s="34">
        <f>(SUM(H82:H85)+SUM(J82:J85))/AVERAGE(AF82:AF85)</f>
        <v>1.3478380688139686E-2</v>
      </c>
      <c r="BI21" s="36">
        <f t="shared" si="2"/>
        <v>-6.4176771891808426E-2</v>
      </c>
      <c r="BJ21" s="15">
        <f t="shared" si="4"/>
        <v>8.9795637602391273E-2</v>
      </c>
    </row>
    <row r="22" spans="1:62" s="23" customFormat="1">
      <c r="A22" s="23">
        <f t="shared" si="16"/>
        <v>2017</v>
      </c>
      <c r="B22" s="23">
        <f t="shared" si="17"/>
        <v>1</v>
      </c>
      <c r="C22" s="24"/>
      <c r="D22" s="41">
        <v>102535854.50495079</v>
      </c>
      <c r="E22" s="24"/>
      <c r="F22" s="25">
        <v>18637105.296256471</v>
      </c>
      <c r="G22" s="41">
        <v>68797.311548627898</v>
      </c>
      <c r="H22" s="41">
        <v>378502.50965201209</v>
      </c>
      <c r="I22" s="41">
        <v>2127.7519035658042</v>
      </c>
      <c r="J22" s="41">
        <v>11706.263185113738</v>
      </c>
      <c r="K22" s="24"/>
      <c r="L22" s="41">
        <v>4044937.0903777201</v>
      </c>
      <c r="M22" s="25"/>
      <c r="N22" s="41">
        <v>770217.78778343275</v>
      </c>
      <c r="O22" s="24"/>
      <c r="P22" s="41">
        <v>25226623.201211601</v>
      </c>
      <c r="Q22" s="25"/>
      <c r="R22" s="41">
        <v>25226708.808189593</v>
      </c>
      <c r="S22" s="25"/>
      <c r="T22" s="41">
        <v>73552285.399063855</v>
      </c>
      <c r="U22" s="24"/>
      <c r="V22" s="41">
        <v>87135.567113885394</v>
      </c>
      <c r="W22" s="25"/>
      <c r="X22" s="41">
        <v>309842.97333581443</v>
      </c>
      <c r="Y22" s="24"/>
      <c r="Z22" s="24">
        <f t="shared" si="10"/>
        <v>1861584.2008858509</v>
      </c>
      <c r="AA22" s="24"/>
      <c r="AB22" s="24">
        <f t="shared" si="11"/>
        <v>-54210192.307098538</v>
      </c>
      <c r="AC22" s="12"/>
      <c r="AD22" s="24">
        <v>9157377218.4824009</v>
      </c>
      <c r="AE22" s="24">
        <v>172.09591728000001</v>
      </c>
      <c r="AF22" s="24">
        <f t="shared" si="12"/>
        <v>5321089171.2110472</v>
      </c>
      <c r="AG22" s="24"/>
      <c r="AH22" s="24"/>
      <c r="AI22" s="26">
        <f t="shared" si="13"/>
        <v>-1.0187800009139977E-2</v>
      </c>
      <c r="AJ22" s="27">
        <f t="shared" si="5"/>
        <v>2033</v>
      </c>
      <c r="AK22" s="28">
        <f>SUM(AB86:AB89)/AVERAGE(AF86:AF89)</f>
        <v>-5.2048190432488824E-2</v>
      </c>
      <c r="AL22" s="24">
        <v>12290543.444180701</v>
      </c>
      <c r="AM22" s="28">
        <f>AL22/AVERAGE(AF86:AF89)</f>
        <v>2.0605761182858964E-3</v>
      </c>
      <c r="AN22" s="28">
        <f>(AF89-AF85)/AF85</f>
        <v>-3.3837400823366181E-3</v>
      </c>
      <c r="AO22" s="28"/>
      <c r="AP22" s="24">
        <f t="shared" si="6"/>
        <v>601741910.06298196</v>
      </c>
      <c r="AQ22" s="24">
        <f t="shared" si="9"/>
        <v>282536561.1098302</v>
      </c>
      <c r="AR22" s="29">
        <f>AP22/AF89</f>
        <v>0.10103933176461724</v>
      </c>
      <c r="AS22" s="29">
        <f>AQ22/AF89</f>
        <v>4.7441111972111517E-2</v>
      </c>
      <c r="AU22" s="23">
        <v>11118502</v>
      </c>
      <c r="AW22" s="23">
        <f t="shared" si="14"/>
        <v>-1.3184109981602989E-2</v>
      </c>
      <c r="AX22" s="43">
        <v>6583.2437564605998</v>
      </c>
      <c r="AY22" s="26">
        <f t="shared" si="15"/>
        <v>1.5031102469176869E-2</v>
      </c>
      <c r="BC22" s="26">
        <f t="shared" si="7"/>
        <v>1.4257366119977584E-2</v>
      </c>
      <c r="BD22" s="23">
        <f t="shared" si="8"/>
        <v>2033</v>
      </c>
      <c r="BE22" s="26">
        <f>SUM(T86:T89)/AVERAGE(AF86:AF89)</f>
        <v>3.8278930313467151E-2</v>
      </c>
      <c r="BF22" s="26">
        <f>SUM(P86:P89)/AVERAGE(AF86:AF89)</f>
        <v>1.3145723493506791E-2</v>
      </c>
      <c r="BG22" s="26">
        <f>SUM(D86:D89)/AVERAGE(AF86:AF89)</f>
        <v>7.7181397252449185E-2</v>
      </c>
      <c r="BH22" s="26">
        <f>(SUM(H86:H89)+SUM(J86:J89))/AVERAGE(AF86:AF89)</f>
        <v>1.4773477614492103E-2</v>
      </c>
      <c r="BI22" s="28">
        <f t="shared" si="2"/>
        <v>-6.682166804698092E-2</v>
      </c>
      <c r="BJ22" s="15">
        <f t="shared" si="4"/>
        <v>9.1954874866941289E-2</v>
      </c>
    </row>
    <row r="23" spans="1:62" s="31" customFormat="1">
      <c r="A23" s="31">
        <f t="shared" si="16"/>
        <v>2017</v>
      </c>
      <c r="B23" s="31">
        <f t="shared" si="17"/>
        <v>2</v>
      </c>
      <c r="C23" s="32"/>
      <c r="D23" s="44">
        <v>109518708.34428991</v>
      </c>
      <c r="E23" s="32"/>
      <c r="F23" s="33">
        <v>19906321.639168486</v>
      </c>
      <c r="G23" s="44">
        <v>101425.135145915</v>
      </c>
      <c r="H23" s="44">
        <v>558011.16831997735</v>
      </c>
      <c r="I23" s="44">
        <v>3136.859849874003</v>
      </c>
      <c r="J23" s="44">
        <v>17258.077370722836</v>
      </c>
      <c r="K23" s="32"/>
      <c r="L23" s="44">
        <v>3730411.4550264599</v>
      </c>
      <c r="M23" s="33"/>
      <c r="N23" s="44">
        <v>825178.86208182573</v>
      </c>
      <c r="O23" s="32"/>
      <c r="P23" s="44">
        <v>23857466.354614001</v>
      </c>
      <c r="Q23" s="33"/>
      <c r="R23" s="44">
        <v>23897013.405811135</v>
      </c>
      <c r="S23" s="33"/>
      <c r="T23" s="44">
        <v>83466678.965852171</v>
      </c>
      <c r="U23" s="32"/>
      <c r="V23" s="44">
        <v>96012.055103505103</v>
      </c>
      <c r="W23" s="33"/>
      <c r="X23" s="44">
        <v>291117.69455178827</v>
      </c>
      <c r="Y23" s="32"/>
      <c r="Z23" s="32">
        <f t="shared" si="10"/>
        <v>-468886.49536212906</v>
      </c>
      <c r="AA23" s="32"/>
      <c r="AB23" s="32">
        <f t="shared" si="11"/>
        <v>-49909495.733051747</v>
      </c>
      <c r="AC23" s="12"/>
      <c r="AD23" s="32">
        <v>10595155405.883801</v>
      </c>
      <c r="AE23" s="32">
        <v>183.45579240999999</v>
      </c>
      <c r="AF23" s="32">
        <f t="shared" si="12"/>
        <v>5775318002.6090412</v>
      </c>
      <c r="AG23" s="32"/>
      <c r="AH23" s="32"/>
      <c r="AI23" s="34">
        <f t="shared" si="13"/>
        <v>-8.6418610560500351E-3</v>
      </c>
      <c r="AJ23" s="35">
        <f t="shared" si="5"/>
        <v>2034</v>
      </c>
      <c r="AK23" s="36">
        <f>SUM(AB90:AB93)/AVERAGE(AF90:AF93)</f>
        <v>-5.3001067107445156E-2</v>
      </c>
      <c r="AL23" s="32">
        <v>11181760.039850499</v>
      </c>
      <c r="AM23" s="36">
        <f>AL23/AVERAGE(AF90:AF93)</f>
        <v>1.8853777657024927E-3</v>
      </c>
      <c r="AN23" s="36">
        <f>(AF93-AF89)/AF89</f>
        <v>-7.8333183353344014E-3</v>
      </c>
      <c r="AO23" s="36"/>
      <c r="AP23" s="32">
        <f t="shared" si="6"/>
        <v>597028274.12574649</v>
      </c>
      <c r="AQ23" s="32">
        <f t="shared" si="9"/>
        <v>269181804.7964766</v>
      </c>
      <c r="AR23" s="37">
        <f>AP23/AF93</f>
        <v>0.10103933176461724</v>
      </c>
      <c r="AS23" s="37">
        <f>AQ23/AF93</f>
        <v>4.5555547129918987E-2</v>
      </c>
      <c r="AU23" s="31">
        <v>11135499</v>
      </c>
      <c r="AW23" s="31">
        <f t="shared" si="14"/>
        <v>1.5287131305997876E-3</v>
      </c>
      <c r="AX23" s="46">
        <v>6550.8123021846995</v>
      </c>
      <c r="AY23" s="34">
        <f t="shared" si="15"/>
        <v>-4.9263638831651925E-3</v>
      </c>
      <c r="BC23" s="34">
        <f t="shared" si="7"/>
        <v>1.1447696784155564E-2</v>
      </c>
      <c r="BD23" s="31">
        <f t="shared" si="8"/>
        <v>2034</v>
      </c>
      <c r="BE23" s="34">
        <f>SUM(T90:T93)/AVERAGE(AF90:AF93)</f>
        <v>3.8074662993331829E-2</v>
      </c>
      <c r="BF23" s="34">
        <f>SUM(P90:P93)/AVERAGE(AF90:AF93)</f>
        <v>1.3273056659255895E-2</v>
      </c>
      <c r="BG23" s="34">
        <f>SUM(D90:D93)/AVERAGE(AF90:AF93)</f>
        <v>7.7802673441521086E-2</v>
      </c>
      <c r="BH23" s="34">
        <f>(SUM(H90:H93)+SUM(J90:J93))/AVERAGE(AF90:AF93)</f>
        <v>1.6099150304949829E-2</v>
      </c>
      <c r="BI23" s="36">
        <f t="shared" si="2"/>
        <v>-6.9100217412394985E-2</v>
      </c>
      <c r="BJ23" s="15">
        <f t="shared" si="4"/>
        <v>9.3901823746470908E-2</v>
      </c>
    </row>
    <row r="24" spans="1:62" s="31" customFormat="1">
      <c r="A24" s="31">
        <f t="shared" si="16"/>
        <v>2017</v>
      </c>
      <c r="B24" s="31">
        <f t="shared" si="17"/>
        <v>3</v>
      </c>
      <c r="C24" s="32"/>
      <c r="D24" s="44">
        <v>104922235.93755201</v>
      </c>
      <c r="E24" s="32"/>
      <c r="F24" s="33">
        <v>19070858.369765729</v>
      </c>
      <c r="G24" s="44">
        <v>122030.702309969</v>
      </c>
      <c r="H24" s="44">
        <v>671376.9192314035</v>
      </c>
      <c r="I24" s="44">
        <v>3774.1454322670033</v>
      </c>
      <c r="J24" s="44">
        <v>20764.234615403795</v>
      </c>
      <c r="K24" s="32"/>
      <c r="L24" s="44">
        <v>3334119.1810467402</v>
      </c>
      <c r="M24" s="33"/>
      <c r="N24" s="44">
        <v>790802.2545061335</v>
      </c>
      <c r="O24" s="32"/>
      <c r="P24" s="44">
        <v>21577095.5497168</v>
      </c>
      <c r="Q24" s="33"/>
      <c r="R24" s="44">
        <v>21651520.960093699</v>
      </c>
      <c r="S24" s="33"/>
      <c r="T24" s="44">
        <v>74868222.933972165</v>
      </c>
      <c r="U24" s="32"/>
      <c r="V24" s="44">
        <v>104520.384366161</v>
      </c>
      <c r="W24" s="33"/>
      <c r="X24" s="44">
        <v>274843.82673443662</v>
      </c>
      <c r="Y24" s="32"/>
      <c r="Z24" s="32">
        <f t="shared" si="10"/>
        <v>-1439738.4608587399</v>
      </c>
      <c r="AA24" s="32"/>
      <c r="AB24" s="32">
        <f t="shared" si="11"/>
        <v>-51631108.553296641</v>
      </c>
      <c r="AC24" s="12"/>
      <c r="AD24" s="32">
        <v>10937239663.7218</v>
      </c>
      <c r="AE24" s="32">
        <v>191.50871928999999</v>
      </c>
      <c r="AF24" s="32">
        <f t="shared" si="12"/>
        <v>5711092269.986743</v>
      </c>
      <c r="AG24" s="32"/>
      <c r="AH24" s="32"/>
      <c r="AI24" s="34">
        <f t="shared" si="13"/>
        <v>-9.0404963030682201E-3</v>
      </c>
      <c r="AJ24" s="35">
        <f t="shared" si="5"/>
        <v>2035</v>
      </c>
      <c r="AK24" s="36">
        <f>SUM(AB94:AB97)/AVERAGE(AF94:AF97)</f>
        <v>-5.4003262492517919E-2</v>
      </c>
      <c r="AL24" s="32">
        <v>10119500.001017099</v>
      </c>
      <c r="AM24" s="36">
        <f>AL24/AVERAGE(AF94:AF97)</f>
        <v>1.7174403981911348E-3</v>
      </c>
      <c r="AN24" s="36">
        <f>(AF97-AF93)/AF93</f>
        <v>-3.4500529217432849E-3</v>
      </c>
      <c r="AO24" s="36"/>
      <c r="AP24" s="32">
        <f t="shared" si="6"/>
        <v>594968494.98423564</v>
      </c>
      <c r="AQ24" s="32">
        <f t="shared" si="9"/>
        <v>258149625.01328847</v>
      </c>
      <c r="AR24" s="37">
        <f>AP24/AF97</f>
        <v>0.10103933176461725</v>
      </c>
      <c r="AS24" s="37">
        <f>AQ24/AF97</f>
        <v>4.3839742484718107E-2</v>
      </c>
      <c r="AU24" s="31">
        <v>11142497</v>
      </c>
      <c r="AW24" s="31">
        <f t="shared" si="14"/>
        <v>6.2844062937817151E-4</v>
      </c>
      <c r="AX24" s="46">
        <v>6730.5417200480997</v>
      </c>
      <c r="AY24" s="34">
        <f t="shared" si="15"/>
        <v>2.7436203263442656E-2</v>
      </c>
      <c r="BC24" s="34">
        <f t="shared" si="7"/>
        <v>1.3325597807480554E-2</v>
      </c>
      <c r="BD24" s="31">
        <f t="shared" si="8"/>
        <v>2035</v>
      </c>
      <c r="BE24" s="34">
        <f>SUM(T94:T97)/AVERAGE(AF94:AF97)</f>
        <v>3.7649766530526256E-2</v>
      </c>
      <c r="BF24" s="34">
        <f>SUM(P94:P97)/AVERAGE(AF94:AF97)</f>
        <v>1.3184658523593839E-2</v>
      </c>
      <c r="BG24" s="34">
        <f>SUM(D94:D97)/AVERAGE(AF94:AF97)</f>
        <v>7.8468370499450338E-2</v>
      </c>
      <c r="BH24" s="34">
        <f>(SUM(H94:H97)+SUM(J94:J97))/AVERAGE(AF94:AF97)</f>
        <v>1.7471806837789015E-2</v>
      </c>
      <c r="BI24" s="36">
        <f t="shared" si="2"/>
        <v>-7.1475069330306937E-2</v>
      </c>
      <c r="BJ24" s="15">
        <f t="shared" si="4"/>
        <v>9.5940177337239349E-2</v>
      </c>
    </row>
    <row r="25" spans="1:62">
      <c r="A25" s="31">
        <f t="shared" si="16"/>
        <v>2017</v>
      </c>
      <c r="B25" s="31">
        <f t="shared" si="17"/>
        <v>4</v>
      </c>
      <c r="C25" s="32"/>
      <c r="D25" s="44">
        <v>114172200.85362665</v>
      </c>
      <c r="E25" s="32"/>
      <c r="F25" s="33">
        <v>20752148.987178367</v>
      </c>
      <c r="G25" s="44">
        <v>169001.86399123599</v>
      </c>
      <c r="H25" s="44">
        <v>929798.39206851413</v>
      </c>
      <c r="I25" s="44">
        <v>5226.8617729250109</v>
      </c>
      <c r="J25" s="44">
        <v>28756.651301089089</v>
      </c>
      <c r="K25" s="32"/>
      <c r="L25" s="44">
        <v>3810173.3554979502</v>
      </c>
      <c r="M25" s="33"/>
      <c r="N25" s="44">
        <v>862026.55930786952</v>
      </c>
      <c r="O25" s="32"/>
      <c r="P25" s="44">
        <v>24444612.964353502</v>
      </c>
      <c r="Q25" s="33"/>
      <c r="R25" s="44">
        <v>24513623.444839194</v>
      </c>
      <c r="S25" s="33"/>
      <c r="T25" s="44">
        <v>85879815.979887009</v>
      </c>
      <c r="U25" s="32"/>
      <c r="V25" s="44">
        <v>107997.833010581</v>
      </c>
      <c r="W25" s="33"/>
      <c r="X25" s="44">
        <v>266549.31688610336</v>
      </c>
      <c r="Y25" s="32"/>
      <c r="Z25" s="32">
        <f t="shared" si="10"/>
        <v>-802727.62413441017</v>
      </c>
      <c r="AA25" s="32"/>
      <c r="AB25" s="32">
        <f t="shared" si="11"/>
        <v>-52736997.838093147</v>
      </c>
      <c r="AC25" s="12"/>
      <c r="AD25" s="32">
        <v>11544217084.2855</v>
      </c>
      <c r="AE25" s="32">
        <v>200.87293846</v>
      </c>
      <c r="AF25" s="32">
        <f t="shared" si="12"/>
        <v>5747024548.3486614</v>
      </c>
      <c r="AG25" s="32"/>
      <c r="AH25" s="32"/>
      <c r="AI25" s="34">
        <f t="shared" si="13"/>
        <v>-9.1764003084424776E-3</v>
      </c>
      <c r="AJ25" s="35">
        <f t="shared" si="5"/>
        <v>2036</v>
      </c>
      <c r="AK25" s="36">
        <f>SUM(AB98:AB101)/AVERAGE(AF98:AF101)</f>
        <v>-5.3942101989231876E-2</v>
      </c>
      <c r="AL25" s="32">
        <v>9115069.2561818492</v>
      </c>
      <c r="AM25" s="36">
        <f>AL25/AVERAGE(AF98:AF101)</f>
        <v>1.5462767636005988E-3</v>
      </c>
      <c r="AN25" s="36">
        <f>(AF101-AF97)/AF97</f>
        <v>-1.9570316036831015E-3</v>
      </c>
      <c r="AO25" s="36"/>
      <c r="AP25" s="32">
        <f t="shared" si="6"/>
        <v>593804122.83635569</v>
      </c>
      <c r="AQ25" s="32">
        <f t="shared" si="9"/>
        <v>248537527.64367008</v>
      </c>
      <c r="AR25" s="37">
        <f>AP25/AF101</f>
        <v>0.10103933176461724</v>
      </c>
      <c r="AS25" s="37">
        <f>AQ25/AF101</f>
        <v>4.2290150481941083E-2</v>
      </c>
      <c r="AT25" s="31"/>
      <c r="AU25" s="31">
        <v>11181611</v>
      </c>
      <c r="AV25" s="31"/>
      <c r="AW25" s="31">
        <f t="shared" si="14"/>
        <v>3.5103442253563094E-3</v>
      </c>
      <c r="AX25" s="46">
        <v>6722.1339140824002</v>
      </c>
      <c r="AY25" s="34">
        <f t="shared" si="15"/>
        <v>-1.2492019684916826E-3</v>
      </c>
      <c r="AZ25" s="31">
        <v>100</v>
      </c>
      <c r="BA25">
        <v>100</v>
      </c>
      <c r="BC25" s="34">
        <f t="shared" si="7"/>
        <v>1.1397680889881107E-2</v>
      </c>
      <c r="BD25" s="31">
        <f t="shared" si="8"/>
        <v>2036</v>
      </c>
      <c r="BE25" s="34">
        <f>SUM(T98:T101)/AVERAGE(AF98:AF101)</f>
        <v>3.7357526028528626E-2</v>
      </c>
      <c r="BF25" s="34">
        <f>SUM(P98:P101)/AVERAGE(AF98:AF101)</f>
        <v>1.3082084888301008E-2</v>
      </c>
      <c r="BG25" s="34">
        <f>SUM(D98:D101)/AVERAGE(AF98:AF101)</f>
        <v>7.8217543129459499E-2</v>
      </c>
      <c r="BH25" s="34">
        <f>(SUM(H98:H101)+SUM(J98:J101))/AVERAGE(AF98:AF101)</f>
        <v>1.8792443246906328E-2</v>
      </c>
      <c r="BI25" s="36">
        <f t="shared" si="2"/>
        <v>-7.2734545236138204E-2</v>
      </c>
      <c r="BJ25" s="15">
        <f t="shared" si="4"/>
        <v>9.700998637636582E-2</v>
      </c>
    </row>
    <row r="26" spans="1:62" s="23" customFormat="1">
      <c r="A26" s="23">
        <f t="shared" si="16"/>
        <v>2018</v>
      </c>
      <c r="B26" s="23">
        <f t="shared" si="17"/>
        <v>1</v>
      </c>
      <c r="C26" s="24">
        <f>D26*0.081</f>
        <v>8665935.1456223018</v>
      </c>
      <c r="D26" s="41">
        <v>106986853.64965804</v>
      </c>
      <c r="E26" s="24"/>
      <c r="F26" s="25">
        <v>19446127.078285422</v>
      </c>
      <c r="G26" s="41">
        <v>181129.380965877</v>
      </c>
      <c r="H26" s="41">
        <v>996520.4122669989</v>
      </c>
      <c r="I26" s="41">
        <v>5601.9396175020083</v>
      </c>
      <c r="J26" s="41">
        <v>30820.218936096368</v>
      </c>
      <c r="K26" s="24"/>
      <c r="L26" s="41">
        <v>4075268.3892818098</v>
      </c>
      <c r="M26" s="25"/>
      <c r="N26" s="41">
        <v>810490.33981269598</v>
      </c>
      <c r="O26" s="24"/>
      <c r="P26" s="41">
        <v>25636070.112070799</v>
      </c>
      <c r="Q26" s="25"/>
      <c r="R26" s="41">
        <v>25605665.761332996</v>
      </c>
      <c r="S26" s="25"/>
      <c r="T26" s="41">
        <v>69697186.309080452</v>
      </c>
      <c r="U26" s="24"/>
      <c r="V26" s="41">
        <v>93350.920900574594</v>
      </c>
      <c r="W26" s="25"/>
      <c r="X26" s="41">
        <v>291300.70075234747</v>
      </c>
      <c r="Y26" s="24"/>
      <c r="Z26" s="24">
        <f t="shared" si="10"/>
        <v>1367130.8748536445</v>
      </c>
      <c r="AA26" s="24"/>
      <c r="AB26" s="24">
        <f t="shared" si="11"/>
        <v>-62925737.452648386</v>
      </c>
      <c r="AC26" s="12"/>
      <c r="AD26" s="24"/>
      <c r="AE26" s="24"/>
      <c r="AF26" s="24">
        <f>BA26/100*AF25</f>
        <v>5687221153.9923506</v>
      </c>
      <c r="AG26" s="26">
        <f t="shared" ref="AG26:AG89" si="18">(AF26-AF25)/AF25</f>
        <v>-1.0405975101236453E-2</v>
      </c>
      <c r="AH26" s="26"/>
      <c r="AI26" s="26">
        <f t="shared" si="13"/>
        <v>-1.1064408390110764E-2</v>
      </c>
      <c r="AJ26" s="27">
        <f t="shared" si="5"/>
        <v>2037</v>
      </c>
      <c r="AK26" s="28">
        <f>SUM(AB102:AB105)/AVERAGE(AF102:AF105)</f>
        <v>-5.4622669283462398E-2</v>
      </c>
      <c r="AL26" s="24">
        <v>8164968.2437079297</v>
      </c>
      <c r="AM26" s="28">
        <f>AL26/AVERAGE(AF102:AF105)</f>
        <v>1.3966801302395615E-3</v>
      </c>
      <c r="AN26" s="28">
        <f>(AF105-AF101)/AF101</f>
        <v>-1.3395520368464215E-2</v>
      </c>
      <c r="AO26" s="28"/>
      <c r="AP26" s="24">
        <f t="shared" si="6"/>
        <v>585849807.61402321</v>
      </c>
      <c r="AQ26" s="24">
        <f t="shared" si="9"/>
        <v>237093521.69998229</v>
      </c>
      <c r="AR26" s="29">
        <f>AP26/AF105</f>
        <v>0.10103933176461724</v>
      </c>
      <c r="AS26" s="29">
        <f>AQ26/AF105</f>
        <v>4.0890635597970224E-2</v>
      </c>
      <c r="AU26" s="23">
        <v>11195427</v>
      </c>
      <c r="AW26" s="23">
        <f t="shared" si="14"/>
        <v>1.2356001295341073E-3</v>
      </c>
      <c r="AX26" s="43">
        <v>6643.9742604884004</v>
      </c>
      <c r="AY26" s="26">
        <f t="shared" si="15"/>
        <v>-1.162720865025625E-2</v>
      </c>
      <c r="AZ26" s="23">
        <f t="shared" ref="AZ26:AZ57" si="19">AZ25*((1+AY26))</f>
        <v>98.837279134974381</v>
      </c>
      <c r="BA26" s="23">
        <f>BA25*(1+AW26)*(1+AY26)</f>
        <v>98.959402489876354</v>
      </c>
      <c r="BC26" s="26">
        <f t="shared" si="7"/>
        <v>1.332102339280776E-2</v>
      </c>
      <c r="BD26" s="23">
        <f t="shared" si="8"/>
        <v>2037</v>
      </c>
      <c r="BE26" s="26">
        <f>SUM(T102:T105)/AVERAGE(AF102:AF105)</f>
        <v>3.709384629649428E-2</v>
      </c>
      <c r="BF26" s="26">
        <f>SUM(P102:P105)/AVERAGE(AF102:AF105)</f>
        <v>1.3014982310585706E-2</v>
      </c>
      <c r="BG26" s="26">
        <f>SUM(D102:D105)/AVERAGE(AF102:AF105)</f>
        <v>7.8701533269370974E-2</v>
      </c>
      <c r="BH26" s="26">
        <f>(SUM(H102:H105)+SUM(J102:J105))/AVERAGE(AF102:AF105)</f>
        <v>2.0339091492911396E-2</v>
      </c>
      <c r="BI26" s="28">
        <f t="shared" si="2"/>
        <v>-7.4961760776373787E-2</v>
      </c>
      <c r="BJ26" s="15">
        <f t="shared" si="4"/>
        <v>9.904062476228237E-2</v>
      </c>
    </row>
    <row r="27" spans="1:62" s="31" customFormat="1">
      <c r="A27" s="31">
        <f t="shared" si="16"/>
        <v>2018</v>
      </c>
      <c r="B27" s="31">
        <f t="shared" si="17"/>
        <v>2</v>
      </c>
      <c r="C27" s="32">
        <f>D27*0.081</f>
        <v>8566029.0756317098</v>
      </c>
      <c r="D27" s="44">
        <v>105753445.37816925</v>
      </c>
      <c r="E27" s="32"/>
      <c r="F27" s="33">
        <v>19221940.524811093</v>
      </c>
      <c r="G27" s="44">
        <v>211644.66520650801</v>
      </c>
      <c r="H27" s="44">
        <v>1164406.5026945206</v>
      </c>
      <c r="I27" s="44">
        <v>6545.7112950469891</v>
      </c>
      <c r="J27" s="44">
        <v>36012.572248286066</v>
      </c>
      <c r="K27" s="32"/>
      <c r="L27" s="44">
        <v>3035742.35236284</v>
      </c>
      <c r="M27" s="33"/>
      <c r="N27" s="44">
        <v>802459.23277335241</v>
      </c>
      <c r="O27" s="32"/>
      <c r="P27" s="44">
        <v>20704098.345006101</v>
      </c>
      <c r="Q27" s="33"/>
      <c r="R27" s="44">
        <v>20167375.432690784</v>
      </c>
      <c r="S27" s="33"/>
      <c r="T27" s="44">
        <v>80611793.450282112</v>
      </c>
      <c r="U27" s="32"/>
      <c r="V27" s="44">
        <v>96330.000568898206</v>
      </c>
      <c r="W27" s="33"/>
      <c r="X27" s="44">
        <v>292767.70014149946</v>
      </c>
      <c r="Y27" s="32"/>
      <c r="Z27" s="32">
        <f t="shared" si="10"/>
        <v>-2796436.6766876038</v>
      </c>
      <c r="AA27" s="32"/>
      <c r="AB27" s="32">
        <f t="shared" si="11"/>
        <v>-45845750.272893243</v>
      </c>
      <c r="AC27" s="12"/>
      <c r="AD27" s="32"/>
      <c r="AE27" s="32"/>
      <c r="AF27" s="32">
        <f>BA27/100*AF25</f>
        <v>5699009265.5698023</v>
      </c>
      <c r="AG27" s="34">
        <f t="shared" si="18"/>
        <v>2.0727366244895568E-3</v>
      </c>
      <c r="AH27" s="34"/>
      <c r="AI27" s="34">
        <f t="shared" si="13"/>
        <v>-8.0445123242503559E-3</v>
      </c>
      <c r="AJ27" s="35">
        <f t="shared" si="5"/>
        <v>2038</v>
      </c>
      <c r="AK27" s="36">
        <f>SUM(AB106:AB109)/AVERAGE(AF106:AF109)</f>
        <v>-5.4416703255344354E-2</v>
      </c>
      <c r="AL27" s="32">
        <v>7266828.1525988802</v>
      </c>
      <c r="AM27" s="36">
        <f>AL27/AVERAGE(AF106:AF109)</f>
        <v>1.2442857587779252E-3</v>
      </c>
      <c r="AN27" s="36">
        <f>(AF109-AF105)/AF105</f>
        <v>6.5120254485383292E-3</v>
      </c>
      <c r="AO27" s="36"/>
      <c r="AP27" s="32">
        <f t="shared" si="6"/>
        <v>589664876.470227</v>
      </c>
      <c r="AQ27" s="32">
        <f t="shared" si="9"/>
        <v>231348988.86887887</v>
      </c>
      <c r="AR27" s="37">
        <f>AP27/AF109</f>
        <v>0.10103933176461724</v>
      </c>
      <c r="AS27" s="37">
        <f>AQ27/AF109</f>
        <v>3.9641749360514345E-2</v>
      </c>
      <c r="AU27" s="31">
        <v>11278619</v>
      </c>
      <c r="AW27" s="31">
        <f t="shared" si="14"/>
        <v>7.4308912022739287E-3</v>
      </c>
      <c r="AX27" s="46">
        <v>6608.6374037279002</v>
      </c>
      <c r="AY27" s="34">
        <f t="shared" si="15"/>
        <v>-5.3186323990819682E-3</v>
      </c>
      <c r="AZ27" s="31">
        <f t="shared" si="19"/>
        <v>98.311599979930008</v>
      </c>
      <c r="BA27" s="31">
        <f t="shared" ref="BA27:BA90" si="20">BA26*(1+AW27)*(1+AY27)</f>
        <v>99.164519267754727</v>
      </c>
      <c r="BC27" s="34">
        <f t="shared" si="7"/>
        <v>1.0666613903022305E-2</v>
      </c>
      <c r="BD27" s="31">
        <f t="shared" si="8"/>
        <v>2038</v>
      </c>
      <c r="BE27" s="34">
        <f>SUM(T106:T109)/AVERAGE(AF106:AF109)</f>
        <v>3.6844704963207429E-2</v>
      </c>
      <c r="BF27" s="34">
        <f>SUM(P106:P109)/AVERAGE(AF106:AF109)</f>
        <v>1.3054803508162507E-2</v>
      </c>
      <c r="BG27" s="34">
        <f>SUM(D106:D109)/AVERAGE(AF106:AF109)</f>
        <v>7.8206604710389274E-2</v>
      </c>
      <c r="BH27" s="34">
        <f>(SUM(H106:H109)+SUM(J106:J109))/AVERAGE(AF106:AF109)</f>
        <v>2.1751250651505065E-2</v>
      </c>
      <c r="BI27" s="36">
        <f t="shared" si="2"/>
        <v>-7.6167953906849412E-2</v>
      </c>
      <c r="BJ27" s="15">
        <f t="shared" si="4"/>
        <v>9.9957855361894332E-2</v>
      </c>
    </row>
    <row r="28" spans="1:62" s="31" customFormat="1">
      <c r="A28" s="31">
        <f t="shared" si="16"/>
        <v>2018</v>
      </c>
      <c r="B28" s="31">
        <f t="shared" si="17"/>
        <v>3</v>
      </c>
      <c r="C28" s="32">
        <f>D28*0.081</f>
        <v>8497868.0866525788</v>
      </c>
      <c r="D28" s="44">
        <v>104911951.68706888</v>
      </c>
      <c r="E28" s="32"/>
      <c r="F28" s="33">
        <v>19068989.085503433</v>
      </c>
      <c r="G28" s="44">
        <v>236532.20226296899</v>
      </c>
      <c r="H28" s="44">
        <v>1301330.3885686018</v>
      </c>
      <c r="I28" s="44">
        <v>7315.4289359679969</v>
      </c>
      <c r="J28" s="44">
        <v>40247.331605213847</v>
      </c>
      <c r="K28" s="32"/>
      <c r="L28" s="44">
        <v>2894836.52334709</v>
      </c>
      <c r="M28" s="33"/>
      <c r="N28" s="44">
        <v>797806.30737803131</v>
      </c>
      <c r="O28" s="32"/>
      <c r="P28" s="44">
        <v>20630643.340531498</v>
      </c>
      <c r="Q28" s="33"/>
      <c r="R28" s="44">
        <v>19410615.393399805</v>
      </c>
      <c r="S28" s="33"/>
      <c r="T28" s="44">
        <v>71436187.330240965</v>
      </c>
      <c r="U28" s="32"/>
      <c r="V28" s="44">
        <v>96581.086778893397</v>
      </c>
      <c r="W28" s="33"/>
      <c r="X28" s="44">
        <v>218859.42270899663</v>
      </c>
      <c r="Y28" s="32"/>
      <c r="Z28" s="32">
        <f t="shared" si="10"/>
        <v>-3254435.4360498562</v>
      </c>
      <c r="AA28" s="32"/>
      <c r="AB28" s="32">
        <f t="shared" si="11"/>
        <v>-54106407.697359413</v>
      </c>
      <c r="AC28" s="12"/>
      <c r="AD28" s="32"/>
      <c r="AE28" s="32"/>
      <c r="AF28" s="32">
        <f>BA28/100*AF25</f>
        <v>5768821815.6217031</v>
      </c>
      <c r="AG28" s="34">
        <f t="shared" si="18"/>
        <v>1.2249944998978839E-2</v>
      </c>
      <c r="AH28" s="34"/>
      <c r="AI28" s="34">
        <f t="shared" si="13"/>
        <v>-9.3791088417468117E-3</v>
      </c>
      <c r="AJ28" s="35">
        <f t="shared" si="5"/>
        <v>2039</v>
      </c>
      <c r="AK28" s="36">
        <f>SUM(AB110:AB113)/AVERAGE(AF110:AF113)</f>
        <v>-5.4728840409096736E-2</v>
      </c>
      <c r="AL28" s="32">
        <v>6451162.1295895996</v>
      </c>
      <c r="AM28" s="36">
        <f>AL28/AVERAGE(AF110:AF113)</f>
        <v>1.1099350993262413E-3</v>
      </c>
      <c r="AN28" s="36">
        <f>(AF113-AF109)/AF109</f>
        <v>-7.5041136390659371E-3</v>
      </c>
      <c r="AO28" s="36"/>
      <c r="AP28" s="32">
        <f t="shared" si="6"/>
        <v>585239964.22822869</v>
      </c>
      <c r="AQ28" s="32">
        <f t="shared" si="9"/>
        <v>223183975.84560204</v>
      </c>
      <c r="AR28" s="37">
        <f>AP28/AF113</f>
        <v>0.10103933176461724</v>
      </c>
      <c r="AS28" s="37">
        <f>AQ28/AF113</f>
        <v>3.8531817986401283E-2</v>
      </c>
      <c r="AU28" s="31">
        <v>11305467</v>
      </c>
      <c r="AW28" s="31">
        <f t="shared" si="14"/>
        <v>2.3804332782231584E-3</v>
      </c>
      <c r="AX28" s="46">
        <v>6673.7065353159996</v>
      </c>
      <c r="AY28" s="34">
        <f t="shared" si="15"/>
        <v>9.8460737990246367E-3</v>
      </c>
      <c r="AZ28" s="31">
        <f t="shared" si="19"/>
        <v>99.279583248632591</v>
      </c>
      <c r="BA28" s="31">
        <f t="shared" si="20"/>
        <v>100.3792791746349</v>
      </c>
      <c r="BC28" s="34">
        <f t="shared" si="7"/>
        <v>1.2478853481435173E-2</v>
      </c>
      <c r="BD28" s="31">
        <f t="shared" si="8"/>
        <v>2039</v>
      </c>
      <c r="BE28" s="34">
        <f>SUM(T110:T113)/AVERAGE(AF110:AF113)</f>
        <v>3.6964393063674023E-2</v>
      </c>
      <c r="BF28" s="34">
        <f>SUM(P110:P113)/AVERAGE(AF110:AF113)</f>
        <v>1.3011227698425451E-2</v>
      </c>
      <c r="BG28" s="34">
        <f>SUM(D110:D113)/AVERAGE(AF110:AF113)</f>
        <v>7.8682005774345296E-2</v>
      </c>
      <c r="BH28" s="34">
        <f>(SUM(H110:H113)+SUM(J110:J113))/AVERAGE(AF110:AF113)</f>
        <v>2.3332521211375131E-2</v>
      </c>
      <c r="BI28" s="36">
        <f t="shared" si="2"/>
        <v>-7.8061361620471864E-2</v>
      </c>
      <c r="BJ28" s="15">
        <f t="shared" si="4"/>
        <v>0.10201452698572043</v>
      </c>
    </row>
    <row r="29" spans="1:62" s="31" customFormat="1">
      <c r="A29" s="31">
        <f t="shared" si="16"/>
        <v>2018</v>
      </c>
      <c r="B29" s="31">
        <f t="shared" si="17"/>
        <v>4</v>
      </c>
      <c r="C29" s="32">
        <f>D29*0.081</f>
        <v>8526595.0541750472</v>
      </c>
      <c r="D29" s="44">
        <v>105266605.60709934</v>
      </c>
      <c r="E29" s="32"/>
      <c r="F29" s="33">
        <v>19133451.633587223</v>
      </c>
      <c r="G29" s="44">
        <v>250323.649637475</v>
      </c>
      <c r="H29" s="44">
        <v>1377206.8628883064</v>
      </c>
      <c r="I29" s="44">
        <v>7741.9685454890132</v>
      </c>
      <c r="J29" s="44">
        <v>42594.026687267731</v>
      </c>
      <c r="K29" s="32"/>
      <c r="L29" s="44">
        <v>2968017.0248672301</v>
      </c>
      <c r="M29" s="33"/>
      <c r="N29" s="44">
        <v>801738.96730751172</v>
      </c>
      <c r="O29" s="32"/>
      <c r="P29" s="44">
        <v>21462304.577316701</v>
      </c>
      <c r="Q29" s="33"/>
      <c r="R29" s="44">
        <v>19811985.698283013</v>
      </c>
      <c r="S29" s="33"/>
      <c r="T29" s="44">
        <v>82303817.345959246</v>
      </c>
      <c r="U29" s="32"/>
      <c r="V29" s="44">
        <v>104614.703701447</v>
      </c>
      <c r="W29" s="33"/>
      <c r="X29" s="44">
        <v>241154.60137642204</v>
      </c>
      <c r="Y29" s="32"/>
      <c r="Z29" s="32">
        <f t="shared" si="10"/>
        <v>-2986607.2237775028</v>
      </c>
      <c r="AA29" s="32"/>
      <c r="AB29" s="32">
        <f t="shared" si="11"/>
        <v>-44425092.838456795</v>
      </c>
      <c r="AC29" s="12"/>
      <c r="AD29" s="32"/>
      <c r="AE29" s="32"/>
      <c r="AF29" s="32">
        <f>BA29/100*AF25</f>
        <v>5772722440.6921978</v>
      </c>
      <c r="AG29" s="34">
        <f t="shared" si="18"/>
        <v>6.7615627508756451E-4</v>
      </c>
      <c r="AH29" s="34"/>
      <c r="AI29" s="34">
        <f t="shared" si="13"/>
        <v>-7.6956918152347288E-3</v>
      </c>
      <c r="AJ29" s="35">
        <f t="shared" si="5"/>
        <v>2040</v>
      </c>
      <c r="AK29" s="36">
        <f>SUM(AB114:AB117)/AVERAGE(AF114:AF117)</f>
        <v>-5.4480906594842643E-2</v>
      </c>
      <c r="AL29" s="32">
        <v>5687417.6385677503</v>
      </c>
      <c r="AM29" s="36">
        <f>AL29/AVERAGE(AF114:AF117)</f>
        <v>9.8166571489020481E-4</v>
      </c>
      <c r="AN29" s="36">
        <f>(AF117-AF113)/AF113</f>
        <v>-7.5652219559244982E-4</v>
      </c>
      <c r="AO29" s="36"/>
      <c r="AP29" s="32">
        <f t="shared" si="6"/>
        <v>584797217.20554233</v>
      </c>
      <c r="AQ29" s="32">
        <f t="shared" si="9"/>
        <v>217329686.89651588</v>
      </c>
      <c r="AR29" s="37">
        <f>AP29/AF117</f>
        <v>0.10103933176461724</v>
      </c>
      <c r="AS29" s="37">
        <f>AQ29/AF117</f>
        <v>3.7549505521876386E-2</v>
      </c>
      <c r="AU29" s="31">
        <v>11298518</v>
      </c>
      <c r="AW29" s="31">
        <f t="shared" si="14"/>
        <v>-6.1465837722581474E-4</v>
      </c>
      <c r="AX29" s="46">
        <v>6682.3263517393998</v>
      </c>
      <c r="AY29" s="34">
        <f t="shared" si="15"/>
        <v>1.2916085503289223E-3</v>
      </c>
      <c r="AZ29" s="31">
        <f t="shared" si="19"/>
        <v>99.407813607229613</v>
      </c>
      <c r="BA29" s="31">
        <f t="shared" si="20"/>
        <v>100.44715125413759</v>
      </c>
      <c r="BC29" s="34">
        <f t="shared" si="7"/>
        <v>1.0653954916956736E-2</v>
      </c>
      <c r="BD29" s="31">
        <f t="shared" si="8"/>
        <v>2040</v>
      </c>
      <c r="BE29" s="34">
        <f>SUM(T114:T117)/AVERAGE(AF114:AF117)</f>
        <v>3.6901375728621039E-2</v>
      </c>
      <c r="BF29" s="34">
        <f>SUM(P114:P117)/AVERAGE(AF114:AF117)</f>
        <v>1.2878916908743002E-2</v>
      </c>
      <c r="BG29" s="34">
        <f>SUM(D114:D117)/AVERAGE(AF114:AF117)</f>
        <v>7.8503365414720666E-2</v>
      </c>
      <c r="BH29" s="34">
        <f>(SUM(H114:H117)+SUM(J114:J117))/AVERAGE(AF114:AF117)</f>
        <v>2.4867121547668875E-2</v>
      </c>
      <c r="BI29" s="36">
        <f t="shared" si="2"/>
        <v>-7.9348028142511517E-2</v>
      </c>
      <c r="BJ29" s="15">
        <f t="shared" si="4"/>
        <v>0.10337048696238954</v>
      </c>
    </row>
    <row r="30" spans="1:62" s="23" customFormat="1">
      <c r="A30" s="23">
        <f t="shared" si="16"/>
        <v>2019</v>
      </c>
      <c r="B30" s="23">
        <f t="shared" si="17"/>
        <v>1</v>
      </c>
      <c r="C30" s="24"/>
      <c r="D30" s="41">
        <v>106009309.73047814</v>
      </c>
      <c r="E30" s="24"/>
      <c r="F30" s="25">
        <v>19268446.899567146</v>
      </c>
      <c r="G30" s="41">
        <v>280668.754719252</v>
      </c>
      <c r="H30" s="41">
        <v>1544156.6777947827</v>
      </c>
      <c r="I30" s="41">
        <v>8680.476950079028</v>
      </c>
      <c r="J30" s="41">
        <v>47757.423024575786</v>
      </c>
      <c r="K30" s="24"/>
      <c r="L30" s="41">
        <v>3405203.2196145402</v>
      </c>
      <c r="M30" s="25"/>
      <c r="N30" s="41">
        <v>808838.78026132286</v>
      </c>
      <c r="O30" s="24"/>
      <c r="P30" s="41">
        <v>24105867.287214998</v>
      </c>
      <c r="Q30" s="25"/>
      <c r="R30" s="41">
        <v>22119608.017210927</v>
      </c>
      <c r="S30" s="25"/>
      <c r="T30" s="41">
        <v>66692243.469727814</v>
      </c>
      <c r="U30" s="24"/>
      <c r="V30" s="41">
        <v>103309.89747295</v>
      </c>
      <c r="W30" s="25"/>
      <c r="X30" s="41">
        <v>262525.07146482059</v>
      </c>
      <c r="Y30" s="24"/>
      <c r="Z30" s="24">
        <f t="shared" si="10"/>
        <v>-1259570.9847591296</v>
      </c>
      <c r="AA30" s="24"/>
      <c r="AB30" s="24">
        <f t="shared" si="11"/>
        <v>-63422933.547965318</v>
      </c>
      <c r="AC30" s="12"/>
      <c r="AD30" s="24"/>
      <c r="AE30" s="24"/>
      <c r="AF30" s="24">
        <f>BA30/100*AF25</f>
        <v>5825821973.3802414</v>
      </c>
      <c r="AG30" s="26">
        <f t="shared" si="18"/>
        <v>9.1983519446115127E-3</v>
      </c>
      <c r="AH30" s="26"/>
      <c r="AI30" s="26">
        <f t="shared" si="13"/>
        <v>-1.0886521050207487E-2</v>
      </c>
      <c r="AL30" s="24"/>
      <c r="AQ30" s="39">
        <f>(AQ29-AQ6)/AQ6</f>
        <v>-0.62572955220065785</v>
      </c>
      <c r="AU30" s="23">
        <v>11397825</v>
      </c>
      <c r="AW30" s="23">
        <f t="shared" si="14"/>
        <v>8.7893828199415176E-3</v>
      </c>
      <c r="AX30" s="43">
        <v>6685.0354059833999</v>
      </c>
      <c r="AY30" s="26">
        <f t="shared" si="15"/>
        <v>4.0540585739200078E-4</v>
      </c>
      <c r="AZ30" s="23">
        <f t="shared" si="19"/>
        <v>99.448114117136512</v>
      </c>
      <c r="BA30" s="23">
        <f t="shared" si="20"/>
        <v>101.37109950320676</v>
      </c>
      <c r="BC30" s="26">
        <f t="shared" si="7"/>
        <v>1.2400995996653211E-2</v>
      </c>
    </row>
    <row r="31" spans="1:62" s="31" customFormat="1">
      <c r="A31" s="31">
        <f t="shared" si="16"/>
        <v>2019</v>
      </c>
      <c r="B31" s="31">
        <f t="shared" si="17"/>
        <v>2</v>
      </c>
      <c r="C31" s="32"/>
      <c r="D31" s="44">
        <v>106927601.22281481</v>
      </c>
      <c r="E31" s="32"/>
      <c r="F31" s="33">
        <v>19435357.248322356</v>
      </c>
      <c r="G31" s="44">
        <v>301840.05326514499</v>
      </c>
      <c r="H31" s="44">
        <v>1660634.9158513439</v>
      </c>
      <c r="I31" s="44">
        <v>9335.2593793339911</v>
      </c>
      <c r="J31" s="44">
        <v>51359.842758286839</v>
      </c>
      <c r="K31" s="32"/>
      <c r="L31" s="44">
        <v>2846446.4047988602</v>
      </c>
      <c r="M31" s="33"/>
      <c r="N31" s="44">
        <v>816380.63461706415</v>
      </c>
      <c r="O31" s="32"/>
      <c r="P31" s="44">
        <v>21187641.400616601</v>
      </c>
      <c r="Q31" s="33"/>
      <c r="R31" s="44">
        <v>19261709.306372724</v>
      </c>
      <c r="S31" s="33"/>
      <c r="T31" s="44">
        <v>77679830.954781815</v>
      </c>
      <c r="U31" s="32"/>
      <c r="V31" s="44">
        <v>102632.68112876901</v>
      </c>
      <c r="W31" s="33"/>
      <c r="X31" s="44">
        <v>271259.41988333984</v>
      </c>
      <c r="Y31" s="32"/>
      <c r="Z31" s="32">
        <f t="shared" si="10"/>
        <v>-3733842.3002367858</v>
      </c>
      <c r="AA31" s="32"/>
      <c r="AB31" s="32">
        <f t="shared" si="11"/>
        <v>-50435411.668649599</v>
      </c>
      <c r="AC31" s="12"/>
      <c r="AD31" s="32"/>
      <c r="AE31" s="32"/>
      <c r="AF31" s="32">
        <f>BA31/100*AF25</f>
        <v>5829369314.3863983</v>
      </c>
      <c r="AG31" s="34">
        <f t="shared" si="18"/>
        <v>6.0889965782780242E-4</v>
      </c>
      <c r="AH31" s="34"/>
      <c r="AI31" s="34">
        <f t="shared" si="13"/>
        <v>-8.6519499706733619E-3</v>
      </c>
      <c r="AU31" s="31">
        <v>11388578</v>
      </c>
      <c r="AW31" s="31">
        <f t="shared" si="14"/>
        <v>-8.1129513744946952E-4</v>
      </c>
      <c r="AX31" s="46">
        <v>6694.5371672059</v>
      </c>
      <c r="AY31" s="34">
        <f t="shared" si="15"/>
        <v>1.421347927940014E-3</v>
      </c>
      <c r="AZ31" s="31">
        <f t="shared" si="19"/>
        <v>99.589464488074441</v>
      </c>
      <c r="BA31" s="31">
        <f t="shared" si="20"/>
        <v>101.43282433100791</v>
      </c>
      <c r="BC31" s="34">
        <f t="shared" si="7"/>
        <v>9.8821908205032772E-3</v>
      </c>
    </row>
    <row r="32" spans="1:62" s="31" customFormat="1">
      <c r="A32" s="31">
        <f t="shared" si="16"/>
        <v>2019</v>
      </c>
      <c r="B32" s="31">
        <f t="shared" si="17"/>
        <v>3</v>
      </c>
      <c r="C32" s="32">
        <f>SUM(C26:C29)</f>
        <v>34256427.362081639</v>
      </c>
      <c r="D32" s="44">
        <v>107598279.43480735</v>
      </c>
      <c r="E32" s="32"/>
      <c r="F32" s="33">
        <v>19557260.952320907</v>
      </c>
      <c r="G32" s="44">
        <v>330317.92338828999</v>
      </c>
      <c r="H32" s="44">
        <v>1817311.7549388069</v>
      </c>
      <c r="I32" s="44">
        <v>10216.018249123008</v>
      </c>
      <c r="J32" s="44">
        <v>56205.518193987227</v>
      </c>
      <c r="K32" s="32"/>
      <c r="L32" s="44">
        <v>2798864.5978540601</v>
      </c>
      <c r="M32" s="33"/>
      <c r="N32" s="44">
        <v>822852.16964378208</v>
      </c>
      <c r="O32" s="32"/>
      <c r="P32" s="44">
        <v>20783188.204764899</v>
      </c>
      <c r="Q32" s="33"/>
      <c r="R32" s="44">
        <v>19050411.560247239</v>
      </c>
      <c r="S32" s="33"/>
      <c r="T32" s="44">
        <v>66181509.414957769</v>
      </c>
      <c r="U32" s="32"/>
      <c r="V32" s="44">
        <v>105884.52494313801</v>
      </c>
      <c r="W32" s="33"/>
      <c r="X32" s="44">
        <v>234470.59948494038</v>
      </c>
      <c r="Y32" s="32"/>
      <c r="Z32" s="32">
        <f t="shared" si="10"/>
        <v>-4022681.6346283704</v>
      </c>
      <c r="AA32" s="32"/>
      <c r="AB32" s="32">
        <f t="shared" si="11"/>
        <v>-62199958.224614471</v>
      </c>
      <c r="AC32" s="12"/>
      <c r="AD32" s="32"/>
      <c r="AE32" s="32"/>
      <c r="AF32" s="32">
        <f>BA32/100*AF25</f>
        <v>5806576798.7691164</v>
      </c>
      <c r="AG32" s="34">
        <f t="shared" si="18"/>
        <v>-3.9099453796883109E-3</v>
      </c>
      <c r="AH32" s="34"/>
      <c r="AI32" s="34">
        <f t="shared" si="13"/>
        <v>-1.0711984079466524E-2</v>
      </c>
      <c r="AU32" s="31">
        <v>11375749</v>
      </c>
      <c r="AW32" s="31">
        <f t="shared" si="14"/>
        <v>-1.1264795306314801E-3</v>
      </c>
      <c r="AX32" s="46">
        <v>6675.8821371162003</v>
      </c>
      <c r="AY32" s="34">
        <f t="shared" si="15"/>
        <v>-2.7866049024395474E-3</v>
      </c>
      <c r="AZ32" s="31">
        <f t="shared" si="19"/>
        <v>99.311947998100649</v>
      </c>
      <c r="BA32" s="31">
        <f t="shared" si="20"/>
        <v>101.03622752816614</v>
      </c>
      <c r="BC32" s="34">
        <f t="shared" si="7"/>
        <v>1.1643660519030265E-2</v>
      </c>
    </row>
    <row r="33" spans="1:55" s="31" customFormat="1">
      <c r="A33" s="31">
        <f t="shared" si="16"/>
        <v>2019</v>
      </c>
      <c r="B33" s="31">
        <f t="shared" si="17"/>
        <v>4</v>
      </c>
      <c r="C33" s="32"/>
      <c r="D33" s="44">
        <v>107734498.11000143</v>
      </c>
      <c r="E33" s="32"/>
      <c r="F33" s="33">
        <v>19582020.308988541</v>
      </c>
      <c r="G33" s="44">
        <v>366302.78840625897</v>
      </c>
      <c r="H33" s="44">
        <v>2015289.8650160141</v>
      </c>
      <c r="I33" s="44">
        <v>11328.952218750026</v>
      </c>
      <c r="J33" s="44">
        <v>62328.552526267093</v>
      </c>
      <c r="K33" s="32"/>
      <c r="L33" s="44">
        <v>2843514.4773529698</v>
      </c>
      <c r="M33" s="33"/>
      <c r="N33" s="44">
        <v>825160.53719624877</v>
      </c>
      <c r="O33" s="32"/>
      <c r="P33" s="44">
        <v>20871335.6778</v>
      </c>
      <c r="Q33" s="33"/>
      <c r="R33" s="44">
        <v>19294799.954418812</v>
      </c>
      <c r="S33" s="33"/>
      <c r="T33" s="44">
        <v>77951242.254428938</v>
      </c>
      <c r="U33" s="32"/>
      <c r="V33" s="44">
        <v>103795.77223513499</v>
      </c>
      <c r="W33" s="33"/>
      <c r="X33" s="44">
        <v>241953.18871926828</v>
      </c>
      <c r="Y33" s="32"/>
      <c r="Z33" s="32">
        <f t="shared" si="10"/>
        <v>-3852099.5968838111</v>
      </c>
      <c r="AA33" s="32"/>
      <c r="AB33" s="32">
        <f t="shared" si="11"/>
        <v>-50654591.533372492</v>
      </c>
      <c r="AC33" s="12"/>
      <c r="AD33" s="32"/>
      <c r="AE33" s="32"/>
      <c r="AF33" s="32">
        <f>BA33/100*AF25</f>
        <v>5851745767.2596006</v>
      </c>
      <c r="AG33" s="34">
        <f t="shared" si="18"/>
        <v>7.7789324167828449E-3</v>
      </c>
      <c r="AH33" s="34">
        <f>(AF33-AF29)/AF29</f>
        <v>1.3689091651170273E-2</v>
      </c>
      <c r="AI33" s="34">
        <f t="shared" si="13"/>
        <v>-8.6563213010353093E-3</v>
      </c>
      <c r="AU33" s="31">
        <v>11449719</v>
      </c>
      <c r="AW33" s="31">
        <f t="shared" si="14"/>
        <v>6.5024289829179599E-3</v>
      </c>
      <c r="AX33" s="46">
        <v>6684.3488692638002</v>
      </c>
      <c r="AY33" s="34">
        <f t="shared" si="15"/>
        <v>1.2682566848397567E-3</v>
      </c>
      <c r="AZ33" s="31">
        <f t="shared" si="19"/>
        <v>99.437901040033694</v>
      </c>
      <c r="BA33" s="31">
        <f t="shared" si="20"/>
        <v>101.82218151375443</v>
      </c>
      <c r="BC33" s="34">
        <f t="shared" si="7"/>
        <v>9.8576425112290901E-3</v>
      </c>
    </row>
    <row r="34" spans="1:55" s="23" customFormat="1">
      <c r="A34" s="23">
        <f t="shared" si="16"/>
        <v>2020</v>
      </c>
      <c r="B34" s="23">
        <f t="shared" si="17"/>
        <v>1</v>
      </c>
      <c r="C34" s="24"/>
      <c r="D34" s="41">
        <v>109650757.20300701</v>
      </c>
      <c r="E34" s="24"/>
      <c r="F34" s="25">
        <v>19930323.082332373</v>
      </c>
      <c r="G34" s="41">
        <v>411106.27939732798</v>
      </c>
      <c r="H34" s="41">
        <v>2261785.4532819069</v>
      </c>
      <c r="I34" s="41">
        <v>12714.627197856025</v>
      </c>
      <c r="J34" s="41">
        <v>69952.127421092766</v>
      </c>
      <c r="K34" s="24"/>
      <c r="L34" s="41">
        <v>3354073.6521751601</v>
      </c>
      <c r="M34" s="25"/>
      <c r="N34" s="41">
        <v>841160.05193044245</v>
      </c>
      <c r="O34" s="24"/>
      <c r="P34" s="41">
        <v>23846839.143217701</v>
      </c>
      <c r="Q34" s="25"/>
      <c r="R34" s="41">
        <v>22032118.549114872</v>
      </c>
      <c r="S34" s="25"/>
      <c r="T34" s="41">
        <v>62191441.667813942</v>
      </c>
      <c r="U34" s="24"/>
      <c r="V34" s="41">
        <v>103662.022524521</v>
      </c>
      <c r="W34" s="25"/>
      <c r="X34" s="41">
        <v>242583.84488861315</v>
      </c>
      <c r="Y34" s="24"/>
      <c r="Z34" s="24">
        <f t="shared" si="10"/>
        <v>-1989776.2147985846</v>
      </c>
      <c r="AA34" s="24"/>
      <c r="AB34" s="24">
        <f t="shared" si="11"/>
        <v>-71306154.678410769</v>
      </c>
      <c r="AC34" s="12"/>
      <c r="AD34" s="24"/>
      <c r="AE34" s="24"/>
      <c r="AF34" s="24">
        <f>BA34/100*AF25</f>
        <v>5830476497.3439665</v>
      </c>
      <c r="AG34" s="26">
        <f t="shared" si="18"/>
        <v>-3.6346879651941292E-3</v>
      </c>
      <c r="AH34" s="26"/>
      <c r="AI34" s="26">
        <f t="shared" si="13"/>
        <v>-1.2229901743175502E-2</v>
      </c>
      <c r="AU34" s="23">
        <v>11461882</v>
      </c>
      <c r="AW34" s="23">
        <f t="shared" si="14"/>
        <v>1.0622968126990716E-3</v>
      </c>
      <c r="AX34" s="43">
        <v>6652.9859011558001</v>
      </c>
      <c r="AY34" s="26">
        <f t="shared" si="15"/>
        <v>-4.6920004807370838E-3</v>
      </c>
      <c r="AZ34" s="23">
        <f t="shared" si="19"/>
        <v>98.971338360550376</v>
      </c>
      <c r="BA34" s="23">
        <f t="shared" si="20"/>
        <v>101.4520896560166</v>
      </c>
      <c r="BC34" s="26">
        <f t="shared" si="7"/>
        <v>1.1542324791431996E-2</v>
      </c>
    </row>
    <row r="35" spans="1:55" s="31" customFormat="1">
      <c r="A35" s="31">
        <f t="shared" si="16"/>
        <v>2020</v>
      </c>
      <c r="B35" s="31">
        <f t="shared" si="17"/>
        <v>2</v>
      </c>
      <c r="C35" s="32"/>
      <c r="D35" s="44">
        <v>109668311.4815516</v>
      </c>
      <c r="E35" s="32"/>
      <c r="F35" s="33">
        <v>19933513.780251797</v>
      </c>
      <c r="G35" s="44">
        <v>425919.84586940397</v>
      </c>
      <c r="H35" s="44">
        <v>2343285.3253025524</v>
      </c>
      <c r="I35" s="44">
        <v>13172.778738229012</v>
      </c>
      <c r="J35" s="44">
        <v>72472.742019666694</v>
      </c>
      <c r="K35" s="32"/>
      <c r="L35" s="44">
        <v>2790357.3438534699</v>
      </c>
      <c r="M35" s="33"/>
      <c r="N35" s="44">
        <v>842675.63418526947</v>
      </c>
      <c r="O35" s="32"/>
      <c r="P35" s="44">
        <v>20868298.0911934</v>
      </c>
      <c r="Q35" s="33"/>
      <c r="R35" s="44">
        <v>19115330.231836036</v>
      </c>
      <c r="S35" s="33"/>
      <c r="T35" s="44">
        <v>73123876.208718017</v>
      </c>
      <c r="U35" s="32"/>
      <c r="V35" s="44">
        <v>105143.875561273</v>
      </c>
      <c r="W35" s="33"/>
      <c r="X35" s="44">
        <v>262761.97444204008</v>
      </c>
      <c r="Y35" s="32"/>
      <c r="Z35" s="32">
        <f t="shared" si="10"/>
        <v>-4346072.6508932263</v>
      </c>
      <c r="AA35" s="32"/>
      <c r="AB35" s="32">
        <f t="shared" si="11"/>
        <v>-57412733.364026986</v>
      </c>
      <c r="AC35" s="12"/>
      <c r="AD35" s="32"/>
      <c r="AE35" s="32"/>
      <c r="AF35" s="32">
        <f>BA35/100*AF25</f>
        <v>5859823285.649168</v>
      </c>
      <c r="AG35" s="34">
        <f t="shared" si="18"/>
        <v>5.0333430412711992E-3</v>
      </c>
      <c r="AH35" s="34"/>
      <c r="AI35" s="34">
        <f t="shared" si="13"/>
        <v>-9.7976902314839409E-3</v>
      </c>
      <c r="AU35" s="31">
        <v>11482419</v>
      </c>
      <c r="AW35" s="31">
        <f t="shared" si="14"/>
        <v>1.791765087094772E-3</v>
      </c>
      <c r="AX35" s="46">
        <v>6674.5135011803004</v>
      </c>
      <c r="AY35" s="34">
        <f t="shared" si="15"/>
        <v>3.2357801961913676E-3</v>
      </c>
      <c r="AZ35" s="31">
        <f t="shared" si="19"/>
        <v>99.291587857208</v>
      </c>
      <c r="BA35" s="31">
        <f t="shared" si="20"/>
        <v>101.96273282550911</v>
      </c>
      <c r="BC35" s="34">
        <f t="shared" si="7"/>
        <v>9.2916251083889623E-3</v>
      </c>
    </row>
    <row r="36" spans="1:55" s="31" customFormat="1">
      <c r="A36" s="31">
        <f t="shared" si="16"/>
        <v>2020</v>
      </c>
      <c r="B36" s="31">
        <f t="shared" si="17"/>
        <v>3</v>
      </c>
      <c r="C36" s="32"/>
      <c r="D36" s="44">
        <v>110055918.81796369</v>
      </c>
      <c r="E36" s="32"/>
      <c r="F36" s="33">
        <v>20003966.001839951</v>
      </c>
      <c r="G36" s="44">
        <v>430060.23642984702</v>
      </c>
      <c r="H36" s="44">
        <v>2366064.5325533981</v>
      </c>
      <c r="I36" s="44">
        <v>13300.832054530969</v>
      </c>
      <c r="J36" s="44">
        <v>73177.253584123609</v>
      </c>
      <c r="K36" s="32"/>
      <c r="L36" s="44">
        <v>2783833.8999864198</v>
      </c>
      <c r="M36" s="33"/>
      <c r="N36" s="44">
        <v>847909.31073317304</v>
      </c>
      <c r="O36" s="32"/>
      <c r="P36" s="44">
        <v>20388616.890533499</v>
      </c>
      <c r="Q36" s="33"/>
      <c r="R36" s="44">
        <v>19110274.194781102</v>
      </c>
      <c r="S36" s="33"/>
      <c r="T36" s="44">
        <v>62395072.293605752</v>
      </c>
      <c r="U36" s="32"/>
      <c r="V36" s="44">
        <v>105617.177281378</v>
      </c>
      <c r="W36" s="33"/>
      <c r="X36" s="44">
        <v>259484.67738212977</v>
      </c>
      <c r="Y36" s="32"/>
      <c r="Z36" s="32">
        <f t="shared" si="10"/>
        <v>-4419817.8404970616</v>
      </c>
      <c r="AA36" s="32"/>
      <c r="AB36" s="32">
        <f t="shared" si="11"/>
        <v>-68049463.414891437</v>
      </c>
      <c r="AC36" s="12"/>
      <c r="AD36" s="32"/>
      <c r="AE36" s="32"/>
      <c r="AF36" s="32">
        <f>BA36/100*AF25</f>
        <v>5856517394.7092953</v>
      </c>
      <c r="AG36" s="34">
        <f t="shared" si="18"/>
        <v>-5.6416222447679251E-4</v>
      </c>
      <c r="AH36" s="34"/>
      <c r="AI36" s="34">
        <f t="shared" si="13"/>
        <v>-1.1619441867681718E-2</v>
      </c>
      <c r="AU36" s="31">
        <v>11515687</v>
      </c>
      <c r="AW36" s="31">
        <f t="shared" si="14"/>
        <v>2.8972989053961539E-3</v>
      </c>
      <c r="AX36" s="46">
        <v>6651.4766767014999</v>
      </c>
      <c r="AY36" s="34">
        <f t="shared" si="15"/>
        <v>-3.4514612150723482E-3</v>
      </c>
      <c r="AZ36" s="31">
        <f t="shared" si="19"/>
        <v>98.948886792735905</v>
      </c>
      <c r="BA36" s="31">
        <f t="shared" si="20"/>
        <v>101.90520930334455</v>
      </c>
      <c r="BC36" s="34">
        <f t="shared" si="7"/>
        <v>1.0931720590400273E-2</v>
      </c>
    </row>
    <row r="37" spans="1:55" s="31" customFormat="1">
      <c r="A37" s="31">
        <f t="shared" si="16"/>
        <v>2020</v>
      </c>
      <c r="B37" s="31">
        <f t="shared" si="17"/>
        <v>4</v>
      </c>
      <c r="C37" s="32"/>
      <c r="D37" s="44">
        <v>110535369.83581807</v>
      </c>
      <c r="E37" s="32"/>
      <c r="F37" s="33">
        <v>20091111.899704564</v>
      </c>
      <c r="G37" s="44">
        <v>450107.64219493303</v>
      </c>
      <c r="H37" s="44">
        <v>2476359.4441319392</v>
      </c>
      <c r="I37" s="44">
        <v>13920.854913246003</v>
      </c>
      <c r="J37" s="44">
        <v>76588.436416455326</v>
      </c>
      <c r="K37" s="32"/>
      <c r="L37" s="44">
        <v>2791548.58174671</v>
      </c>
      <c r="M37" s="33"/>
      <c r="N37" s="44">
        <v>853629.22264655679</v>
      </c>
      <c r="O37" s="32"/>
      <c r="P37" s="44">
        <v>20367753.5688853</v>
      </c>
      <c r="Q37" s="33"/>
      <c r="R37" s="44">
        <v>19181774.982809886</v>
      </c>
      <c r="S37" s="33"/>
      <c r="T37" s="44">
        <v>72651207.002210021</v>
      </c>
      <c r="U37" s="32"/>
      <c r="V37" s="44">
        <v>108651.195187003</v>
      </c>
      <c r="W37" s="33"/>
      <c r="X37" s="44">
        <v>257783.70517243686</v>
      </c>
      <c r="Y37" s="32"/>
      <c r="Z37" s="32">
        <f t="shared" si="10"/>
        <v>-4445863.5261009429</v>
      </c>
      <c r="AA37" s="32"/>
      <c r="AB37" s="32">
        <f t="shared" si="11"/>
        <v>-58251916.402493343</v>
      </c>
      <c r="AC37" s="12"/>
      <c r="AD37" s="32"/>
      <c r="AE37" s="32"/>
      <c r="AF37" s="32">
        <f>BA37/100*AF25</f>
        <v>5858497738.553998</v>
      </c>
      <c r="AG37" s="34">
        <f t="shared" si="18"/>
        <v>3.3814359477387339E-4</v>
      </c>
      <c r="AH37" s="34">
        <f>(AF37-AF33)/AF33</f>
        <v>1.1538387966501377E-3</v>
      </c>
      <c r="AI37" s="34">
        <f t="shared" si="13"/>
        <v>-9.943149080547593E-3</v>
      </c>
      <c r="AU37" s="31">
        <v>11583569</v>
      </c>
      <c r="AW37" s="31">
        <f t="shared" si="14"/>
        <v>5.8947416684736222E-3</v>
      </c>
      <c r="AX37" s="46">
        <v>6614.7336846587004</v>
      </c>
      <c r="AY37" s="34">
        <f t="shared" si="15"/>
        <v>-5.5240353125646747E-3</v>
      </c>
      <c r="AZ37" s="31">
        <f t="shared" si="19"/>
        <v>98.402289647953879</v>
      </c>
      <c r="BA37" s="31">
        <f t="shared" si="20"/>
        <v>101.93966789714457</v>
      </c>
      <c r="BC37" s="34">
        <f t="shared" si="7"/>
        <v>9.2602026414334883E-3</v>
      </c>
    </row>
    <row r="38" spans="1:55" s="23" customFormat="1">
      <c r="A38" s="23">
        <f t="shared" si="16"/>
        <v>2021</v>
      </c>
      <c r="B38" s="23">
        <f t="shared" si="17"/>
        <v>1</v>
      </c>
      <c r="C38" s="24"/>
      <c r="D38" s="41">
        <v>110586339.17931291</v>
      </c>
      <c r="E38" s="24"/>
      <c r="F38" s="25">
        <v>20100376.181220341</v>
      </c>
      <c r="G38" s="41">
        <v>482743.661906661</v>
      </c>
      <c r="H38" s="41">
        <v>2655913.1954033137</v>
      </c>
      <c r="I38" s="41">
        <v>14930.216347628972</v>
      </c>
      <c r="J38" s="41">
        <v>82141.645218660735</v>
      </c>
      <c r="K38" s="24"/>
      <c r="L38" s="41">
        <v>3274556.9447003901</v>
      </c>
      <c r="M38" s="25"/>
      <c r="N38" s="41">
        <v>855801.73346946761</v>
      </c>
      <c r="O38" s="24"/>
      <c r="P38" s="41">
        <v>23407279.672723599</v>
      </c>
      <c r="Q38" s="25"/>
      <c r="R38" s="41">
        <v>21700060.18785502</v>
      </c>
      <c r="S38" s="25"/>
      <c r="T38" s="41">
        <v>57992785.664506882</v>
      </c>
      <c r="U38" s="24"/>
      <c r="V38" s="41">
        <v>109470.863812314</v>
      </c>
      <c r="W38" s="25"/>
      <c r="X38" s="41">
        <v>265951.39930154535</v>
      </c>
      <c r="Y38" s="24"/>
      <c r="Z38" s="24">
        <f t="shared" si="10"/>
        <v>-2421203.8077228665</v>
      </c>
      <c r="AA38" s="24"/>
      <c r="AB38" s="24">
        <f t="shared" si="11"/>
        <v>-76000833.187529624</v>
      </c>
      <c r="AC38" s="12"/>
      <c r="AD38" s="24"/>
      <c r="AE38" s="24"/>
      <c r="AF38" s="24">
        <f>BA38/100*AF25</f>
        <v>5868413868.7329502</v>
      </c>
      <c r="AG38" s="26">
        <f t="shared" si="18"/>
        <v>1.6926062996825068E-3</v>
      </c>
      <c r="AH38" s="26"/>
      <c r="AI38" s="26">
        <f t="shared" si="13"/>
        <v>-1.2950830477799782E-2</v>
      </c>
      <c r="AU38" s="23">
        <v>11621462</v>
      </c>
      <c r="AW38" s="23">
        <f t="shared" si="14"/>
        <v>3.2712715744171767E-3</v>
      </c>
      <c r="AX38" s="43">
        <v>6604.3252829976</v>
      </c>
      <c r="AY38" s="26">
        <f t="shared" si="15"/>
        <v>-1.573517870453391E-3</v>
      </c>
      <c r="AZ38" s="23">
        <f t="shared" si="19"/>
        <v>98.247451886699295</v>
      </c>
      <c r="BA38" s="23">
        <f t="shared" si="20"/>
        <v>102.11221162121481</v>
      </c>
      <c r="BC38" s="26">
        <f t="shared" si="7"/>
        <v>1.0833964747022553E-2</v>
      </c>
    </row>
    <row r="39" spans="1:55" s="31" customFormat="1">
      <c r="A39" s="31">
        <f t="shared" si="16"/>
        <v>2021</v>
      </c>
      <c r="B39" s="31">
        <f t="shared" si="17"/>
        <v>2</v>
      </c>
      <c r="C39" s="32"/>
      <c r="D39" s="44">
        <v>110779852.20482072</v>
      </c>
      <c r="E39" s="32"/>
      <c r="F39" s="33">
        <v>20135549.464263611</v>
      </c>
      <c r="G39" s="44">
        <v>503562.31689379102</v>
      </c>
      <c r="H39" s="44">
        <v>2770451.2926462321</v>
      </c>
      <c r="I39" s="44">
        <v>15574.092275065952</v>
      </c>
      <c r="J39" s="44">
        <v>85684.060597307514</v>
      </c>
      <c r="K39" s="32"/>
      <c r="L39" s="44">
        <v>2780593.4136535502</v>
      </c>
      <c r="M39" s="33"/>
      <c r="N39" s="44">
        <v>858906.24833273143</v>
      </c>
      <c r="O39" s="32"/>
      <c r="P39" s="44">
        <v>20462902.716708299</v>
      </c>
      <c r="Q39" s="33"/>
      <c r="R39" s="44">
        <v>19153961.201846842</v>
      </c>
      <c r="S39" s="33"/>
      <c r="T39" s="44">
        <v>68359876.878200546</v>
      </c>
      <c r="U39" s="32"/>
      <c r="V39" s="44">
        <v>106511.686560861</v>
      </c>
      <c r="W39" s="33"/>
      <c r="X39" s="44">
        <v>260705.05470315754</v>
      </c>
      <c r="Y39" s="32"/>
      <c r="Z39" s="32">
        <f t="shared" si="10"/>
        <v>-4514576.2378421891</v>
      </c>
      <c r="AA39" s="32"/>
      <c r="AB39" s="32">
        <f t="shared" si="11"/>
        <v>-62882878.043328479</v>
      </c>
      <c r="AC39" s="12"/>
      <c r="AD39" s="32"/>
      <c r="AE39" s="32"/>
      <c r="AF39" s="32">
        <f>BA39/100*AF25</f>
        <v>5870995359.7903299</v>
      </c>
      <c r="AG39" s="34">
        <f t="shared" si="18"/>
        <v>4.3989587563582875E-4</v>
      </c>
      <c r="AH39" s="34"/>
      <c r="AI39" s="34">
        <f t="shared" si="13"/>
        <v>-1.0710769501540571E-2</v>
      </c>
      <c r="AU39" s="31">
        <v>11595947</v>
      </c>
      <c r="AW39" s="31">
        <f t="shared" si="14"/>
        <v>-2.1955068992180159E-3</v>
      </c>
      <c r="AX39" s="46">
        <v>6621.7686371788996</v>
      </c>
      <c r="AY39" s="34">
        <f t="shared" si="15"/>
        <v>2.6412015510814328E-3</v>
      </c>
      <c r="AZ39" s="31">
        <f t="shared" si="19"/>
        <v>98.506943209012249</v>
      </c>
      <c r="BA39" s="31">
        <f t="shared" si="20"/>
        <v>102.15713036195903</v>
      </c>
      <c r="BC39" s="34">
        <f t="shared" ref="BC39:BC70" si="21">T46/AF46</f>
        <v>9.2407645009947408E-3</v>
      </c>
    </row>
    <row r="40" spans="1:55" s="31" customFormat="1">
      <c r="A40" s="31">
        <f t="shared" si="16"/>
        <v>2021</v>
      </c>
      <c r="B40" s="31">
        <f t="shared" si="17"/>
        <v>3</v>
      </c>
      <c r="C40" s="32"/>
      <c r="D40" s="44">
        <v>110977859.01712675</v>
      </c>
      <c r="E40" s="32"/>
      <c r="F40" s="33">
        <v>20171539.546251424</v>
      </c>
      <c r="G40" s="44">
        <v>544220.34331637702</v>
      </c>
      <c r="H40" s="44">
        <v>2994139.7579661175</v>
      </c>
      <c r="I40" s="44">
        <v>16831.55700978497</v>
      </c>
      <c r="J40" s="44">
        <v>92602.260555653746</v>
      </c>
      <c r="K40" s="32"/>
      <c r="L40" s="44">
        <v>2704763.2417647098</v>
      </c>
      <c r="M40" s="33"/>
      <c r="N40" s="44">
        <v>863585.21939911321</v>
      </c>
      <c r="O40" s="32"/>
      <c r="P40" s="44">
        <v>20239695.638319101</v>
      </c>
      <c r="Q40" s="33"/>
      <c r="R40" s="44">
        <v>18786220.39772176</v>
      </c>
      <c r="S40" s="33"/>
      <c r="T40" s="44">
        <v>58047106.538774043</v>
      </c>
      <c r="U40" s="32"/>
      <c r="V40" s="44">
        <v>106527.17425609101</v>
      </c>
      <c r="W40" s="33"/>
      <c r="X40" s="44">
        <v>260369.11399120674</v>
      </c>
      <c r="Y40" s="32"/>
      <c r="Z40" s="32">
        <f t="shared" si="10"/>
        <v>-4847140.4354373962</v>
      </c>
      <c r="AA40" s="32"/>
      <c r="AB40" s="32">
        <f t="shared" si="11"/>
        <v>-73170448.116671816</v>
      </c>
      <c r="AC40" s="12"/>
      <c r="AD40" s="32"/>
      <c r="AE40" s="32"/>
      <c r="AF40" s="32">
        <f>BA40/100*AF25</f>
        <v>5888538407.9054518</v>
      </c>
      <c r="AG40" s="34">
        <f t="shared" si="18"/>
        <v>2.9880875456437688E-3</v>
      </c>
      <c r="AH40" s="34"/>
      <c r="AI40" s="34">
        <f t="shared" si="13"/>
        <v>-1.2425909970874841E-2</v>
      </c>
      <c r="AU40" s="31">
        <v>11631571</v>
      </c>
      <c r="AW40" s="31">
        <f t="shared" si="14"/>
        <v>3.0721078666537541E-3</v>
      </c>
      <c r="AX40" s="46">
        <v>6621.2139780251</v>
      </c>
      <c r="AY40" s="34">
        <f t="shared" si="15"/>
        <v>-8.3762992063076981E-5</v>
      </c>
      <c r="AZ40" s="31">
        <f t="shared" si="19"/>
        <v>98.498691972710077</v>
      </c>
      <c r="BA40" s="31">
        <f t="shared" si="20"/>
        <v>102.46238481089232</v>
      </c>
      <c r="BC40" s="34">
        <f t="shared" si="21"/>
        <v>1.0839823178670421E-2</v>
      </c>
    </row>
    <row r="41" spans="1:55" s="31" customFormat="1">
      <c r="A41" s="31">
        <f t="shared" si="16"/>
        <v>2021</v>
      </c>
      <c r="B41" s="31">
        <f t="shared" si="17"/>
        <v>4</v>
      </c>
      <c r="C41" s="32"/>
      <c r="D41" s="44">
        <v>111308675.70937771</v>
      </c>
      <c r="E41" s="32"/>
      <c r="F41" s="33">
        <v>20231669.39601966</v>
      </c>
      <c r="G41" s="44">
        <v>575750.229275438</v>
      </c>
      <c r="H41" s="44">
        <v>3167607.8876925376</v>
      </c>
      <c r="I41" s="44">
        <v>17806.708121920004</v>
      </c>
      <c r="J41" s="44">
        <v>97967.254258527915</v>
      </c>
      <c r="K41" s="32"/>
      <c r="L41" s="44">
        <v>2751203.90334978</v>
      </c>
      <c r="M41" s="33"/>
      <c r="N41" s="44">
        <v>868505.81786198169</v>
      </c>
      <c r="O41" s="32"/>
      <c r="P41" s="44">
        <v>20208739.3073912</v>
      </c>
      <c r="Q41" s="33"/>
      <c r="R41" s="44">
        <v>19054272.892387751</v>
      </c>
      <c r="S41" s="33"/>
      <c r="T41" s="44">
        <v>67892999.640287638</v>
      </c>
      <c r="U41" s="32"/>
      <c r="V41" s="44">
        <v>112263.968038475</v>
      </c>
      <c r="W41" s="33"/>
      <c r="X41" s="44">
        <v>264091.10158944246</v>
      </c>
      <c r="Y41" s="32"/>
      <c r="Z41" s="32">
        <f t="shared" si="10"/>
        <v>-4684842.2568051964</v>
      </c>
      <c r="AA41" s="32"/>
      <c r="AB41" s="32">
        <f t="shared" si="11"/>
        <v>-63624415.376481265</v>
      </c>
      <c r="AC41" s="12"/>
      <c r="AD41" s="32"/>
      <c r="AE41" s="32"/>
      <c r="AF41" s="32">
        <f>BA41/100*AF25</f>
        <v>5882090555.1614189</v>
      </c>
      <c r="AG41" s="34">
        <f t="shared" si="18"/>
        <v>-1.094983559142031E-3</v>
      </c>
      <c r="AH41" s="34">
        <f>(AF41-AF37)/AF37</f>
        <v>4.027110303748983E-3</v>
      </c>
      <c r="AI41" s="34">
        <f t="shared" si="13"/>
        <v>-1.0816633096655081E-2</v>
      </c>
      <c r="AU41" s="31">
        <v>11631260</v>
      </c>
      <c r="AW41" s="31">
        <f t="shared" si="14"/>
        <v>-2.6737574829745698E-5</v>
      </c>
      <c r="AX41" s="46">
        <v>6614.1407036596001</v>
      </c>
      <c r="AY41" s="34">
        <f t="shared" si="15"/>
        <v>-1.068274547382864E-3</v>
      </c>
      <c r="AZ41" s="31">
        <f t="shared" si="19"/>
        <v>98.39346832712512</v>
      </c>
      <c r="BA41" s="31">
        <f t="shared" si="20"/>
        <v>102.3501901840939</v>
      </c>
      <c r="BC41" s="34">
        <f t="shared" si="21"/>
        <v>9.209969564838218E-3</v>
      </c>
    </row>
    <row r="42" spans="1:55" s="23" customFormat="1">
      <c r="A42" s="23">
        <f t="shared" si="16"/>
        <v>2022</v>
      </c>
      <c r="B42" s="23">
        <f t="shared" si="17"/>
        <v>1</v>
      </c>
      <c r="C42" s="24"/>
      <c r="D42" s="41">
        <v>111578369.8248128</v>
      </c>
      <c r="E42" s="24"/>
      <c r="F42" s="25">
        <v>20280689.493929915</v>
      </c>
      <c r="G42" s="41">
        <v>609690.26905338396</v>
      </c>
      <c r="H42" s="41">
        <v>3354335.9726201221</v>
      </c>
      <c r="I42" s="41">
        <v>18856.400073816068</v>
      </c>
      <c r="J42" s="41">
        <v>103742.34966866394</v>
      </c>
      <c r="K42" s="24"/>
      <c r="L42" s="41">
        <v>3310344.4556549899</v>
      </c>
      <c r="M42" s="25"/>
      <c r="N42" s="41">
        <v>872921.25676458329</v>
      </c>
      <c r="O42" s="24"/>
      <c r="P42" s="41">
        <v>23144865.743782502</v>
      </c>
      <c r="Q42" s="25"/>
      <c r="R42" s="41">
        <v>21979948.318418864</v>
      </c>
      <c r="S42" s="25"/>
      <c r="T42" s="41">
        <v>54209914.216492087</v>
      </c>
      <c r="U42" s="24"/>
      <c r="V42" s="41">
        <v>114791.51667163101</v>
      </c>
      <c r="W42" s="25"/>
      <c r="X42" s="41">
        <v>265279.8990536739</v>
      </c>
      <c r="Y42" s="24"/>
      <c r="Z42" s="24">
        <f t="shared" si="10"/>
        <v>-2369215.3712589927</v>
      </c>
      <c r="AA42" s="24"/>
      <c r="AB42" s="24">
        <f t="shared" si="11"/>
        <v>-80513321.352103218</v>
      </c>
      <c r="AC42" s="12"/>
      <c r="AD42" s="24"/>
      <c r="AE42" s="24"/>
      <c r="AF42" s="24">
        <f>BA42/100*AF25</f>
        <v>5834276951.9993391</v>
      </c>
      <c r="AG42" s="26">
        <f t="shared" si="18"/>
        <v>-8.1286751221679703E-3</v>
      </c>
      <c r="AH42" s="26"/>
      <c r="AI42" s="26">
        <f t="shared" si="13"/>
        <v>-1.3800051319900444E-2</v>
      </c>
      <c r="AU42" s="23">
        <v>11629663</v>
      </c>
      <c r="AW42" s="23">
        <f t="shared" si="14"/>
        <v>-1.3730240747777972E-4</v>
      </c>
      <c r="AX42" s="43">
        <v>6561.2773818479</v>
      </c>
      <c r="AY42" s="26">
        <f t="shared" si="15"/>
        <v>-7.9924701000767869E-3</v>
      </c>
      <c r="AZ42" s="23">
        <f t="shared" si="19"/>
        <v>97.607061473477728</v>
      </c>
      <c r="BA42" s="23">
        <f t="shared" si="20"/>
        <v>101.51821873939529</v>
      </c>
      <c r="BC42" s="26">
        <f t="shared" si="21"/>
        <v>1.0775858754890575E-2</v>
      </c>
    </row>
    <row r="43" spans="1:55" s="31" customFormat="1">
      <c r="A43" s="31">
        <f t="shared" si="16"/>
        <v>2022</v>
      </c>
      <c r="B43" s="31">
        <f t="shared" si="17"/>
        <v>2</v>
      </c>
      <c r="C43" s="32"/>
      <c r="D43" s="44">
        <v>111716695.47671936</v>
      </c>
      <c r="E43" s="32"/>
      <c r="F43" s="33">
        <v>20305831.818555802</v>
      </c>
      <c r="G43" s="44">
        <v>631706.38993789698</v>
      </c>
      <c r="H43" s="44">
        <v>3475462.1739208829</v>
      </c>
      <c r="I43" s="44">
        <v>19537.311029007076</v>
      </c>
      <c r="J43" s="44">
        <v>107488.52084291364</v>
      </c>
      <c r="K43" s="32"/>
      <c r="L43" s="44">
        <v>2737652.7172296802</v>
      </c>
      <c r="M43" s="33"/>
      <c r="N43" s="44">
        <v>875995.10188589245</v>
      </c>
      <c r="O43" s="32"/>
      <c r="P43" s="44">
        <v>20189531.486983601</v>
      </c>
      <c r="Q43" s="33"/>
      <c r="R43" s="44">
        <v>19025159.554194454</v>
      </c>
      <c r="S43" s="33"/>
      <c r="T43" s="44">
        <v>64021479.933639176</v>
      </c>
      <c r="U43" s="32"/>
      <c r="V43" s="44">
        <v>109360.25463727101</v>
      </c>
      <c r="W43" s="33"/>
      <c r="X43" s="44">
        <v>272900.47730096959</v>
      </c>
      <c r="Y43" s="32"/>
      <c r="Z43" s="32">
        <f t="shared" si="10"/>
        <v>-4784959.8288396485</v>
      </c>
      <c r="AA43" s="32"/>
      <c r="AB43" s="32">
        <f t="shared" si="11"/>
        <v>-67884747.030063793</v>
      </c>
      <c r="AC43" s="12"/>
      <c r="AD43" s="32"/>
      <c r="AE43" s="32"/>
      <c r="AF43" s="32">
        <f>BA43/100*AF25</f>
        <v>5856487037.3525515</v>
      </c>
      <c r="AG43" s="34">
        <f t="shared" si="18"/>
        <v>3.8068273988263821E-3</v>
      </c>
      <c r="AH43" s="34"/>
      <c r="AI43" s="34">
        <f t="shared" si="13"/>
        <v>-1.1591376638776164E-2</v>
      </c>
      <c r="AU43" s="31">
        <v>11627932</v>
      </c>
      <c r="AW43" s="31">
        <f t="shared" si="14"/>
        <v>-1.4884352194900231E-4</v>
      </c>
      <c r="AX43" s="46">
        <v>6587.2354996881004</v>
      </c>
      <c r="AY43" s="34">
        <f t="shared" si="15"/>
        <v>3.9562597844155856E-3</v>
      </c>
      <c r="AZ43" s="31">
        <f t="shared" si="19"/>
        <v>97.993220365460232</v>
      </c>
      <c r="BA43" s="31">
        <f t="shared" si="20"/>
        <v>101.90468107597249</v>
      </c>
      <c r="BC43" s="34">
        <f t="shared" si="21"/>
        <v>9.1749372394024122E-3</v>
      </c>
    </row>
    <row r="44" spans="1:55" s="31" customFormat="1">
      <c r="A44" s="31">
        <f t="shared" si="16"/>
        <v>2022</v>
      </c>
      <c r="B44" s="31">
        <f t="shared" si="17"/>
        <v>3</v>
      </c>
      <c r="C44" s="32"/>
      <c r="D44" s="44">
        <v>112005333.89555834</v>
      </c>
      <c r="E44" s="32"/>
      <c r="F44" s="33">
        <v>20358295.267857697</v>
      </c>
      <c r="G44" s="44">
        <v>656376.21702720295</v>
      </c>
      <c r="H44" s="44">
        <v>3611188.2837905018</v>
      </c>
      <c r="I44" s="44">
        <v>20300.295371976099</v>
      </c>
      <c r="J44" s="44">
        <v>111686.23558115367</v>
      </c>
      <c r="K44" s="32"/>
      <c r="L44" s="44">
        <v>2632890.4799137702</v>
      </c>
      <c r="M44" s="33"/>
      <c r="N44" s="44">
        <v>880964.31027552485</v>
      </c>
      <c r="O44" s="32"/>
      <c r="P44" s="44">
        <v>19879884.970536798</v>
      </c>
      <c r="Q44" s="33"/>
      <c r="R44" s="44">
        <v>18508886.925149728</v>
      </c>
      <c r="S44" s="33"/>
      <c r="T44" s="44">
        <v>54181051.194384836</v>
      </c>
      <c r="U44" s="32"/>
      <c r="V44" s="44">
        <v>112333.00359039901</v>
      </c>
      <c r="W44" s="33"/>
      <c r="X44" s="44">
        <v>274959.24857072876</v>
      </c>
      <c r="Y44" s="32"/>
      <c r="Z44" s="32">
        <f t="shared" si="10"/>
        <v>-5250930.1293068677</v>
      </c>
      <c r="AA44" s="32"/>
      <c r="AB44" s="32">
        <f t="shared" si="11"/>
        <v>-77704167.671710312</v>
      </c>
      <c r="AC44" s="12"/>
      <c r="AD44" s="32"/>
      <c r="AE44" s="32"/>
      <c r="AF44" s="32">
        <f>BA44/100*AF25</f>
        <v>5850957402.5906582</v>
      </c>
      <c r="AG44" s="34">
        <f t="shared" si="18"/>
        <v>-9.4418970393435147E-4</v>
      </c>
      <c r="AH44" s="34"/>
      <c r="AI44" s="34">
        <f t="shared" si="13"/>
        <v>-1.3280590222260863E-2</v>
      </c>
      <c r="AU44" s="31">
        <v>11666206</v>
      </c>
      <c r="AW44" s="31">
        <f t="shared" si="14"/>
        <v>3.2915569165695153E-3</v>
      </c>
      <c r="AX44" s="46">
        <v>6559.4251784370999</v>
      </c>
      <c r="AY44" s="34">
        <f t="shared" si="15"/>
        <v>-4.2218501604075415E-3</v>
      </c>
      <c r="AZ44" s="31">
        <f t="shared" si="19"/>
        <v>97.579507672341464</v>
      </c>
      <c r="BA44" s="31">
        <f t="shared" si="20"/>
        <v>101.80846372531785</v>
      </c>
      <c r="BC44" s="34">
        <f t="shared" si="21"/>
        <v>1.0705921393135481E-2</v>
      </c>
    </row>
    <row r="45" spans="1:55" s="31" customFormat="1">
      <c r="A45" s="31">
        <f t="shared" si="16"/>
        <v>2022</v>
      </c>
      <c r="B45" s="31">
        <f t="shared" si="17"/>
        <v>4</v>
      </c>
      <c r="C45" s="32"/>
      <c r="D45" s="44">
        <v>112573588.17095737</v>
      </c>
      <c r="E45" s="32"/>
      <c r="F45" s="33">
        <v>20461582.208965193</v>
      </c>
      <c r="G45" s="44">
        <v>686584.323891907</v>
      </c>
      <c r="H45" s="44">
        <v>3777384.3749276521</v>
      </c>
      <c r="I45" s="44">
        <v>21234.566718306043</v>
      </c>
      <c r="J45" s="44">
        <v>116826.32087404911</v>
      </c>
      <c r="K45" s="32"/>
      <c r="L45" s="44">
        <v>2676607.1475995299</v>
      </c>
      <c r="M45" s="33"/>
      <c r="N45" s="44">
        <v>888365.27968029305</v>
      </c>
      <c r="O45" s="32"/>
      <c r="P45" s="44">
        <v>20125023.583861001</v>
      </c>
      <c r="Q45" s="33"/>
      <c r="R45" s="44">
        <v>18776450.871617462</v>
      </c>
      <c r="S45" s="33"/>
      <c r="T45" s="44">
        <v>63756674.304667711</v>
      </c>
      <c r="U45" s="32"/>
      <c r="V45" s="44">
        <v>115422.68236734001</v>
      </c>
      <c r="W45" s="33"/>
      <c r="X45" s="44">
        <v>267526.64846955385</v>
      </c>
      <c r="Y45" s="32"/>
      <c r="Z45" s="32">
        <f t="shared" si="10"/>
        <v>-5134681.0822602138</v>
      </c>
      <c r="AA45" s="32"/>
      <c r="AB45" s="32">
        <f t="shared" si="11"/>
        <v>-68941937.450150669</v>
      </c>
      <c r="AC45" s="12"/>
      <c r="AD45" s="32"/>
      <c r="AE45" s="32"/>
      <c r="AF45" s="32">
        <f>BA45/100*AF25</f>
        <v>5884888477.4329414</v>
      </c>
      <c r="AG45" s="34">
        <f t="shared" si="18"/>
        <v>5.799234639318928E-3</v>
      </c>
      <c r="AH45" s="34">
        <f>(AF45-AF41)/AF41</f>
        <v>4.7566800362626178E-4</v>
      </c>
      <c r="AI45" s="34">
        <f t="shared" si="13"/>
        <v>-1.1715079684946547E-2</v>
      </c>
      <c r="AU45" s="31">
        <v>11665397</v>
      </c>
      <c r="AW45" s="31">
        <f t="shared" si="14"/>
        <v>-6.934559530322026E-5</v>
      </c>
      <c r="AX45" s="46">
        <v>6597.9223609997998</v>
      </c>
      <c r="AY45" s="34">
        <f t="shared" si="15"/>
        <v>5.8689872230347677E-3</v>
      </c>
      <c r="AZ45" s="31">
        <f t="shared" si="19"/>
        <v>98.152200556100468</v>
      </c>
      <c r="BA45" s="31">
        <f t="shared" si="20"/>
        <v>102.39887489472954</v>
      </c>
      <c r="BC45" s="34">
        <f t="shared" si="21"/>
        <v>9.1440023083977206E-3</v>
      </c>
    </row>
    <row r="46" spans="1:55" s="23" customFormat="1">
      <c r="A46" s="23">
        <f t="shared" si="16"/>
        <v>2023</v>
      </c>
      <c r="B46" s="23">
        <f t="shared" si="17"/>
        <v>1</v>
      </c>
      <c r="C46" s="24"/>
      <c r="D46" s="41">
        <v>112941418.64426464</v>
      </c>
      <c r="E46" s="24"/>
      <c r="F46" s="25">
        <v>20528439.751580868</v>
      </c>
      <c r="G46" s="41">
        <v>708346.74437443202</v>
      </c>
      <c r="H46" s="41">
        <v>3897114.7914703949</v>
      </c>
      <c r="I46" s="41">
        <v>21907.631269311998</v>
      </c>
      <c r="J46" s="41">
        <v>120529.32344753615</v>
      </c>
      <c r="K46" s="24"/>
      <c r="L46" s="41">
        <v>3222163.5128678302</v>
      </c>
      <c r="M46" s="25"/>
      <c r="N46" s="41">
        <v>893485.44682518765</v>
      </c>
      <c r="O46" s="24"/>
      <c r="P46" s="41">
        <v>23330528.248120699</v>
      </c>
      <c r="Q46" s="25"/>
      <c r="R46" s="41">
        <v>21635515.093398191</v>
      </c>
      <c r="S46" s="25"/>
      <c r="T46" s="41">
        <v>54235895.203865111</v>
      </c>
      <c r="U46" s="24"/>
      <c r="V46" s="41">
        <v>114384.840989073</v>
      </c>
      <c r="W46" s="25"/>
      <c r="X46" s="41">
        <v>267565.54909474519</v>
      </c>
      <c r="Y46" s="24"/>
      <c r="Z46" s="24">
        <f t="shared" ref="Z46:Z77" si="22">R46+V46-N46-L46-F46</f>
        <v>-2894188.7768866234</v>
      </c>
      <c r="AA46" s="24"/>
      <c r="AB46" s="24">
        <f t="shared" ref="AB46:AB77" si="23">T46-P46-D46</f>
        <v>-82036051.688520223</v>
      </c>
      <c r="AC46" s="12"/>
      <c r="AD46" s="24"/>
      <c r="AE46" s="24"/>
      <c r="AF46" s="24">
        <f>BA46/100*AF25</f>
        <v>5869200021.0617619</v>
      </c>
      <c r="AG46" s="26">
        <f t="shared" si="18"/>
        <v>-2.6658884754300516E-3</v>
      </c>
      <c r="AH46" s="26"/>
      <c r="AI46" s="26">
        <f t="shared" ref="AI46:AI77" si="24">AB46/AF46</f>
        <v>-1.3977382163520059E-2</v>
      </c>
      <c r="AU46" s="23">
        <v>11618250</v>
      </c>
      <c r="AW46" s="23">
        <f t="shared" si="14"/>
        <v>-4.0416112713523595E-3</v>
      </c>
      <c r="AX46" s="43">
        <v>6607.0361074177999</v>
      </c>
      <c r="AY46" s="26">
        <f t="shared" si="15"/>
        <v>1.3813054957832348E-3</v>
      </c>
      <c r="AZ46" s="23">
        <f t="shared" si="19"/>
        <v>98.287778730151828</v>
      </c>
      <c r="BA46" s="23">
        <f t="shared" si="20"/>
        <v>102.12589091425068</v>
      </c>
      <c r="BC46" s="26">
        <f t="shared" si="21"/>
        <v>1.0788352179978686E-2</v>
      </c>
    </row>
    <row r="47" spans="1:55" s="31" customFormat="1">
      <c r="A47" s="31">
        <f t="shared" si="16"/>
        <v>2023</v>
      </c>
      <c r="B47" s="31">
        <f t="shared" si="17"/>
        <v>2</v>
      </c>
      <c r="C47" s="32"/>
      <c r="D47" s="44">
        <v>113063605.03117995</v>
      </c>
      <c r="E47" s="32"/>
      <c r="F47" s="33">
        <v>20550648.573750481</v>
      </c>
      <c r="G47" s="44">
        <v>733014.03445971804</v>
      </c>
      <c r="H47" s="44">
        <v>4032826.9434924335</v>
      </c>
      <c r="I47" s="44">
        <v>22670.537148238975</v>
      </c>
      <c r="J47" s="44">
        <v>124726.60649976748</v>
      </c>
      <c r="K47" s="32"/>
      <c r="L47" s="44">
        <v>2709588.8240319798</v>
      </c>
      <c r="M47" s="33"/>
      <c r="N47" s="44">
        <v>896427.8029313609</v>
      </c>
      <c r="O47" s="32"/>
      <c r="P47" s="44">
        <v>19773950.7624925</v>
      </c>
      <c r="Q47" s="33"/>
      <c r="R47" s="44">
        <v>18991950.57151217</v>
      </c>
      <c r="S47" s="33"/>
      <c r="T47" s="44">
        <v>63249224.258668289</v>
      </c>
      <c r="U47" s="32"/>
      <c r="V47" s="44">
        <v>112200.48223593499</v>
      </c>
      <c r="W47" s="33"/>
      <c r="X47" s="44">
        <v>281974.72111255192</v>
      </c>
      <c r="Y47" s="32"/>
      <c r="Z47" s="32">
        <f t="shared" si="22"/>
        <v>-5052514.146965716</v>
      </c>
      <c r="AA47" s="32"/>
      <c r="AB47" s="32">
        <f t="shared" si="23"/>
        <v>-69588331.535004169</v>
      </c>
      <c r="AC47" s="12"/>
      <c r="AD47" s="32"/>
      <c r="AE47" s="32"/>
      <c r="AF47" s="32">
        <f>BA47/100*AF25</f>
        <v>5834894464.2495766</v>
      </c>
      <c r="AG47" s="34">
        <f t="shared" si="18"/>
        <v>-5.8450140886456402E-3</v>
      </c>
      <c r="AH47" s="34"/>
      <c r="AI47" s="34">
        <f t="shared" si="24"/>
        <v>-1.1926236534588958E-2</v>
      </c>
      <c r="AU47" s="31">
        <v>11612612</v>
      </c>
      <c r="AW47" s="31">
        <f t="shared" ref="AW47:AW78" si="25">(AU47-AU46)/AU46</f>
        <v>-4.8527101758010025E-4</v>
      </c>
      <c r="AX47" s="46">
        <v>6571.6068986525997</v>
      </c>
      <c r="AY47" s="34">
        <f t="shared" ref="AY47:AY78" si="26">(AX47-AX46)/AX46</f>
        <v>-5.36234526180709E-3</v>
      </c>
      <c r="AZ47" s="31">
        <f t="shared" si="19"/>
        <v>97.760725725584649</v>
      </c>
      <c r="BA47" s="31">
        <f t="shared" si="20"/>
        <v>101.52896364304141</v>
      </c>
      <c r="BC47" s="34">
        <f t="shared" si="21"/>
        <v>9.195494705346233E-3</v>
      </c>
    </row>
    <row r="48" spans="1:55" s="31" customFormat="1">
      <c r="A48" s="31">
        <f t="shared" si="16"/>
        <v>2023</v>
      </c>
      <c r="B48" s="31">
        <f t="shared" si="17"/>
        <v>3</v>
      </c>
      <c r="C48" s="32"/>
      <c r="D48" s="44">
        <v>113137777.07621035</v>
      </c>
      <c r="E48" s="32"/>
      <c r="F48" s="33">
        <v>20564130.220925942</v>
      </c>
      <c r="G48" s="44">
        <v>765804.81141665904</v>
      </c>
      <c r="H48" s="44">
        <v>4213232.1234662002</v>
      </c>
      <c r="I48" s="44">
        <v>23684.684889174998</v>
      </c>
      <c r="J48" s="44">
        <v>130306.14814843905</v>
      </c>
      <c r="K48" s="32"/>
      <c r="L48" s="44">
        <v>2652921.5439620302</v>
      </c>
      <c r="M48" s="33"/>
      <c r="N48" s="44">
        <v>898916.46236102283</v>
      </c>
      <c r="O48" s="32"/>
      <c r="P48" s="44">
        <v>19483455.047261201</v>
      </c>
      <c r="Q48" s="33"/>
      <c r="R48" s="44">
        <v>18711595.655753046</v>
      </c>
      <c r="S48" s="33"/>
      <c r="T48" s="44">
        <v>54006476.005555563</v>
      </c>
      <c r="U48" s="32"/>
      <c r="V48" s="44">
        <v>113416.50012276501</v>
      </c>
      <c r="W48" s="33"/>
      <c r="X48" s="44">
        <v>288323.19456654851</v>
      </c>
      <c r="Y48" s="32"/>
      <c r="Z48" s="32">
        <f t="shared" si="22"/>
        <v>-5290956.0713731851</v>
      </c>
      <c r="AA48" s="32"/>
      <c r="AB48" s="32">
        <f t="shared" si="23"/>
        <v>-78614756.117915988</v>
      </c>
      <c r="AC48" s="12"/>
      <c r="AD48" s="32"/>
      <c r="AE48" s="32"/>
      <c r="AF48" s="32">
        <f>BA48/100*AF25</f>
        <v>5863914709.5275164</v>
      </c>
      <c r="AG48" s="34">
        <f t="shared" si="18"/>
        <v>4.9735681520457591E-3</v>
      </c>
      <c r="AH48" s="34"/>
      <c r="AI48" s="34">
        <f t="shared" si="24"/>
        <v>-1.3406531304110724E-2</v>
      </c>
      <c r="AU48" s="31">
        <v>11696181</v>
      </c>
      <c r="AW48" s="31">
        <f t="shared" si="25"/>
        <v>7.1963999141622919E-3</v>
      </c>
      <c r="AX48" s="46">
        <v>6557.1036929782003</v>
      </c>
      <c r="AY48" s="34">
        <f t="shared" si="26"/>
        <v>-2.2069496697030128E-3</v>
      </c>
      <c r="AZ48" s="31">
        <f t="shared" si="19"/>
        <v>97.54497272423464</v>
      </c>
      <c r="BA48" s="31">
        <f t="shared" si="20"/>
        <v>102.03392486312663</v>
      </c>
      <c r="BC48" s="34">
        <f t="shared" si="21"/>
        <v>1.0798172976134337E-2</v>
      </c>
    </row>
    <row r="49" spans="1:55" s="31" customFormat="1">
      <c r="A49" s="31">
        <f t="shared" si="16"/>
        <v>2023</v>
      </c>
      <c r="B49" s="31">
        <f t="shared" si="17"/>
        <v>4</v>
      </c>
      <c r="C49" s="32"/>
      <c r="D49" s="44">
        <v>113236224.77621184</v>
      </c>
      <c r="E49" s="32"/>
      <c r="F49" s="33">
        <v>20582024.25574879</v>
      </c>
      <c r="G49" s="44">
        <v>797524.97267721</v>
      </c>
      <c r="H49" s="44">
        <v>4387747.091761128</v>
      </c>
      <c r="I49" s="44">
        <v>24665.720804449986</v>
      </c>
      <c r="J49" s="44">
        <v>135703.51830189163</v>
      </c>
      <c r="K49" s="32"/>
      <c r="L49" s="44">
        <v>2602949.0444732299</v>
      </c>
      <c r="M49" s="33"/>
      <c r="N49" s="44">
        <v>901071.0353872478</v>
      </c>
      <c r="O49" s="32"/>
      <c r="P49" s="44">
        <v>19786749.4483371</v>
      </c>
      <c r="Q49" s="33"/>
      <c r="R49" s="44">
        <v>18464141.943434868</v>
      </c>
      <c r="S49" s="33"/>
      <c r="T49" s="44">
        <v>63529493.208172932</v>
      </c>
      <c r="U49" s="32"/>
      <c r="V49" s="44">
        <v>113657.930800995</v>
      </c>
      <c r="W49" s="33"/>
      <c r="X49" s="44">
        <v>274681.43021253083</v>
      </c>
      <c r="Y49" s="32"/>
      <c r="Z49" s="32">
        <f t="shared" si="22"/>
        <v>-5508244.4613734037</v>
      </c>
      <c r="AA49" s="32"/>
      <c r="AB49" s="32">
        <f t="shared" si="23"/>
        <v>-69493481.016376019</v>
      </c>
      <c r="AC49" s="12"/>
      <c r="AD49" s="32"/>
      <c r="AE49" s="32"/>
      <c r="AF49" s="32">
        <f>BA49/100*AF25</f>
        <v>5895538782.8687305</v>
      </c>
      <c r="AG49" s="34">
        <f t="shared" si="18"/>
        <v>5.3929968131753887E-3</v>
      </c>
      <c r="AH49" s="34">
        <f>(AF49-AF45)/AF45</f>
        <v>1.8097718379252786E-3</v>
      </c>
      <c r="AI49" s="34">
        <f t="shared" si="24"/>
        <v>-1.1787469063609644E-2</v>
      </c>
      <c r="AU49" s="31">
        <v>11779991</v>
      </c>
      <c r="AW49" s="31">
        <f t="shared" si="25"/>
        <v>7.165586784267446E-3</v>
      </c>
      <c r="AX49" s="46">
        <v>6545.5633302036003</v>
      </c>
      <c r="AY49" s="34">
        <f t="shared" si="26"/>
        <v>-1.7599786910428481E-3</v>
      </c>
      <c r="AZ49" s="31">
        <f t="shared" si="19"/>
        <v>97.373295650821632</v>
      </c>
      <c r="BA49" s="31">
        <f t="shared" si="20"/>
        <v>102.58419349474926</v>
      </c>
      <c r="BC49" s="34">
        <f t="shared" si="21"/>
        <v>9.1452642012671524E-3</v>
      </c>
    </row>
    <row r="50" spans="1:55" s="23" customFormat="1">
      <c r="A50" s="23">
        <f t="shared" ref="A50:A81" si="27">A46+1</f>
        <v>2024</v>
      </c>
      <c r="B50" s="23">
        <f t="shared" ref="B50:B81" si="28">B46</f>
        <v>1</v>
      </c>
      <c r="C50" s="24"/>
      <c r="D50" s="41">
        <v>113614062.15687861</v>
      </c>
      <c r="E50" s="24"/>
      <c r="F50" s="25">
        <v>20650700.672231067</v>
      </c>
      <c r="G50" s="41">
        <v>809639.16687213397</v>
      </c>
      <c r="H50" s="41">
        <v>4454395.8139564656</v>
      </c>
      <c r="I50" s="41">
        <v>25040.386604293017</v>
      </c>
      <c r="J50" s="41">
        <v>137764.81898834548</v>
      </c>
      <c r="K50" s="24"/>
      <c r="L50" s="41">
        <v>3206377.5982839698</v>
      </c>
      <c r="M50" s="25"/>
      <c r="N50" s="41">
        <v>906233.62660790607</v>
      </c>
      <c r="O50" s="24"/>
      <c r="P50" s="41">
        <v>22536470.511098299</v>
      </c>
      <c r="Q50" s="25"/>
      <c r="R50" s="41">
        <v>21623738.631422851</v>
      </c>
      <c r="S50" s="25"/>
      <c r="T50" s="41">
        <v>54313895.890872717</v>
      </c>
      <c r="U50" s="24"/>
      <c r="V50" s="41">
        <v>113914.34621404699</v>
      </c>
      <c r="W50" s="25"/>
      <c r="X50" s="41">
        <v>282148.11851548316</v>
      </c>
      <c r="Y50" s="24"/>
      <c r="Z50" s="24">
        <f t="shared" si="22"/>
        <v>-3025658.9194860421</v>
      </c>
      <c r="AA50" s="24"/>
      <c r="AB50" s="24">
        <f t="shared" si="23"/>
        <v>-81836636.777104184</v>
      </c>
      <c r="AC50" s="12"/>
      <c r="AD50" s="24"/>
      <c r="AE50" s="24"/>
      <c r="AF50" s="24">
        <f>BA50/100*AF25</f>
        <v>5919811163.1344872</v>
      </c>
      <c r="AG50" s="26">
        <f t="shared" si="18"/>
        <v>4.1170758364421824E-3</v>
      </c>
      <c r="AH50" s="26"/>
      <c r="AI50" s="26">
        <f t="shared" si="24"/>
        <v>-1.3824197178237763E-2</v>
      </c>
      <c r="AU50" s="23">
        <v>11815803</v>
      </c>
      <c r="AW50" s="23">
        <f t="shared" si="25"/>
        <v>3.0400702343490755E-3</v>
      </c>
      <c r="AX50" s="43">
        <v>6552.5915722297004</v>
      </c>
      <c r="AY50" s="26">
        <f t="shared" si="26"/>
        <v>1.0737413529664029E-3</v>
      </c>
      <c r="AZ50" s="23">
        <f t="shared" si="19"/>
        <v>97.477849385036549</v>
      </c>
      <c r="BA50" s="23">
        <f t="shared" si="20"/>
        <v>103.0065403989874</v>
      </c>
      <c r="BC50" s="26">
        <f t="shared" si="21"/>
        <v>1.0685108789970445E-2</v>
      </c>
    </row>
    <row r="51" spans="1:55" s="31" customFormat="1">
      <c r="A51" s="31">
        <f t="shared" si="27"/>
        <v>2024</v>
      </c>
      <c r="B51" s="31">
        <f t="shared" si="28"/>
        <v>2</v>
      </c>
      <c r="C51" s="32"/>
      <c r="D51" s="44">
        <v>114263394.47153927</v>
      </c>
      <c r="E51" s="32"/>
      <c r="F51" s="33">
        <v>20768724.506713361</v>
      </c>
      <c r="G51" s="44">
        <v>846930.58896034001</v>
      </c>
      <c r="H51" s="44">
        <v>4659562.2155374587</v>
      </c>
      <c r="I51" s="44">
        <v>26193.729555474943</v>
      </c>
      <c r="J51" s="44">
        <v>144110.17161456338</v>
      </c>
      <c r="K51" s="32"/>
      <c r="L51" s="44">
        <v>2642546.8428079602</v>
      </c>
      <c r="M51" s="33"/>
      <c r="N51" s="44">
        <v>913830.65199872479</v>
      </c>
      <c r="O51" s="32"/>
      <c r="P51" s="44">
        <v>19698986.0703719</v>
      </c>
      <c r="Q51" s="33"/>
      <c r="R51" s="44">
        <v>18739814.753134608</v>
      </c>
      <c r="S51" s="33"/>
      <c r="T51" s="44">
        <v>63505286.085362628</v>
      </c>
      <c r="U51" s="32"/>
      <c r="V51" s="44">
        <v>117561.638172704</v>
      </c>
      <c r="W51" s="33"/>
      <c r="X51" s="44">
        <v>289908.5008240501</v>
      </c>
      <c r="Y51" s="32"/>
      <c r="Z51" s="32">
        <f t="shared" si="22"/>
        <v>-5467725.6102127321</v>
      </c>
      <c r="AA51" s="32"/>
      <c r="AB51" s="32">
        <f t="shared" si="23"/>
        <v>-70457094.456548542</v>
      </c>
      <c r="AC51" s="12"/>
      <c r="AD51" s="32"/>
      <c r="AE51" s="32"/>
      <c r="AF51" s="32">
        <f>BA51/100*AF25</f>
        <v>5931790805.6079617</v>
      </c>
      <c r="AG51" s="34">
        <f t="shared" si="18"/>
        <v>2.0236528063728621E-3</v>
      </c>
      <c r="AH51" s="34"/>
      <c r="AI51" s="34">
        <f t="shared" si="24"/>
        <v>-1.187787917098119E-2</v>
      </c>
      <c r="AU51" s="31">
        <v>11881764</v>
      </c>
      <c r="AW51" s="31">
        <f t="shared" si="25"/>
        <v>5.5824390437112063E-3</v>
      </c>
      <c r="AX51" s="46">
        <v>6529.4017552632004</v>
      </c>
      <c r="AY51" s="34">
        <f t="shared" si="26"/>
        <v>-3.5390298190993612E-3</v>
      </c>
      <c r="AZ51" s="31">
        <f t="shared" si="19"/>
        <v>97.132872369361223</v>
      </c>
      <c r="BA51" s="31">
        <f t="shared" si="20"/>
        <v>103.21498987354056</v>
      </c>
      <c r="BC51" s="34">
        <f t="shared" si="21"/>
        <v>9.0484462913933521E-3</v>
      </c>
    </row>
    <row r="52" spans="1:55" s="31" customFormat="1">
      <c r="A52" s="31">
        <f t="shared" si="27"/>
        <v>2024</v>
      </c>
      <c r="B52" s="31">
        <f t="shared" si="28"/>
        <v>3</v>
      </c>
      <c r="C52" s="32"/>
      <c r="D52" s="44">
        <v>114507842.02787668</v>
      </c>
      <c r="E52" s="32"/>
      <c r="F52" s="33">
        <v>20813155.743658412</v>
      </c>
      <c r="G52" s="44">
        <v>863169.95169158804</v>
      </c>
      <c r="H52" s="44">
        <v>4748906.3978981618</v>
      </c>
      <c r="I52" s="44">
        <v>26695.977887368994</v>
      </c>
      <c r="J52" s="44">
        <v>146873.39374942929</v>
      </c>
      <c r="K52" s="32"/>
      <c r="L52" s="44">
        <v>2598893.5066355402</v>
      </c>
      <c r="M52" s="33"/>
      <c r="N52" s="44">
        <v>916969.97995083034</v>
      </c>
      <c r="O52" s="32"/>
      <c r="P52" s="44">
        <v>19834626.7002584</v>
      </c>
      <c r="Q52" s="33"/>
      <c r="R52" s="44">
        <v>18530569.040357683</v>
      </c>
      <c r="S52" s="33"/>
      <c r="T52" s="44">
        <v>54186388.233474866</v>
      </c>
      <c r="U52" s="32"/>
      <c r="V52" s="44">
        <v>115528.85566392999</v>
      </c>
      <c r="W52" s="33"/>
      <c r="X52" s="44">
        <v>287301.74249981547</v>
      </c>
      <c r="Y52" s="32"/>
      <c r="Z52" s="32">
        <f t="shared" si="22"/>
        <v>-5682921.3342231698</v>
      </c>
      <c r="AA52" s="32"/>
      <c r="AB52" s="32">
        <f t="shared" si="23"/>
        <v>-80156080.494660214</v>
      </c>
      <c r="AC52" s="12"/>
      <c r="AD52" s="32"/>
      <c r="AE52" s="32"/>
      <c r="AF52" s="32">
        <f>BA52/100*AF25</f>
        <v>5925893980.1131573</v>
      </c>
      <c r="AG52" s="34">
        <f t="shared" si="18"/>
        <v>-9.9410543764110446E-4</v>
      </c>
      <c r="AH52" s="34"/>
      <c r="AI52" s="34">
        <f t="shared" si="24"/>
        <v>-1.3526411502409229E-2</v>
      </c>
      <c r="AU52" s="31">
        <v>11881635</v>
      </c>
      <c r="AW52" s="31">
        <f t="shared" si="25"/>
        <v>-1.0856973762481733E-5</v>
      </c>
      <c r="AX52" s="46">
        <v>6522.9816613145003</v>
      </c>
      <c r="AY52" s="34">
        <f t="shared" si="26"/>
        <v>-9.8325913909722657E-4</v>
      </c>
      <c r="AZ52" s="31">
        <f t="shared" si="19"/>
        <v>97.037365584897287</v>
      </c>
      <c r="BA52" s="31">
        <f t="shared" si="20"/>
        <v>103.1123832908612</v>
      </c>
      <c r="BC52" s="34">
        <f t="shared" si="21"/>
        <v>1.0661844775838538E-2</v>
      </c>
    </row>
    <row r="53" spans="1:55" s="31" customFormat="1">
      <c r="A53" s="31">
        <f t="shared" si="27"/>
        <v>2024</v>
      </c>
      <c r="B53" s="31">
        <f t="shared" si="28"/>
        <v>4</v>
      </c>
      <c r="C53" s="32"/>
      <c r="D53" s="44">
        <v>114449614.83883089</v>
      </c>
      <c r="E53" s="32"/>
      <c r="F53" s="33">
        <v>20802572.262801003</v>
      </c>
      <c r="G53" s="44">
        <v>951713.92898939701</v>
      </c>
      <c r="H53" s="44">
        <v>5236049.2362938561</v>
      </c>
      <c r="I53" s="44">
        <v>29434.451412042952</v>
      </c>
      <c r="J53" s="44">
        <v>161939.66710187044</v>
      </c>
      <c r="K53" s="32"/>
      <c r="L53" s="44">
        <v>2586292.2043774999</v>
      </c>
      <c r="M53" s="33"/>
      <c r="N53" s="44">
        <v>918740.78366855904</v>
      </c>
      <c r="O53" s="32"/>
      <c r="P53" s="44">
        <v>19611581.8618806</v>
      </c>
      <c r="Q53" s="33"/>
      <c r="R53" s="44">
        <v>18474923.262620021</v>
      </c>
      <c r="S53" s="33"/>
      <c r="T53" s="44">
        <v>64070357.648461334</v>
      </c>
      <c r="U53" s="32"/>
      <c r="V53" s="44">
        <v>113031.101263006</v>
      </c>
      <c r="W53" s="33"/>
      <c r="X53" s="44">
        <v>281815.26308003621</v>
      </c>
      <c r="Y53" s="32"/>
      <c r="Z53" s="32">
        <f t="shared" si="22"/>
        <v>-5719650.8869640362</v>
      </c>
      <c r="AA53" s="32"/>
      <c r="AB53" s="32">
        <f t="shared" si="23"/>
        <v>-69990839.052250147</v>
      </c>
      <c r="AC53" s="12"/>
      <c r="AD53" s="32"/>
      <c r="AE53" s="32"/>
      <c r="AF53" s="32">
        <f>BA53/100*AF25</f>
        <v>5938845578.9721832</v>
      </c>
      <c r="AG53" s="34">
        <f t="shared" si="18"/>
        <v>2.1855940896834338E-3</v>
      </c>
      <c r="AH53" s="34">
        <f>(AF53-AF49)/AF49</f>
        <v>7.3456892912474201E-3</v>
      </c>
      <c r="AI53" s="34">
        <f t="shared" si="24"/>
        <v>-1.1785259967032724E-2</v>
      </c>
      <c r="AU53" s="31">
        <v>11877882</v>
      </c>
      <c r="AW53" s="31">
        <f t="shared" si="25"/>
        <v>-3.158656195043864E-4</v>
      </c>
      <c r="AX53" s="46">
        <v>6539.3037927242003</v>
      </c>
      <c r="AY53" s="34">
        <f t="shared" si="26"/>
        <v>2.5022500839609551E-3</v>
      </c>
      <c r="AZ53" s="31">
        <f t="shared" si="19"/>
        <v>97.280177341079437</v>
      </c>
      <c r="BA53" s="31">
        <f t="shared" si="20"/>
        <v>103.3377451063549</v>
      </c>
      <c r="BC53" s="34">
        <f t="shared" si="21"/>
        <v>9.0602327836236257E-3</v>
      </c>
    </row>
    <row r="54" spans="1:55" s="23" customFormat="1">
      <c r="A54" s="23">
        <f t="shared" si="27"/>
        <v>2025</v>
      </c>
      <c r="B54" s="23">
        <f t="shared" si="28"/>
        <v>1</v>
      </c>
      <c r="C54" s="24"/>
      <c r="D54" s="41">
        <v>114380101.06752397</v>
      </c>
      <c r="E54" s="24"/>
      <c r="F54" s="25">
        <v>20789937.312015817</v>
      </c>
      <c r="G54" s="41">
        <v>1049967.0206712801</v>
      </c>
      <c r="H54" s="41">
        <v>5776608.7573788585</v>
      </c>
      <c r="I54" s="41">
        <v>32473.206824889872</v>
      </c>
      <c r="J54" s="41">
        <v>178658.00280555876</v>
      </c>
      <c r="K54" s="24"/>
      <c r="L54" s="41">
        <v>3156173.24638667</v>
      </c>
      <c r="M54" s="25"/>
      <c r="N54" s="41">
        <v>921107.71424921229</v>
      </c>
      <c r="O54" s="24"/>
      <c r="P54" s="41">
        <v>22797481.852768</v>
      </c>
      <c r="Q54" s="25"/>
      <c r="R54" s="41">
        <v>21445060.852403436</v>
      </c>
      <c r="S54" s="25"/>
      <c r="T54" s="41">
        <v>54784731.353914574</v>
      </c>
      <c r="U54" s="24"/>
      <c r="V54" s="41">
        <v>112636.39763566499</v>
      </c>
      <c r="W54" s="25"/>
      <c r="X54" s="41">
        <v>284869.5494240683</v>
      </c>
      <c r="Y54" s="24"/>
      <c r="Z54" s="24">
        <f t="shared" si="22"/>
        <v>-3309521.0226125978</v>
      </c>
      <c r="AA54" s="24"/>
      <c r="AB54" s="24">
        <f t="shared" si="23"/>
        <v>-82392851.566377401</v>
      </c>
      <c r="AC54" s="12"/>
      <c r="AD54" s="24"/>
      <c r="AE54" s="24"/>
      <c r="AF54" s="24">
        <f>BA54/100*AF25</f>
        <v>5957779663.7806664</v>
      </c>
      <c r="AG54" s="26">
        <f t="shared" si="18"/>
        <v>3.1881759774195014E-3</v>
      </c>
      <c r="AH54" s="26"/>
      <c r="AI54" s="26">
        <f t="shared" si="24"/>
        <v>-1.3829455974558959E-2</v>
      </c>
      <c r="AU54" s="23">
        <v>11916429</v>
      </c>
      <c r="AW54" s="23">
        <f t="shared" si="25"/>
        <v>3.2452755465999746E-3</v>
      </c>
      <c r="AX54" s="43">
        <v>6538.9316091332003</v>
      </c>
      <c r="AY54" s="26">
        <f t="shared" si="26"/>
        <v>-5.6914864761928865E-5</v>
      </c>
      <c r="AZ54" s="23">
        <f t="shared" si="19"/>
        <v>97.274640652942054</v>
      </c>
      <c r="BA54" s="23">
        <f t="shared" si="20"/>
        <v>103.66720402286366</v>
      </c>
      <c r="BC54" s="26">
        <f t="shared" si="21"/>
        <v>1.0596707983725581E-2</v>
      </c>
    </row>
    <row r="55" spans="1:55" s="31" customFormat="1">
      <c r="A55" s="31">
        <f t="shared" si="27"/>
        <v>2025</v>
      </c>
      <c r="B55" s="31">
        <f t="shared" si="28"/>
        <v>2</v>
      </c>
      <c r="C55" s="32"/>
      <c r="D55" s="44">
        <v>114359497.14204605</v>
      </c>
      <c r="E55" s="32"/>
      <c r="F55" s="33">
        <v>20786192.304666903</v>
      </c>
      <c r="G55" s="44">
        <v>1145084.3753845999</v>
      </c>
      <c r="H55" s="44">
        <v>6299916.3788548056</v>
      </c>
      <c r="I55" s="44">
        <v>35414.980682000052</v>
      </c>
      <c r="J55" s="44">
        <v>194842.77460376851</v>
      </c>
      <c r="K55" s="32"/>
      <c r="L55" s="44">
        <v>2628736.73439193</v>
      </c>
      <c r="M55" s="33"/>
      <c r="N55" s="44">
        <v>923110.15289829671</v>
      </c>
      <c r="O55" s="32"/>
      <c r="P55" s="44">
        <v>19713135.059131201</v>
      </c>
      <c r="Q55" s="33"/>
      <c r="R55" s="44">
        <v>18719207.110967383</v>
      </c>
      <c r="S55" s="33"/>
      <c r="T55" s="44">
        <v>64335852.325965881</v>
      </c>
      <c r="U55" s="32"/>
      <c r="V55" s="44">
        <v>109676.07383779201</v>
      </c>
      <c r="W55" s="33"/>
      <c r="X55" s="44">
        <v>285475.95368138608</v>
      </c>
      <c r="Y55" s="32"/>
      <c r="Z55" s="32">
        <f t="shared" si="22"/>
        <v>-5509156.0071519557</v>
      </c>
      <c r="AA55" s="32"/>
      <c r="AB55" s="32">
        <f t="shared" si="23"/>
        <v>-69736779.875211373</v>
      </c>
      <c r="AC55" s="12"/>
      <c r="AD55" s="32"/>
      <c r="AE55" s="32"/>
      <c r="AF55" s="32">
        <f>BA55/100*AF25</f>
        <v>5958031276.9723406</v>
      </c>
      <c r="AG55" s="34">
        <f t="shared" si="18"/>
        <v>4.223271182784304E-5</v>
      </c>
      <c r="AH55" s="34"/>
      <c r="AI55" s="34">
        <f t="shared" si="24"/>
        <v>-1.1704668309604632E-2</v>
      </c>
      <c r="AU55" s="31">
        <v>11925014</v>
      </c>
      <c r="AW55" s="31">
        <f t="shared" si="25"/>
        <v>7.2043394879455923E-4</v>
      </c>
      <c r="AX55" s="46">
        <v>6534.5000902440997</v>
      </c>
      <c r="AY55" s="34">
        <f t="shared" si="26"/>
        <v>-6.7771298952122821E-4</v>
      </c>
      <c r="AZ55" s="31">
        <f t="shared" si="19"/>
        <v>97.208716365420543</v>
      </c>
      <c r="BA55" s="31">
        <f t="shared" si="20"/>
        <v>103.67158217001717</v>
      </c>
      <c r="BC55" s="34">
        <f t="shared" si="21"/>
        <v>9.0378432587372194E-3</v>
      </c>
    </row>
    <row r="56" spans="1:55" s="31" customFormat="1">
      <c r="A56" s="31">
        <f t="shared" si="27"/>
        <v>2025</v>
      </c>
      <c r="B56" s="31">
        <f t="shared" si="28"/>
        <v>3</v>
      </c>
      <c r="C56" s="32"/>
      <c r="D56" s="44">
        <v>114542550.39413761</v>
      </c>
      <c r="E56" s="32"/>
      <c r="F56" s="33">
        <v>20819464.400077078</v>
      </c>
      <c r="G56" s="44">
        <v>1243469.39127552</v>
      </c>
      <c r="H56" s="44">
        <v>6841201.7080139946</v>
      </c>
      <c r="I56" s="44">
        <v>38457.816225019982</v>
      </c>
      <c r="J56" s="44">
        <v>211583.55797983572</v>
      </c>
      <c r="K56" s="32"/>
      <c r="L56" s="44">
        <v>2588506.14849632</v>
      </c>
      <c r="M56" s="33"/>
      <c r="N56" s="44">
        <v>927928.67651128024</v>
      </c>
      <c r="O56" s="32"/>
      <c r="P56" s="44">
        <v>19853522.977812901</v>
      </c>
      <c r="Q56" s="33"/>
      <c r="R56" s="44">
        <v>18536960.50473123</v>
      </c>
      <c r="S56" s="33"/>
      <c r="T56" s="44">
        <v>54290520.738626063</v>
      </c>
      <c r="U56" s="32"/>
      <c r="V56" s="44">
        <v>111447.285468298</v>
      </c>
      <c r="W56" s="33"/>
      <c r="X56" s="44">
        <v>286119.99527235777</v>
      </c>
      <c r="Y56" s="32"/>
      <c r="Z56" s="32">
        <f t="shared" si="22"/>
        <v>-5687491.4348851498</v>
      </c>
      <c r="AA56" s="32"/>
      <c r="AB56" s="32">
        <f t="shared" si="23"/>
        <v>-80105552.633324444</v>
      </c>
      <c r="AC56" s="12"/>
      <c r="AD56" s="32"/>
      <c r="AE56" s="32"/>
      <c r="AF56" s="32">
        <f>BA56/100*AF25</f>
        <v>5936462801.271904</v>
      </c>
      <c r="AG56" s="34">
        <f t="shared" si="18"/>
        <v>-3.6200675521456684E-3</v>
      </c>
      <c r="AH56" s="34"/>
      <c r="AI56" s="34">
        <f t="shared" si="24"/>
        <v>-1.3493818678719186E-2</v>
      </c>
      <c r="AU56" s="31">
        <v>11932895</v>
      </c>
      <c r="AW56" s="31">
        <f t="shared" si="25"/>
        <v>6.6087972726908324E-4</v>
      </c>
      <c r="AX56" s="46">
        <v>6506.5447150011996</v>
      </c>
      <c r="AY56" s="34">
        <f t="shared" si="26"/>
        <v>-4.2781199566646316E-3</v>
      </c>
      <c r="AZ56" s="31">
        <f t="shared" si="19"/>
        <v>96.792845815975895</v>
      </c>
      <c r="BA56" s="31">
        <f t="shared" si="20"/>
        <v>103.29628403932389</v>
      </c>
      <c r="BC56" s="34">
        <f t="shared" si="21"/>
        <v>1.059213931653444E-2</v>
      </c>
    </row>
    <row r="57" spans="1:55" s="31" customFormat="1">
      <c r="A57" s="31">
        <f t="shared" si="27"/>
        <v>2025</v>
      </c>
      <c r="B57" s="31">
        <f t="shared" si="28"/>
        <v>4</v>
      </c>
      <c r="C57" s="32"/>
      <c r="D57" s="44">
        <v>114778100.12450081</v>
      </c>
      <c r="E57" s="32"/>
      <c r="F57" s="33">
        <v>20862278.351825751</v>
      </c>
      <c r="G57" s="44">
        <v>1310946.08719225</v>
      </c>
      <c r="H57" s="44">
        <v>7212438.5801039087</v>
      </c>
      <c r="I57" s="44">
        <v>40544.724346149946</v>
      </c>
      <c r="J57" s="44">
        <v>223065.11072485152</v>
      </c>
      <c r="K57" s="32"/>
      <c r="L57" s="44">
        <v>2599907.3470955999</v>
      </c>
      <c r="M57" s="33"/>
      <c r="N57" s="44">
        <v>931514.54236854985</v>
      </c>
      <c r="O57" s="32"/>
      <c r="P57" s="44">
        <v>19602448.950696301</v>
      </c>
      <c r="Q57" s="33"/>
      <c r="R57" s="44">
        <v>18615849.754407134</v>
      </c>
      <c r="S57" s="33"/>
      <c r="T57" s="44">
        <v>63652582.37083669</v>
      </c>
      <c r="U57" s="32"/>
      <c r="V57" s="44">
        <v>113144.149965463</v>
      </c>
      <c r="W57" s="33"/>
      <c r="X57" s="44">
        <v>295280.94112905418</v>
      </c>
      <c r="Y57" s="32"/>
      <c r="Z57" s="32">
        <f t="shared" si="22"/>
        <v>-5664706.3369173054</v>
      </c>
      <c r="AA57" s="32"/>
      <c r="AB57" s="32">
        <f t="shared" si="23"/>
        <v>-70727966.704360425</v>
      </c>
      <c r="AC57" s="12"/>
      <c r="AD57" s="32"/>
      <c r="AE57" s="32"/>
      <c r="AF57" s="32">
        <f>BA57/100*AF25</f>
        <v>5957130022.9141378</v>
      </c>
      <c r="AG57" s="34">
        <f t="shared" si="18"/>
        <v>3.4814033767390637E-3</v>
      </c>
      <c r="AH57" s="34">
        <f>(AF57-AF53)/AF53</f>
        <v>3.0787875688660423E-3</v>
      </c>
      <c r="AI57" s="34">
        <f t="shared" si="24"/>
        <v>-1.1872825745334558E-2</v>
      </c>
      <c r="AU57" s="31">
        <v>11994521</v>
      </c>
      <c r="AW57" s="31">
        <f t="shared" si="25"/>
        <v>5.1643796413192271E-3</v>
      </c>
      <c r="AX57" s="46">
        <v>6495.6506159447999</v>
      </c>
      <c r="AY57" s="34">
        <f t="shared" si="26"/>
        <v>-1.6743293919555694E-3</v>
      </c>
      <c r="AZ57" s="31">
        <f t="shared" si="19"/>
        <v>96.63078270929519</v>
      </c>
      <c r="BA57" s="31">
        <f t="shared" si="20"/>
        <v>103.65590007138299</v>
      </c>
      <c r="BC57" s="34">
        <f t="shared" si="21"/>
        <v>9.0538818585545501E-3</v>
      </c>
    </row>
    <row r="58" spans="1:55" s="23" customFormat="1">
      <c r="A58" s="23">
        <f t="shared" si="27"/>
        <v>2026</v>
      </c>
      <c r="B58" s="23">
        <f t="shared" si="28"/>
        <v>1</v>
      </c>
      <c r="C58" s="24"/>
      <c r="D58" s="41">
        <v>114659738.13976693</v>
      </c>
      <c r="E58" s="24"/>
      <c r="F58" s="25">
        <v>20840764.660022922</v>
      </c>
      <c r="G58" s="41">
        <v>1391912.0334826801</v>
      </c>
      <c r="H58" s="41">
        <v>7657889.3277776241</v>
      </c>
      <c r="I58" s="41">
        <v>43048.825777819846</v>
      </c>
      <c r="J58" s="41">
        <v>236841.93797253133</v>
      </c>
      <c r="K58" s="24"/>
      <c r="L58" s="41">
        <v>3110942.6194440098</v>
      </c>
      <c r="M58" s="25"/>
      <c r="N58" s="41">
        <v>932512.50317407772</v>
      </c>
      <c r="O58" s="24"/>
      <c r="P58" s="41">
        <v>22575534.892295901</v>
      </c>
      <c r="Q58" s="25"/>
      <c r="R58" s="41">
        <v>21273104.697888486</v>
      </c>
      <c r="S58" s="25"/>
      <c r="T58" s="41">
        <v>53989444.317878447</v>
      </c>
      <c r="U58" s="24"/>
      <c r="V58" s="41">
        <v>114600.78285362999</v>
      </c>
      <c r="W58" s="25"/>
      <c r="X58" s="41">
        <v>290175.17753447336</v>
      </c>
      <c r="Y58" s="24"/>
      <c r="Z58" s="24">
        <f t="shared" si="22"/>
        <v>-3496514.301898893</v>
      </c>
      <c r="AA58" s="24"/>
      <c r="AB58" s="24">
        <f t="shared" si="23"/>
        <v>-83245828.714184389</v>
      </c>
      <c r="AC58" s="12"/>
      <c r="AD58" s="24"/>
      <c r="AE58" s="24"/>
      <c r="AF58" s="24">
        <f>BA58/100*AF25</f>
        <v>5966708822.6220465</v>
      </c>
      <c r="AG58" s="26">
        <f t="shared" si="18"/>
        <v>1.6079554535596366E-3</v>
      </c>
      <c r="AH58" s="26"/>
      <c r="AI58" s="26">
        <f t="shared" si="24"/>
        <v>-1.3951716296020348E-2</v>
      </c>
      <c r="AU58" s="23">
        <v>12018877</v>
      </c>
      <c r="AW58" s="23">
        <f t="shared" si="25"/>
        <v>2.0305938019534084E-3</v>
      </c>
      <c r="AX58" s="43">
        <v>6492.9108682115002</v>
      </c>
      <c r="AY58" s="26">
        <f t="shared" si="26"/>
        <v>-4.2178188072100262E-4</v>
      </c>
      <c r="AZ58" s="23">
        <f t="shared" ref="AZ58:AZ89" si="29">AZ57*((1+AY58))</f>
        <v>96.590025596028525</v>
      </c>
      <c r="BA58" s="23">
        <f t="shared" si="20"/>
        <v>103.8225741411964</v>
      </c>
      <c r="BC58" s="26">
        <f t="shared" si="21"/>
        <v>1.0636607714346186E-2</v>
      </c>
    </row>
    <row r="59" spans="1:55" s="31" customFormat="1">
      <c r="A59" s="31">
        <f t="shared" si="27"/>
        <v>2026</v>
      </c>
      <c r="B59" s="31">
        <f t="shared" si="28"/>
        <v>2</v>
      </c>
      <c r="C59" s="32"/>
      <c r="D59" s="44">
        <v>114963192.78046528</v>
      </c>
      <c r="E59" s="32"/>
      <c r="F59" s="33">
        <v>20895921.133030709</v>
      </c>
      <c r="G59" s="44">
        <v>1469468.2463703901</v>
      </c>
      <c r="H59" s="44">
        <v>8084580.7283035712</v>
      </c>
      <c r="I59" s="44">
        <v>45447.471537229838</v>
      </c>
      <c r="J59" s="44">
        <v>250038.57922589069</v>
      </c>
      <c r="K59" s="32"/>
      <c r="L59" s="44">
        <v>2595840.43923647</v>
      </c>
      <c r="M59" s="33"/>
      <c r="N59" s="44">
        <v>937144.95868837088</v>
      </c>
      <c r="O59" s="32"/>
      <c r="P59" s="44">
        <v>19353998.3189556</v>
      </c>
      <c r="Q59" s="33"/>
      <c r="R59" s="44">
        <v>18625723.439543113</v>
      </c>
      <c r="S59" s="33"/>
      <c r="T59" s="44">
        <v>63254635.519708201</v>
      </c>
      <c r="U59" s="32"/>
      <c r="V59" s="44">
        <v>113831.249796348</v>
      </c>
      <c r="W59" s="33"/>
      <c r="X59" s="44">
        <v>283901.53860192816</v>
      </c>
      <c r="Y59" s="32"/>
      <c r="Z59" s="32">
        <f t="shared" si="22"/>
        <v>-5689351.8416160867</v>
      </c>
      <c r="AA59" s="32"/>
      <c r="AB59" s="32">
        <f t="shared" si="23"/>
        <v>-71062555.579712674</v>
      </c>
      <c r="AC59" s="12"/>
      <c r="AD59" s="32"/>
      <c r="AE59" s="32"/>
      <c r="AF59" s="32">
        <f>BA59/100*AF25</f>
        <v>5932804017.4673548</v>
      </c>
      <c r="AG59" s="34">
        <f t="shared" si="18"/>
        <v>-5.6823294319551469E-3</v>
      </c>
      <c r="AH59" s="34"/>
      <c r="AI59" s="34">
        <f t="shared" si="24"/>
        <v>-1.1977903765317441E-2</v>
      </c>
      <c r="AU59" s="31">
        <v>11960995</v>
      </c>
      <c r="AW59" s="31">
        <f t="shared" si="25"/>
        <v>-4.8159241499850609E-3</v>
      </c>
      <c r="AX59" s="46">
        <v>6487.2581528916999</v>
      </c>
      <c r="AY59" s="34">
        <f t="shared" si="26"/>
        <v>-8.7059801598006546E-4</v>
      </c>
      <c r="AZ59" s="31">
        <f t="shared" si="29"/>
        <v>96.505934511381156</v>
      </c>
      <c r="BA59" s="31">
        <f t="shared" si="20"/>
        <v>103.23262007245253</v>
      </c>
      <c r="BC59" s="34">
        <f t="shared" si="21"/>
        <v>9.0013835194193495E-3</v>
      </c>
    </row>
    <row r="60" spans="1:55" s="31" customFormat="1">
      <c r="A60" s="31">
        <f t="shared" si="27"/>
        <v>2026</v>
      </c>
      <c r="B60" s="31">
        <f t="shared" si="28"/>
        <v>3</v>
      </c>
      <c r="C60" s="32"/>
      <c r="D60" s="44">
        <v>114910485.75513968</v>
      </c>
      <c r="E60" s="32"/>
      <c r="F60" s="33">
        <v>20886341.007272862</v>
      </c>
      <c r="G60" s="44">
        <v>1588671.91724844</v>
      </c>
      <c r="H60" s="44">
        <v>8740404.1547056772</v>
      </c>
      <c r="I60" s="44">
        <v>49134.183007690124</v>
      </c>
      <c r="J60" s="44">
        <v>270321.77798062324</v>
      </c>
      <c r="K60" s="32"/>
      <c r="L60" s="44">
        <v>2560370.2445098702</v>
      </c>
      <c r="M60" s="33"/>
      <c r="N60" s="44">
        <v>939285.03396140784</v>
      </c>
      <c r="O60" s="32"/>
      <c r="P60" s="44">
        <v>19250351.963064201</v>
      </c>
      <c r="Q60" s="33"/>
      <c r="R60" s="44">
        <v>18453442.493216537</v>
      </c>
      <c r="S60" s="33"/>
      <c r="T60" s="44">
        <v>53756289.367618822</v>
      </c>
      <c r="U60" s="32"/>
      <c r="V60" s="44">
        <v>116598.463421405</v>
      </c>
      <c r="W60" s="33"/>
      <c r="X60" s="44">
        <v>282910.1568862609</v>
      </c>
      <c r="Y60" s="32"/>
      <c r="Z60" s="32">
        <f t="shared" si="22"/>
        <v>-5815955.3291061986</v>
      </c>
      <c r="AA60" s="32"/>
      <c r="AB60" s="32">
        <f t="shared" si="23"/>
        <v>-80404548.350585058</v>
      </c>
      <c r="AC60" s="12"/>
      <c r="AD60" s="32"/>
      <c r="AE60" s="32"/>
      <c r="AF60" s="32">
        <f>BA60/100*AF25</f>
        <v>5933212827.0239735</v>
      </c>
      <c r="AG60" s="34">
        <f t="shared" si="18"/>
        <v>6.8906634268564042E-5</v>
      </c>
      <c r="AH60" s="34"/>
      <c r="AI60" s="34">
        <f t="shared" si="24"/>
        <v>-1.355160360746995E-2</v>
      </c>
      <c r="AU60" s="31">
        <v>12005192</v>
      </c>
      <c r="AW60" s="31">
        <f t="shared" si="25"/>
        <v>3.6950939282225266E-3</v>
      </c>
      <c r="AX60" s="46">
        <v>6463.8207432352001</v>
      </c>
      <c r="AY60" s="34">
        <f t="shared" si="26"/>
        <v>-3.6128375199702091E-3</v>
      </c>
      <c r="AZ60" s="31">
        <f t="shared" si="29"/>
        <v>96.157274250278647</v>
      </c>
      <c r="BA60" s="31">
        <f t="shared" si="20"/>
        <v>103.23973348484846</v>
      </c>
      <c r="BC60" s="34">
        <f t="shared" si="21"/>
        <v>1.0592108929739963E-2</v>
      </c>
    </row>
    <row r="61" spans="1:55" s="31" customFormat="1">
      <c r="A61" s="31">
        <f t="shared" si="27"/>
        <v>2026</v>
      </c>
      <c r="B61" s="31">
        <f t="shared" si="28"/>
        <v>4</v>
      </c>
      <c r="C61" s="32"/>
      <c r="D61" s="44">
        <v>115173450.05054541</v>
      </c>
      <c r="E61" s="32"/>
      <c r="F61" s="33">
        <v>20934137.880730391</v>
      </c>
      <c r="G61" s="44">
        <v>1663069.5601314099</v>
      </c>
      <c r="H61" s="44">
        <v>9149718.0349943601</v>
      </c>
      <c r="I61" s="44">
        <v>51435.141034990083</v>
      </c>
      <c r="J61" s="44">
        <v>282980.97015445388</v>
      </c>
      <c r="K61" s="32"/>
      <c r="L61" s="44">
        <v>2507230.46746263</v>
      </c>
      <c r="M61" s="33"/>
      <c r="N61" s="44">
        <v>943775.41976800933</v>
      </c>
      <c r="O61" s="32"/>
      <c r="P61" s="44">
        <v>19335466.151058398</v>
      </c>
      <c r="Q61" s="33"/>
      <c r="R61" s="44">
        <v>18202404.715332452</v>
      </c>
      <c r="S61" s="33"/>
      <c r="T61" s="44">
        <v>62985348.579934686</v>
      </c>
      <c r="U61" s="32"/>
      <c r="V61" s="44">
        <v>116434.458875258</v>
      </c>
      <c r="W61" s="33"/>
      <c r="X61" s="44">
        <v>275474.6769910375</v>
      </c>
      <c r="Y61" s="32"/>
      <c r="Z61" s="32">
        <f t="shared" si="22"/>
        <v>-6066304.5937533192</v>
      </c>
      <c r="AA61" s="32"/>
      <c r="AB61" s="32">
        <f t="shared" si="23"/>
        <v>-71523567.621669114</v>
      </c>
      <c r="AC61" s="12"/>
      <c r="AD61" s="32"/>
      <c r="AE61" s="32"/>
      <c r="AF61" s="32">
        <f>BA61/100*AF25</f>
        <v>5943859987.1457777</v>
      </c>
      <c r="AG61" s="34">
        <f t="shared" si="18"/>
        <v>1.7945016354899107E-3</v>
      </c>
      <c r="AH61" s="34">
        <f>(AF61-AF57)/AF57</f>
        <v>-2.2275887411080273E-3</v>
      </c>
      <c r="AI61" s="34">
        <f t="shared" si="24"/>
        <v>-1.2033185131605784E-2</v>
      </c>
      <c r="AU61" s="31">
        <v>11980958</v>
      </c>
      <c r="AW61" s="31">
        <f t="shared" si="25"/>
        <v>-2.0186266075544646E-3</v>
      </c>
      <c r="AX61" s="46">
        <v>6488.5179751587002</v>
      </c>
      <c r="AY61" s="34">
        <f t="shared" si="26"/>
        <v>3.8208410945410791E-3</v>
      </c>
      <c r="AZ61" s="31">
        <f t="shared" si="29"/>
        <v>96.524675915273164</v>
      </c>
      <c r="BA61" s="31">
        <f t="shared" si="20"/>
        <v>103.42499735543456</v>
      </c>
      <c r="BC61" s="34">
        <f t="shared" si="21"/>
        <v>9.0195535549839004E-3</v>
      </c>
    </row>
    <row r="62" spans="1:55" s="23" customFormat="1">
      <c r="A62" s="23">
        <f t="shared" si="27"/>
        <v>2027</v>
      </c>
      <c r="B62" s="23">
        <f t="shared" si="28"/>
        <v>1</v>
      </c>
      <c r="C62" s="24"/>
      <c r="D62" s="41">
        <v>115162035.65934753</v>
      </c>
      <c r="E62" s="24"/>
      <c r="F62" s="25">
        <v>20932063.18001546</v>
      </c>
      <c r="G62" s="41">
        <v>1772163.26999024</v>
      </c>
      <c r="H62" s="41">
        <v>9749919.4387894645</v>
      </c>
      <c r="I62" s="41">
        <v>54809.173298659967</v>
      </c>
      <c r="J62" s="41">
        <v>301543.90016870649</v>
      </c>
      <c r="K62" s="24"/>
      <c r="L62" s="41">
        <v>3065617.5900270999</v>
      </c>
      <c r="M62" s="25"/>
      <c r="N62" s="41">
        <v>945504.22446754202</v>
      </c>
      <c r="O62" s="24"/>
      <c r="P62" s="41">
        <v>22489518.043972701</v>
      </c>
      <c r="Q62" s="25"/>
      <c r="R62" s="41">
        <v>21109389.522157166</v>
      </c>
      <c r="S62" s="25"/>
      <c r="T62" s="41">
        <v>53912395.32151036</v>
      </c>
      <c r="U62" s="24"/>
      <c r="V62" s="41">
        <v>113649.978556409</v>
      </c>
      <c r="W62" s="25"/>
      <c r="X62" s="41">
        <v>279923.4499523858</v>
      </c>
      <c r="Y62" s="24"/>
      <c r="Z62" s="24">
        <f t="shared" si="22"/>
        <v>-3720145.4937965274</v>
      </c>
      <c r="AA62" s="24"/>
      <c r="AB62" s="24">
        <f t="shared" si="23"/>
        <v>-83739158.381809875</v>
      </c>
      <c r="AC62" s="12"/>
      <c r="AD62" s="24"/>
      <c r="AE62" s="24"/>
      <c r="AF62" s="24">
        <f>BA62/100*AF25</f>
        <v>5965183703.4672222</v>
      </c>
      <c r="AG62" s="26">
        <f t="shared" si="18"/>
        <v>3.5875199563178287E-3</v>
      </c>
      <c r="AH62" s="26"/>
      <c r="AI62" s="26">
        <f t="shared" si="24"/>
        <v>-1.4037984837438797E-2</v>
      </c>
      <c r="AU62" s="23">
        <v>12029196</v>
      </c>
      <c r="AW62" s="23">
        <f t="shared" si="25"/>
        <v>4.0262222770499657E-3</v>
      </c>
      <c r="AX62" s="43">
        <v>6485.6828620604001</v>
      </c>
      <c r="AY62" s="26">
        <f t="shared" si="26"/>
        <v>-4.3694309072646987E-4</v>
      </c>
      <c r="AZ62" s="23">
        <f t="shared" si="29"/>
        <v>96.482500125047366</v>
      </c>
      <c r="BA62" s="23">
        <f t="shared" si="20"/>
        <v>103.79603659742929</v>
      </c>
      <c r="BC62" s="26">
        <f t="shared" si="21"/>
        <v>1.0568646809015576E-2</v>
      </c>
    </row>
    <row r="63" spans="1:55" s="31" customFormat="1">
      <c r="A63" s="31">
        <f t="shared" si="27"/>
        <v>2027</v>
      </c>
      <c r="B63" s="31">
        <f t="shared" si="28"/>
        <v>2</v>
      </c>
      <c r="C63" s="32"/>
      <c r="D63" s="44">
        <v>115007974.77555253</v>
      </c>
      <c r="E63" s="32"/>
      <c r="F63" s="33">
        <v>20904060.790732369</v>
      </c>
      <c r="G63" s="44">
        <v>1862351.2258929301</v>
      </c>
      <c r="H63" s="44">
        <v>10246106.962417109</v>
      </c>
      <c r="I63" s="44">
        <v>57598.491522460012</v>
      </c>
      <c r="J63" s="44">
        <v>316889.90605412779</v>
      </c>
      <c r="K63" s="32"/>
      <c r="L63" s="44">
        <v>2545122.0504754502</v>
      </c>
      <c r="M63" s="33"/>
      <c r="N63" s="44">
        <v>945727.57584604248</v>
      </c>
      <c r="O63" s="32"/>
      <c r="P63" s="44">
        <v>19375378.498449001</v>
      </c>
      <c r="Q63" s="33"/>
      <c r="R63" s="44">
        <v>18409764.506477162</v>
      </c>
      <c r="S63" s="33"/>
      <c r="T63" s="44">
        <v>62997258.629620448</v>
      </c>
      <c r="U63" s="32"/>
      <c r="V63" s="44">
        <v>118822.976229416</v>
      </c>
      <c r="W63" s="33"/>
      <c r="X63" s="44">
        <v>284185.48434965481</v>
      </c>
      <c r="Y63" s="32"/>
      <c r="Z63" s="32">
        <f t="shared" si="22"/>
        <v>-5866322.934347285</v>
      </c>
      <c r="AA63" s="32"/>
      <c r="AB63" s="32">
        <f t="shared" si="23"/>
        <v>-71386094.644381076</v>
      </c>
      <c r="AC63" s="12"/>
      <c r="AD63" s="32"/>
      <c r="AE63" s="32"/>
      <c r="AF63" s="32">
        <f>BA63/100*AF25</f>
        <v>5947548153.1177626</v>
      </c>
      <c r="AG63" s="34">
        <f t="shared" si="18"/>
        <v>-2.9564136204571715E-3</v>
      </c>
      <c r="AH63" s="34"/>
      <c r="AI63" s="34">
        <f t="shared" si="24"/>
        <v>-1.2002608941797267E-2</v>
      </c>
      <c r="AU63" s="31">
        <v>12017415</v>
      </c>
      <c r="AW63" s="31">
        <f t="shared" si="25"/>
        <v>-9.7936719960336495E-4</v>
      </c>
      <c r="AX63" s="46">
        <v>6472.8477957282003</v>
      </c>
      <c r="AY63" s="34">
        <f t="shared" si="26"/>
        <v>-1.9789845734335455E-3</v>
      </c>
      <c r="AZ63" s="31">
        <f t="shared" si="29"/>
        <v>96.291562745693597</v>
      </c>
      <c r="BA63" s="31">
        <f t="shared" si="20"/>
        <v>103.48917258108318</v>
      </c>
      <c r="BC63" s="34">
        <f t="shared" si="21"/>
        <v>8.9675092955948423E-3</v>
      </c>
    </row>
    <row r="64" spans="1:55" s="31" customFormat="1">
      <c r="A64" s="31">
        <f t="shared" si="27"/>
        <v>2027</v>
      </c>
      <c r="B64" s="31">
        <f t="shared" si="28"/>
        <v>3</v>
      </c>
      <c r="C64" s="32"/>
      <c r="D64" s="44">
        <v>114902877.69489719</v>
      </c>
      <c r="E64" s="32"/>
      <c r="F64" s="33">
        <v>20884958.15226547</v>
      </c>
      <c r="G64" s="44">
        <v>1960312.56211253</v>
      </c>
      <c r="H64" s="44">
        <v>10785061.331030408</v>
      </c>
      <c r="I64" s="44">
        <v>60628.223570490023</v>
      </c>
      <c r="J64" s="44">
        <v>333558.59786691656</v>
      </c>
      <c r="K64" s="32"/>
      <c r="L64" s="44">
        <v>2530269.9197663399</v>
      </c>
      <c r="M64" s="33"/>
      <c r="N64" s="44">
        <v>946231.41299730912</v>
      </c>
      <c r="O64" s="32"/>
      <c r="P64" s="44">
        <v>19145483.754402</v>
      </c>
      <c r="Q64" s="33"/>
      <c r="R64" s="44">
        <v>18335468.692973807</v>
      </c>
      <c r="S64" s="33"/>
      <c r="T64" s="44">
        <v>53893541.707843877</v>
      </c>
      <c r="U64" s="32"/>
      <c r="V64" s="44">
        <v>113540.271466758</v>
      </c>
      <c r="W64" s="33"/>
      <c r="X64" s="44">
        <v>287844.12620581558</v>
      </c>
      <c r="Y64" s="32"/>
      <c r="Z64" s="32">
        <f t="shared" si="22"/>
        <v>-5912450.5205885544</v>
      </c>
      <c r="AA64" s="32"/>
      <c r="AB64" s="32">
        <f t="shared" si="23"/>
        <v>-80154819.741455317</v>
      </c>
      <c r="AC64" s="12"/>
      <c r="AD64" s="32"/>
      <c r="AE64" s="32"/>
      <c r="AF64" s="32">
        <f>BA64/100*AF25</f>
        <v>5952534233.360095</v>
      </c>
      <c r="AG64" s="34">
        <f t="shared" si="18"/>
        <v>8.3834213930974338E-4</v>
      </c>
      <c r="AH64" s="34"/>
      <c r="AI64" s="34">
        <f t="shared" si="24"/>
        <v>-1.3465662959523948E-2</v>
      </c>
      <c r="AU64" s="31">
        <v>11995212</v>
      </c>
      <c r="AW64" s="31">
        <f t="shared" si="25"/>
        <v>-1.8475687159010487E-3</v>
      </c>
      <c r="AX64" s="46">
        <v>6490.2654682336997</v>
      </c>
      <c r="AY64" s="34">
        <f t="shared" si="26"/>
        <v>2.690882445435281E-3</v>
      </c>
      <c r="AZ64" s="31">
        <f t="shared" si="29"/>
        <v>96.550672021529508</v>
      </c>
      <c r="BA64" s="31">
        <f t="shared" si="20"/>
        <v>103.5759319154202</v>
      </c>
      <c r="BC64" s="34">
        <f t="shared" si="21"/>
        <v>1.0581782111517406E-2</v>
      </c>
    </row>
    <row r="65" spans="1:55" s="31" customFormat="1">
      <c r="A65" s="31">
        <f t="shared" si="27"/>
        <v>2027</v>
      </c>
      <c r="B65" s="31">
        <f t="shared" si="28"/>
        <v>4</v>
      </c>
      <c r="C65" s="32"/>
      <c r="D65" s="44">
        <v>114992453.95125741</v>
      </c>
      <c r="E65" s="32"/>
      <c r="F65" s="33">
        <v>20901239.697193243</v>
      </c>
      <c r="G65" s="44">
        <v>2049254.8490414601</v>
      </c>
      <c r="H65" s="44">
        <v>11274395.551496189</v>
      </c>
      <c r="I65" s="44">
        <v>63379.01594972983</v>
      </c>
      <c r="J65" s="44">
        <v>348692.64592252928</v>
      </c>
      <c r="K65" s="32"/>
      <c r="L65" s="44">
        <v>2585672.5602429998</v>
      </c>
      <c r="M65" s="33"/>
      <c r="N65" s="44">
        <v>949218.34648196399</v>
      </c>
      <c r="O65" s="32"/>
      <c r="P65" s="44">
        <v>19631418.310781199</v>
      </c>
      <c r="Q65" s="33"/>
      <c r="R65" s="44">
        <v>18639386.48452498</v>
      </c>
      <c r="S65" s="33"/>
      <c r="T65" s="44">
        <v>63576974.20944827</v>
      </c>
      <c r="U65" s="32"/>
      <c r="V65" s="44">
        <v>116640.73799415601</v>
      </c>
      <c r="W65" s="33"/>
      <c r="X65" s="44">
        <v>285911.2810284599</v>
      </c>
      <c r="Y65" s="32"/>
      <c r="Z65" s="32">
        <f t="shared" si="22"/>
        <v>-5680103.381399069</v>
      </c>
      <c r="AA65" s="32"/>
      <c r="AB65" s="32">
        <f t="shared" si="23"/>
        <v>-71046898.05259034</v>
      </c>
      <c r="AC65" s="12"/>
      <c r="AD65" s="32"/>
      <c r="AE65" s="32"/>
      <c r="AF65" s="32">
        <f>BA65/100*AF25</f>
        <v>5977185200.0989437</v>
      </c>
      <c r="AG65" s="34">
        <f t="shared" si="18"/>
        <v>4.1412557698023806E-3</v>
      </c>
      <c r="AH65" s="34">
        <f>(AF65-AF61)/AF61</f>
        <v>5.6066618367921327E-3</v>
      </c>
      <c r="AI65" s="34">
        <f t="shared" si="24"/>
        <v>-1.1886347113924839E-2</v>
      </c>
      <c r="AU65" s="31">
        <v>12012508</v>
      </c>
      <c r="AW65" s="31">
        <f t="shared" si="25"/>
        <v>1.4419086548866332E-3</v>
      </c>
      <c r="AX65" s="46">
        <v>6507.7597224838</v>
      </c>
      <c r="AY65" s="34">
        <f t="shared" si="26"/>
        <v>2.6954605070817397E-3</v>
      </c>
      <c r="AZ65" s="31">
        <f t="shared" si="29"/>
        <v>96.810920544895737</v>
      </c>
      <c r="BA65" s="31">
        <f t="shared" si="20"/>
        <v>104.0048663410776</v>
      </c>
      <c r="BC65" s="34">
        <f t="shared" si="21"/>
        <v>9.0268668451728186E-3</v>
      </c>
    </row>
    <row r="66" spans="1:55" s="23" customFormat="1">
      <c r="A66" s="23">
        <f t="shared" si="27"/>
        <v>2028</v>
      </c>
      <c r="B66" s="23">
        <f t="shared" si="28"/>
        <v>1</v>
      </c>
      <c r="C66" s="24"/>
      <c r="D66" s="41">
        <v>115060961.8856061</v>
      </c>
      <c r="E66" s="24"/>
      <c r="F66" s="25">
        <v>20913691.82520495</v>
      </c>
      <c r="G66" s="41">
        <v>2141918.9208675502</v>
      </c>
      <c r="H66" s="41">
        <v>11784205.934362072</v>
      </c>
      <c r="I66" s="41">
        <v>66244.915078379679</v>
      </c>
      <c r="J66" s="41">
        <v>364459.97735141445</v>
      </c>
      <c r="K66" s="24"/>
      <c r="L66" s="41">
        <v>3088650.35260981</v>
      </c>
      <c r="M66" s="25"/>
      <c r="N66" s="41">
        <v>952748.19708262011</v>
      </c>
      <c r="O66" s="24"/>
      <c r="P66" s="41">
        <v>22733144.054224301</v>
      </c>
      <c r="Q66" s="25"/>
      <c r="R66" s="41">
        <v>21268760.836702697</v>
      </c>
      <c r="S66" s="25"/>
      <c r="T66" s="41">
        <v>54290988.291011855</v>
      </c>
      <c r="U66" s="24"/>
      <c r="V66" s="41">
        <v>121989.74809054199</v>
      </c>
      <c r="W66" s="25"/>
      <c r="X66" s="41">
        <v>292861.72384477727</v>
      </c>
      <c r="Y66" s="24"/>
      <c r="Z66" s="24">
        <f t="shared" si="22"/>
        <v>-3564339.7901041396</v>
      </c>
      <c r="AA66" s="24"/>
      <c r="AB66" s="24">
        <f t="shared" si="23"/>
        <v>-83503117.648818538</v>
      </c>
      <c r="AC66" s="12"/>
      <c r="AD66" s="24"/>
      <c r="AE66" s="24"/>
      <c r="AF66" s="24">
        <f>BA66/100*AF25</f>
        <v>6031404858.3627062</v>
      </c>
      <c r="AG66" s="26">
        <f t="shared" si="18"/>
        <v>9.0711022745062243E-3</v>
      </c>
      <c r="AH66" s="26"/>
      <c r="AI66" s="26">
        <f t="shared" si="24"/>
        <v>-1.3844721024329714E-2</v>
      </c>
      <c r="AU66" s="23">
        <v>12149495</v>
      </c>
      <c r="AW66" s="23">
        <f t="shared" si="25"/>
        <v>1.140369687995213E-2</v>
      </c>
      <c r="AX66" s="43">
        <v>6492.7509131734996</v>
      </c>
      <c r="AY66" s="26">
        <f t="shared" si="26"/>
        <v>-2.3062943240584255E-3</v>
      </c>
      <c r="AZ66" s="23">
        <f t="shared" si="29"/>
        <v>96.587646068336184</v>
      </c>
      <c r="BA66" s="23">
        <f t="shared" si="20"/>
        <v>104.94830512070385</v>
      </c>
      <c r="BC66" s="26">
        <f t="shared" si="21"/>
        <v>1.0564664030778551E-2</v>
      </c>
    </row>
    <row r="67" spans="1:55" s="31" customFormat="1">
      <c r="A67" s="31">
        <f t="shared" si="27"/>
        <v>2028</v>
      </c>
      <c r="B67" s="31">
        <f t="shared" si="28"/>
        <v>2</v>
      </c>
      <c r="C67" s="32"/>
      <c r="D67" s="44">
        <v>115022895.91758144</v>
      </c>
      <c r="E67" s="32"/>
      <c r="F67" s="33">
        <v>20906772.88492104</v>
      </c>
      <c r="G67" s="44">
        <v>2235491.2401327598</v>
      </c>
      <c r="H67" s="44">
        <v>12299013.226661673</v>
      </c>
      <c r="I67" s="44">
        <v>69138.904334000312</v>
      </c>
      <c r="J67" s="44">
        <v>380381.85237096547</v>
      </c>
      <c r="K67" s="32"/>
      <c r="L67" s="44">
        <v>2512634.6437933501</v>
      </c>
      <c r="M67" s="33"/>
      <c r="N67" s="44">
        <v>954218.50885429978</v>
      </c>
      <c r="O67" s="32"/>
      <c r="P67" s="44">
        <v>19862866.751752399</v>
      </c>
      <c r="Q67" s="33"/>
      <c r="R67" s="44">
        <v>18287901.806946285</v>
      </c>
      <c r="S67" s="33"/>
      <c r="T67" s="44">
        <v>63883959.413449675</v>
      </c>
      <c r="U67" s="32"/>
      <c r="V67" s="44">
        <v>118693.390101556</v>
      </c>
      <c r="W67" s="33"/>
      <c r="X67" s="44">
        <v>292449.79170867871</v>
      </c>
      <c r="Y67" s="32"/>
      <c r="Z67" s="32">
        <f t="shared" si="22"/>
        <v>-5967030.8405208495</v>
      </c>
      <c r="AA67" s="32"/>
      <c r="AB67" s="32">
        <f t="shared" si="23"/>
        <v>-71001803.255884171</v>
      </c>
      <c r="AC67" s="12"/>
      <c r="AD67" s="32"/>
      <c r="AE67" s="32"/>
      <c r="AF67" s="32">
        <f>BA67/100*AF25</f>
        <v>6031278552.4778423</v>
      </c>
      <c r="AG67" s="34">
        <f t="shared" si="18"/>
        <v>-2.0941370680617953E-5</v>
      </c>
      <c r="AH67" s="34"/>
      <c r="AI67" s="34">
        <f t="shared" si="24"/>
        <v>-1.177226397986781E-2</v>
      </c>
      <c r="AU67" s="31">
        <v>12145452</v>
      </c>
      <c r="AW67" s="31">
        <f t="shared" si="25"/>
        <v>-3.3277103287009048E-4</v>
      </c>
      <c r="AX67" s="46">
        <v>6494.7762194607003</v>
      </c>
      <c r="AY67" s="34">
        <f t="shared" si="26"/>
        <v>3.1193346461073023E-4</v>
      </c>
      <c r="AZ67" s="31">
        <f t="shared" si="29"/>
        <v>96.617774987412872</v>
      </c>
      <c r="BA67" s="31">
        <f t="shared" si="20"/>
        <v>104.94610735934401</v>
      </c>
      <c r="BC67" s="34">
        <f t="shared" si="21"/>
        <v>8.9855609436590884E-3</v>
      </c>
    </row>
    <row r="68" spans="1:55" s="31" customFormat="1">
      <c r="A68" s="31">
        <f t="shared" si="27"/>
        <v>2028</v>
      </c>
      <c r="B68" s="31">
        <f t="shared" si="28"/>
        <v>3</v>
      </c>
      <c r="C68" s="32"/>
      <c r="D68" s="44">
        <v>115024969.59962374</v>
      </c>
      <c r="E68" s="32"/>
      <c r="F68" s="33">
        <v>20907149.801178869</v>
      </c>
      <c r="G68" s="44">
        <v>2318159.5161205302</v>
      </c>
      <c r="H68" s="44">
        <v>12753829.690061692</v>
      </c>
      <c r="I68" s="44">
        <v>71695.655137749854</v>
      </c>
      <c r="J68" s="44">
        <v>394448.34092975128</v>
      </c>
      <c r="K68" s="32"/>
      <c r="L68" s="44">
        <v>2502356.6307017598</v>
      </c>
      <c r="M68" s="33"/>
      <c r="N68" s="44">
        <v>956083.53860275075</v>
      </c>
      <c r="O68" s="32"/>
      <c r="P68" s="44">
        <v>19696063.282611601</v>
      </c>
      <c r="Q68" s="33"/>
      <c r="R68" s="44">
        <v>18244829.991557643</v>
      </c>
      <c r="S68" s="33"/>
      <c r="T68" s="44">
        <v>54293963.173142746</v>
      </c>
      <c r="U68" s="32"/>
      <c r="V68" s="44">
        <v>116145.74507771499</v>
      </c>
      <c r="W68" s="33"/>
      <c r="X68" s="44">
        <v>285455.97993568174</v>
      </c>
      <c r="Y68" s="32"/>
      <c r="Z68" s="32">
        <f t="shared" si="22"/>
        <v>-6004614.2338480223</v>
      </c>
      <c r="AA68" s="32"/>
      <c r="AB68" s="32">
        <f t="shared" si="23"/>
        <v>-80427069.709092587</v>
      </c>
      <c r="AC68" s="12"/>
      <c r="AD68" s="32"/>
      <c r="AE68" s="32"/>
      <c r="AF68" s="32">
        <f>BA68/100*AF25</f>
        <v>6019584322.2352991</v>
      </c>
      <c r="AG68" s="34">
        <f t="shared" si="18"/>
        <v>-1.9389305502626564E-3</v>
      </c>
      <c r="AH68" s="34"/>
      <c r="AI68" s="34">
        <f t="shared" si="24"/>
        <v>-1.3360900920020168E-2</v>
      </c>
      <c r="AU68" s="31">
        <v>12116689</v>
      </c>
      <c r="AW68" s="31">
        <f t="shared" si="25"/>
        <v>-2.3682115741760785E-3</v>
      </c>
      <c r="AX68" s="46">
        <v>6497.5709220934004</v>
      </c>
      <c r="AY68" s="34">
        <f t="shared" si="26"/>
        <v>4.303000655089849E-4</v>
      </c>
      <c r="AZ68" s="31">
        <f t="shared" si="29"/>
        <v>96.659349622319297</v>
      </c>
      <c r="BA68" s="31">
        <f t="shared" si="20"/>
        <v>104.74262414565385</v>
      </c>
      <c r="BC68" s="34">
        <f t="shared" si="21"/>
        <v>1.0514983864152649E-2</v>
      </c>
    </row>
    <row r="69" spans="1:55" s="31" customFormat="1">
      <c r="A69" s="31">
        <f t="shared" si="27"/>
        <v>2028</v>
      </c>
      <c r="B69" s="31">
        <f t="shared" si="28"/>
        <v>4</v>
      </c>
      <c r="C69" s="32"/>
      <c r="D69" s="44">
        <v>115355185.53945135</v>
      </c>
      <c r="E69" s="32"/>
      <c r="F69" s="33">
        <v>20967170.45708292</v>
      </c>
      <c r="G69" s="44">
        <v>2409517.0308763799</v>
      </c>
      <c r="H69" s="44">
        <v>13256451.781423772</v>
      </c>
      <c r="I69" s="44">
        <v>74521.145284839906</v>
      </c>
      <c r="J69" s="44">
        <v>409993.3540646715</v>
      </c>
      <c r="K69" s="32"/>
      <c r="L69" s="44">
        <v>2480778.6029822398</v>
      </c>
      <c r="M69" s="33"/>
      <c r="N69" s="44">
        <v>960999.19816976041</v>
      </c>
      <c r="O69" s="32"/>
      <c r="P69" s="44">
        <v>19273076.483408801</v>
      </c>
      <c r="Q69" s="33"/>
      <c r="R69" s="44">
        <v>18159906.011727065</v>
      </c>
      <c r="S69" s="33"/>
      <c r="T69" s="44">
        <v>63673205.748391964</v>
      </c>
      <c r="U69" s="32"/>
      <c r="V69" s="44">
        <v>115514.35355810401</v>
      </c>
      <c r="W69" s="33"/>
      <c r="X69" s="44">
        <v>298449.05867366225</v>
      </c>
      <c r="Y69" s="32"/>
      <c r="Z69" s="32">
        <f t="shared" si="22"/>
        <v>-6133527.8929497506</v>
      </c>
      <c r="AA69" s="32"/>
      <c r="AB69" s="32">
        <f t="shared" si="23"/>
        <v>-70955056.274468184</v>
      </c>
      <c r="AC69" s="12"/>
      <c r="AD69" s="32"/>
      <c r="AE69" s="32"/>
      <c r="AF69" s="32">
        <f>BA69/100*AF25</f>
        <v>6024726428.9384317</v>
      </c>
      <c r="AG69" s="34">
        <f t="shared" si="18"/>
        <v>8.5422953278328209E-4</v>
      </c>
      <c r="AH69" s="34">
        <f>(AF69-AF65)/AF65</f>
        <v>7.9537821312113694E-3</v>
      </c>
      <c r="AI69" s="34">
        <f t="shared" si="24"/>
        <v>-1.1777307585893257E-2</v>
      </c>
      <c r="AU69" s="31">
        <v>12149648</v>
      </c>
      <c r="AW69" s="31">
        <f t="shared" si="25"/>
        <v>2.7201325378574956E-3</v>
      </c>
      <c r="AX69" s="46">
        <v>6485.4799739656</v>
      </c>
      <c r="AY69" s="34">
        <f t="shared" si="26"/>
        <v>-1.8608412701873081E-3</v>
      </c>
      <c r="AZ69" s="31">
        <f t="shared" si="29"/>
        <v>96.479481915392626</v>
      </c>
      <c r="BA69" s="31">
        <f t="shared" si="20"/>
        <v>104.83209838854029</v>
      </c>
      <c r="BC69" s="34">
        <f t="shared" si="21"/>
        <v>8.9038351217150917E-3</v>
      </c>
    </row>
    <row r="70" spans="1:55" s="23" customFormat="1">
      <c r="A70" s="23">
        <f t="shared" si="27"/>
        <v>2029</v>
      </c>
      <c r="B70" s="23">
        <f t="shared" si="28"/>
        <v>1</v>
      </c>
      <c r="C70" s="24"/>
      <c r="D70" s="41">
        <v>115470658.30995008</v>
      </c>
      <c r="E70" s="24"/>
      <c r="F70" s="25">
        <v>20988158.99999823</v>
      </c>
      <c r="G70" s="41">
        <v>2506633.5447573699</v>
      </c>
      <c r="H70" s="41">
        <v>13790758.186792925</v>
      </c>
      <c r="I70" s="41">
        <v>77524.748806919903</v>
      </c>
      <c r="J70" s="41">
        <v>426518.29443684476</v>
      </c>
      <c r="K70" s="24"/>
      <c r="L70" s="41">
        <v>3078138.3442221102</v>
      </c>
      <c r="M70" s="25"/>
      <c r="N70" s="41">
        <v>963905.73107358068</v>
      </c>
      <c r="O70" s="24"/>
      <c r="P70" s="41">
        <v>22263840.546565302</v>
      </c>
      <c r="Q70" s="25"/>
      <c r="R70" s="41">
        <v>21275599.435220461</v>
      </c>
      <c r="S70" s="25"/>
      <c r="T70" s="41">
        <v>54197723.998972751</v>
      </c>
      <c r="U70" s="24"/>
      <c r="V70" s="41">
        <v>119553.14767281699</v>
      </c>
      <c r="W70" s="25"/>
      <c r="X70" s="41">
        <v>285180.42735591007</v>
      </c>
      <c r="Y70" s="24"/>
      <c r="Z70" s="24">
        <f t="shared" si="22"/>
        <v>-3635050.4924006425</v>
      </c>
      <c r="AA70" s="24"/>
      <c r="AB70" s="24">
        <f t="shared" si="23"/>
        <v>-83536774.857542634</v>
      </c>
      <c r="AC70" s="12"/>
      <c r="AD70" s="24"/>
      <c r="AE70" s="24"/>
      <c r="AF70" s="24">
        <f>BA70/100*AF25</f>
        <v>6043787880.4983892</v>
      </c>
      <c r="AG70" s="26">
        <f t="shared" si="18"/>
        <v>3.1638700586303914E-3</v>
      </c>
      <c r="AH70" s="26"/>
      <c r="AI70" s="26">
        <f t="shared" si="24"/>
        <v>-1.382192368582167E-2</v>
      </c>
      <c r="AU70" s="23">
        <v>12203767</v>
      </c>
      <c r="AW70" s="23">
        <f t="shared" si="25"/>
        <v>4.4543677314766647E-3</v>
      </c>
      <c r="AX70" s="43">
        <v>6477.1475926424</v>
      </c>
      <c r="AY70" s="26">
        <f t="shared" si="26"/>
        <v>-1.2847748133751652E-3</v>
      </c>
      <c r="AZ70" s="23">
        <f t="shared" si="29"/>
        <v>96.355527507020241</v>
      </c>
      <c r="BA70" s="23">
        <f t="shared" si="20"/>
        <v>105.16377352581519</v>
      </c>
      <c r="BC70" s="26">
        <f t="shared" si="21"/>
        <v>1.0461562130106607E-2</v>
      </c>
    </row>
    <row r="71" spans="1:55" s="31" customFormat="1">
      <c r="A71" s="31">
        <f t="shared" si="27"/>
        <v>2029</v>
      </c>
      <c r="B71" s="31">
        <f t="shared" si="28"/>
        <v>2</v>
      </c>
      <c r="C71" s="32"/>
      <c r="D71" s="44">
        <v>115482825.80456409</v>
      </c>
      <c r="E71" s="32"/>
      <c r="F71" s="33">
        <v>20990370.586173698</v>
      </c>
      <c r="G71" s="44">
        <v>2584920.4148027999</v>
      </c>
      <c r="H71" s="44">
        <v>14221469.447421934</v>
      </c>
      <c r="I71" s="44">
        <v>79945.992210400291</v>
      </c>
      <c r="J71" s="44">
        <v>439839.26126049651</v>
      </c>
      <c r="K71" s="32"/>
      <c r="L71" s="44">
        <v>2507735.9359936798</v>
      </c>
      <c r="M71" s="33"/>
      <c r="N71" s="44">
        <v>966278.74240180105</v>
      </c>
      <c r="O71" s="32"/>
      <c r="P71" s="44">
        <v>19369606.7007812</v>
      </c>
      <c r="Q71" s="33"/>
      <c r="R71" s="44">
        <v>18328834.235520504</v>
      </c>
      <c r="S71" s="33"/>
      <c r="T71" s="44">
        <v>63829850.465655625</v>
      </c>
      <c r="U71" s="32"/>
      <c r="V71" s="44">
        <v>117492.342185071</v>
      </c>
      <c r="W71" s="33"/>
      <c r="X71" s="44">
        <v>292967.90538343025</v>
      </c>
      <c r="Y71" s="32"/>
      <c r="Z71" s="32">
        <f t="shared" si="22"/>
        <v>-6018058.6868636012</v>
      </c>
      <c r="AA71" s="32"/>
      <c r="AB71" s="32">
        <f t="shared" si="23"/>
        <v>-71022582.03968966</v>
      </c>
      <c r="AC71" s="12"/>
      <c r="AD71" s="32"/>
      <c r="AE71" s="32"/>
      <c r="AF71" s="32">
        <f>BA71/100*AF25</f>
        <v>6032051103.772213</v>
      </c>
      <c r="AG71" s="34">
        <f t="shared" si="18"/>
        <v>-1.9419570901962912E-3</v>
      </c>
      <c r="AH71" s="34"/>
      <c r="AI71" s="34">
        <f t="shared" si="24"/>
        <v>-1.1774200983687765E-2</v>
      </c>
      <c r="AU71" s="31">
        <v>12179290</v>
      </c>
      <c r="AW71" s="31">
        <f t="shared" si="25"/>
        <v>-2.0056921768499842E-3</v>
      </c>
      <c r="AX71" s="46">
        <v>6477.5612438625003</v>
      </c>
      <c r="AY71" s="34">
        <f t="shared" si="26"/>
        <v>6.3863176526990259E-5</v>
      </c>
      <c r="AZ71" s="31">
        <f t="shared" si="29"/>
        <v>96.361681077082778</v>
      </c>
      <c r="BA71" s="31">
        <f t="shared" si="20"/>
        <v>104.95954999018493</v>
      </c>
      <c r="BC71" s="34">
        <f t="shared" ref="BC71:BC102" si="30">T78/AF78</f>
        <v>8.8830809762995549E-3</v>
      </c>
    </row>
    <row r="72" spans="1:55" s="31" customFormat="1">
      <c r="A72" s="31">
        <f t="shared" si="27"/>
        <v>2029</v>
      </c>
      <c r="B72" s="31">
        <f t="shared" si="28"/>
        <v>3</v>
      </c>
      <c r="C72" s="32"/>
      <c r="D72" s="44">
        <v>115118582.87812661</v>
      </c>
      <c r="E72" s="32"/>
      <c r="F72" s="33">
        <v>20924165.122668207</v>
      </c>
      <c r="G72" s="44">
        <v>2656666.8884849902</v>
      </c>
      <c r="H72" s="44">
        <v>14616197.376989303</v>
      </c>
      <c r="I72" s="44">
        <v>82164.955313969869</v>
      </c>
      <c r="J72" s="44">
        <v>452047.3415563762</v>
      </c>
      <c r="K72" s="32"/>
      <c r="L72" s="44">
        <v>2494650.2012342298</v>
      </c>
      <c r="M72" s="33"/>
      <c r="N72" s="44">
        <v>964239.22971133143</v>
      </c>
      <c r="O72" s="32"/>
      <c r="P72" s="44">
        <v>19259186.773784898</v>
      </c>
      <c r="Q72" s="33"/>
      <c r="R72" s="44">
        <v>18249711.498577312</v>
      </c>
      <c r="S72" s="33"/>
      <c r="T72" s="44">
        <v>54415289.224648818</v>
      </c>
      <c r="U72" s="32"/>
      <c r="V72" s="44">
        <v>113702.517345756</v>
      </c>
      <c r="W72" s="33"/>
      <c r="X72" s="44">
        <v>306403.07658314903</v>
      </c>
      <c r="Y72" s="32"/>
      <c r="Z72" s="32">
        <f t="shared" si="22"/>
        <v>-6019640.5376906991</v>
      </c>
      <c r="AA72" s="32"/>
      <c r="AB72" s="32">
        <f t="shared" si="23"/>
        <v>-79962480.427262694</v>
      </c>
      <c r="AC72" s="12"/>
      <c r="AD72" s="32"/>
      <c r="AE72" s="32"/>
      <c r="AF72" s="32">
        <f>BA72/100*AF25</f>
        <v>6028147989.5483093</v>
      </c>
      <c r="AG72" s="34">
        <f t="shared" si="18"/>
        <v>-6.4706252595618735E-4</v>
      </c>
      <c r="AH72" s="34"/>
      <c r="AI72" s="34">
        <f t="shared" si="24"/>
        <v>-1.326485026013011E-2</v>
      </c>
      <c r="AU72" s="31">
        <v>12186458</v>
      </c>
      <c r="AW72" s="31">
        <f t="shared" si="25"/>
        <v>5.8854005446951345E-4</v>
      </c>
      <c r="AX72" s="46">
        <v>6469.5622601969999</v>
      </c>
      <c r="AY72" s="34">
        <f t="shared" si="26"/>
        <v>-1.2348758065513419E-3</v>
      </c>
      <c r="AZ72" s="31">
        <f t="shared" si="29"/>
        <v>96.242686368442065</v>
      </c>
      <c r="BA72" s="31">
        <f t="shared" si="20"/>
        <v>104.89163459864506</v>
      </c>
      <c r="BC72" s="34">
        <f t="shared" si="30"/>
        <v>1.0485144171448609E-2</v>
      </c>
    </row>
    <row r="73" spans="1:55" s="31" customFormat="1">
      <c r="A73" s="31">
        <f t="shared" si="27"/>
        <v>2029</v>
      </c>
      <c r="B73" s="31">
        <f t="shared" si="28"/>
        <v>4</v>
      </c>
      <c r="C73" s="32"/>
      <c r="D73" s="44">
        <v>114822498.4367114</v>
      </c>
      <c r="E73" s="32"/>
      <c r="F73" s="33">
        <v>20870348.270622838</v>
      </c>
      <c r="G73" s="44">
        <v>2748191.8455061601</v>
      </c>
      <c r="H73" s="44">
        <v>15119740.686291717</v>
      </c>
      <c r="I73" s="44">
        <v>84995.62408781983</v>
      </c>
      <c r="J73" s="44">
        <v>467620.84596778749</v>
      </c>
      <c r="K73" s="32"/>
      <c r="L73" s="44">
        <v>2515257.5019876901</v>
      </c>
      <c r="M73" s="33"/>
      <c r="N73" s="44">
        <v>963297.13635218143</v>
      </c>
      <c r="O73" s="32"/>
      <c r="P73" s="44">
        <v>19176336.316061102</v>
      </c>
      <c r="Q73" s="33"/>
      <c r="R73" s="44">
        <v>18351459.760450441</v>
      </c>
      <c r="S73" s="33"/>
      <c r="T73" s="44">
        <v>63747907.982338049</v>
      </c>
      <c r="U73" s="32"/>
      <c r="V73" s="44">
        <v>112991.23596259201</v>
      </c>
      <c r="W73" s="33"/>
      <c r="X73" s="44">
        <v>298123.57568119525</v>
      </c>
      <c r="Y73" s="32"/>
      <c r="Z73" s="32">
        <f t="shared" si="22"/>
        <v>-5884451.9125496764</v>
      </c>
      <c r="AA73" s="32"/>
      <c r="AB73" s="32">
        <f t="shared" si="23"/>
        <v>-70250926.770434454</v>
      </c>
      <c r="AC73" s="12"/>
      <c r="AD73" s="32"/>
      <c r="AE73" s="32"/>
      <c r="AF73" s="32">
        <f>BA73/100*AF25</f>
        <v>6034068645.8763056</v>
      </c>
      <c r="AG73" s="34">
        <f t="shared" si="18"/>
        <v>9.8216837713035153E-4</v>
      </c>
      <c r="AH73" s="34">
        <f>(AF73-AF69)/AF69</f>
        <v>1.5506458339752294E-3</v>
      </c>
      <c r="AI73" s="34">
        <f t="shared" si="24"/>
        <v>-1.1642381101919362E-2</v>
      </c>
      <c r="AU73" s="31">
        <v>12208240</v>
      </c>
      <c r="AW73" s="31">
        <f t="shared" si="25"/>
        <v>1.7873938432315607E-3</v>
      </c>
      <c r="AX73" s="46">
        <v>6464.3620986472997</v>
      </c>
      <c r="AY73" s="34">
        <f t="shared" si="26"/>
        <v>-8.0378877898638901E-4</v>
      </c>
      <c r="AZ73" s="31">
        <f t="shared" si="29"/>
        <v>96.165327577079609</v>
      </c>
      <c r="BA73" s="31">
        <f t="shared" si="20"/>
        <v>104.99465584517336</v>
      </c>
      <c r="BC73" s="34">
        <f t="shared" si="30"/>
        <v>8.8631528206444092E-3</v>
      </c>
    </row>
    <row r="74" spans="1:55" s="23" customFormat="1">
      <c r="A74" s="23">
        <f t="shared" si="27"/>
        <v>2030</v>
      </c>
      <c r="B74" s="23">
        <f t="shared" si="28"/>
        <v>1</v>
      </c>
      <c r="C74" s="24"/>
      <c r="D74" s="41">
        <v>114826989.10078385</v>
      </c>
      <c r="E74" s="24"/>
      <c r="F74" s="25">
        <v>20871164.501975007</v>
      </c>
      <c r="G74" s="41">
        <v>2837517.2200420899</v>
      </c>
      <c r="H74" s="41">
        <v>15611182.541742094</v>
      </c>
      <c r="I74" s="41">
        <v>87758.264537380077</v>
      </c>
      <c r="J74" s="41">
        <v>482820.07861055742</v>
      </c>
      <c r="K74" s="24"/>
      <c r="L74" s="41">
        <v>3009457.30972178</v>
      </c>
      <c r="M74" s="25"/>
      <c r="N74" s="41">
        <v>965461.84998112172</v>
      </c>
      <c r="O74" s="24"/>
      <c r="P74" s="41">
        <v>22321365.631249599</v>
      </c>
      <c r="Q74" s="25"/>
      <c r="R74" s="41">
        <v>20927774.527802333</v>
      </c>
      <c r="S74" s="25"/>
      <c r="T74" s="41">
        <v>54282640.917515077</v>
      </c>
      <c r="U74" s="24"/>
      <c r="V74" s="41">
        <v>112738.98510046001</v>
      </c>
      <c r="W74" s="25"/>
      <c r="X74" s="41">
        <v>291724.6258877482</v>
      </c>
      <c r="Y74" s="24"/>
      <c r="Z74" s="24">
        <f t="shared" si="22"/>
        <v>-3805570.1487751156</v>
      </c>
      <c r="AA74" s="24"/>
      <c r="AB74" s="24">
        <f t="shared" si="23"/>
        <v>-82865713.814518377</v>
      </c>
      <c r="AC74" s="12"/>
      <c r="AD74" s="24"/>
      <c r="AE74" s="24"/>
      <c r="AF74" s="24">
        <f>BA74/100*AF25</f>
        <v>6041096516.7200985</v>
      </c>
      <c r="AG74" s="26">
        <f t="shared" si="18"/>
        <v>1.1646985237060198E-3</v>
      </c>
      <c r="AH74" s="26"/>
      <c r="AI74" s="26">
        <f t="shared" si="24"/>
        <v>-1.3716998823834184E-2</v>
      </c>
      <c r="AU74" s="23">
        <v>12224550</v>
      </c>
      <c r="AW74" s="23">
        <f t="shared" si="25"/>
        <v>1.3359829099034749E-3</v>
      </c>
      <c r="AX74" s="43">
        <v>6463.2563316388996</v>
      </c>
      <c r="AY74" s="26">
        <f t="shared" si="26"/>
        <v>-1.7105585849398733E-4</v>
      </c>
      <c r="AZ74" s="23">
        <f t="shared" si="29"/>
        <v>96.148877934413562</v>
      </c>
      <c r="BA74" s="23">
        <f t="shared" si="20"/>
        <v>105.11694296583325</v>
      </c>
      <c r="BC74" s="26">
        <f t="shared" si="30"/>
        <v>1.0431557450918965E-2</v>
      </c>
    </row>
    <row r="75" spans="1:55" s="31" customFormat="1">
      <c r="A75" s="31">
        <f t="shared" si="27"/>
        <v>2030</v>
      </c>
      <c r="B75" s="31">
        <f t="shared" si="28"/>
        <v>2</v>
      </c>
      <c r="C75" s="32"/>
      <c r="D75" s="44">
        <v>115020389.51939596</v>
      </c>
      <c r="E75" s="32"/>
      <c r="F75" s="33">
        <v>20906317.31738203</v>
      </c>
      <c r="G75" s="44">
        <v>2924206.6474013701</v>
      </c>
      <c r="H75" s="44">
        <v>16088122.193556698</v>
      </c>
      <c r="I75" s="44">
        <v>90439.380847460125</v>
      </c>
      <c r="J75" s="44">
        <v>497570.78949141712</v>
      </c>
      <c r="K75" s="32"/>
      <c r="L75" s="44">
        <v>2433722.0267852801</v>
      </c>
      <c r="M75" s="33"/>
      <c r="N75" s="44">
        <v>969910.48476023972</v>
      </c>
      <c r="O75" s="32"/>
      <c r="P75" s="44">
        <v>19440342.650531799</v>
      </c>
      <c r="Q75" s="33"/>
      <c r="R75" s="44">
        <v>17964756.483709693</v>
      </c>
      <c r="S75" s="33"/>
      <c r="T75" s="44">
        <v>63368964.338710465</v>
      </c>
      <c r="U75" s="32"/>
      <c r="V75" s="44">
        <v>112485.039953984</v>
      </c>
      <c r="W75" s="33"/>
      <c r="X75" s="44">
        <v>290138.7524257116</v>
      </c>
      <c r="Y75" s="32"/>
      <c r="Z75" s="32">
        <f t="shared" si="22"/>
        <v>-6232708.3052638732</v>
      </c>
      <c r="AA75" s="32"/>
      <c r="AB75" s="32">
        <f t="shared" si="23"/>
        <v>-71091767.831217289</v>
      </c>
      <c r="AC75" s="12"/>
      <c r="AD75" s="32"/>
      <c r="AE75" s="32"/>
      <c r="AF75" s="32">
        <f>BA75/100*AF25</f>
        <v>6026539380.126482</v>
      </c>
      <c r="AG75" s="34">
        <f t="shared" si="18"/>
        <v>-2.4096844924305252E-3</v>
      </c>
      <c r="AH75" s="34"/>
      <c r="AI75" s="34">
        <f t="shared" si="24"/>
        <v>-1.1796449562024641E-2</v>
      </c>
      <c r="AU75" s="31">
        <v>12212095</v>
      </c>
      <c r="AW75" s="31">
        <f t="shared" si="25"/>
        <v>-1.0188514096633413E-3</v>
      </c>
      <c r="AX75" s="46">
        <v>6454.2578527976002</v>
      </c>
      <c r="AY75" s="34">
        <f t="shared" si="26"/>
        <v>-1.3922515802522164E-3</v>
      </c>
      <c r="AZ75" s="31">
        <f t="shared" si="29"/>
        <v>96.015014507169894</v>
      </c>
      <c r="BA75" s="31">
        <f t="shared" si="20"/>
        <v>104.86364429847679</v>
      </c>
      <c r="BC75" s="34">
        <f t="shared" si="30"/>
        <v>8.917306590548249E-3</v>
      </c>
    </row>
    <row r="76" spans="1:55" s="31" customFormat="1">
      <c r="A76" s="31">
        <f t="shared" si="27"/>
        <v>2030</v>
      </c>
      <c r="B76" s="31">
        <f t="shared" si="28"/>
        <v>3</v>
      </c>
      <c r="C76" s="32"/>
      <c r="D76" s="44">
        <v>114757745.91914961</v>
      </c>
      <c r="E76" s="32"/>
      <c r="F76" s="33">
        <v>20858578.734065861</v>
      </c>
      <c r="G76" s="44">
        <v>2971767.8617620398</v>
      </c>
      <c r="H76" s="44">
        <v>16349789.962142196</v>
      </c>
      <c r="I76" s="44">
        <v>91910.346240070183</v>
      </c>
      <c r="J76" s="44">
        <v>505663.60707660182</v>
      </c>
      <c r="K76" s="32"/>
      <c r="L76" s="44">
        <v>2480900.0108488398</v>
      </c>
      <c r="M76" s="33"/>
      <c r="N76" s="44">
        <v>969248.29114973173</v>
      </c>
      <c r="O76" s="32"/>
      <c r="P76" s="44">
        <v>19373493.831204899</v>
      </c>
      <c r="Q76" s="33"/>
      <c r="R76" s="44">
        <v>18205920.073423892</v>
      </c>
      <c r="S76" s="33"/>
      <c r="T76" s="44">
        <v>53486873.738100491</v>
      </c>
      <c r="U76" s="32"/>
      <c r="V76" s="44">
        <v>120770.48758551601</v>
      </c>
      <c r="W76" s="33"/>
      <c r="X76" s="44">
        <v>300283.03882521705</v>
      </c>
      <c r="Y76" s="32"/>
      <c r="Z76" s="32">
        <f t="shared" si="22"/>
        <v>-5982036.475055024</v>
      </c>
      <c r="AA76" s="32"/>
      <c r="AB76" s="32">
        <f t="shared" si="23"/>
        <v>-80644366.012254015</v>
      </c>
      <c r="AC76" s="12"/>
      <c r="AD76" s="32"/>
      <c r="AE76" s="32"/>
      <c r="AF76" s="32">
        <f>BA76/100*AF25</f>
        <v>6007172528.1226501</v>
      </c>
      <c r="AG76" s="34">
        <f t="shared" si="18"/>
        <v>-3.2135942009600543E-3</v>
      </c>
      <c r="AH76" s="34"/>
      <c r="AI76" s="34">
        <f t="shared" si="24"/>
        <v>-1.3424679520143036E-2</v>
      </c>
      <c r="AU76" s="31">
        <v>12176551</v>
      </c>
      <c r="AW76" s="31">
        <f t="shared" si="25"/>
        <v>-2.9105571157119234E-3</v>
      </c>
      <c r="AX76" s="46">
        <v>6452.2962639941998</v>
      </c>
      <c r="AY76" s="34">
        <f t="shared" si="26"/>
        <v>-3.039216666173624E-4</v>
      </c>
      <c r="AZ76" s="31">
        <f t="shared" si="29"/>
        <v>95.98583346394058</v>
      </c>
      <c r="BA76" s="31">
        <f t="shared" si="20"/>
        <v>104.52665509926767</v>
      </c>
      <c r="BC76" s="34">
        <f t="shared" si="30"/>
        <v>1.0440365475308957E-2</v>
      </c>
    </row>
    <row r="77" spans="1:55" s="31" customFormat="1">
      <c r="A77" s="31">
        <f t="shared" si="27"/>
        <v>2030</v>
      </c>
      <c r="B77" s="31">
        <f t="shared" si="28"/>
        <v>4</v>
      </c>
      <c r="C77" s="32"/>
      <c r="D77" s="44">
        <v>114715878.54781081</v>
      </c>
      <c r="E77" s="32"/>
      <c r="F77" s="33">
        <v>20850968.843731537</v>
      </c>
      <c r="G77" s="44">
        <v>3012722.7176549602</v>
      </c>
      <c r="H77" s="44">
        <v>16575111.495629009</v>
      </c>
      <c r="I77" s="44">
        <v>93176.991267679725</v>
      </c>
      <c r="J77" s="44">
        <v>512632.3142978074</v>
      </c>
      <c r="K77" s="32"/>
      <c r="L77" s="44">
        <v>2489672.4666720401</v>
      </c>
      <c r="M77" s="33"/>
      <c r="N77" s="44">
        <v>970754.70914262161</v>
      </c>
      <c r="O77" s="32"/>
      <c r="P77" s="44">
        <v>19383047.7614001</v>
      </c>
      <c r="Q77" s="33"/>
      <c r="R77" s="44">
        <v>18259728.255724695</v>
      </c>
      <c r="S77" s="33"/>
      <c r="T77" s="44">
        <v>62954400.174422227</v>
      </c>
      <c r="U77" s="32"/>
      <c r="V77" s="44">
        <v>120142.05549657901</v>
      </c>
      <c r="W77" s="33"/>
      <c r="X77" s="44">
        <v>295106.88958670764</v>
      </c>
      <c r="Y77" s="32"/>
      <c r="Z77" s="32">
        <f t="shared" si="22"/>
        <v>-5931525.7083249278</v>
      </c>
      <c r="AA77" s="32"/>
      <c r="AB77" s="32">
        <f t="shared" si="23"/>
        <v>-71144526.134788677</v>
      </c>
      <c r="AC77" s="12"/>
      <c r="AD77" s="32"/>
      <c r="AE77" s="32"/>
      <c r="AF77" s="32">
        <f>BA77/100*AF25</f>
        <v>6017686402.0383825</v>
      </c>
      <c r="AG77" s="34">
        <f t="shared" si="18"/>
        <v>1.7502200688446282E-3</v>
      </c>
      <c r="AH77" s="34">
        <f>(AF77-AF73)/AF73</f>
        <v>-2.7149581483662285E-3</v>
      </c>
      <c r="AI77" s="34">
        <f t="shared" si="24"/>
        <v>-1.182257123114454E-2</v>
      </c>
      <c r="AU77" s="31">
        <v>12211777</v>
      </c>
      <c r="AW77" s="31">
        <f t="shared" si="25"/>
        <v>2.8929374171717428E-3</v>
      </c>
      <c r="AX77" s="46">
        <v>6444.9443816522999</v>
      </c>
      <c r="AY77" s="34">
        <f t="shared" si="26"/>
        <v>-1.1394210744670355E-3</v>
      </c>
      <c r="AZ77" s="31">
        <f t="shared" si="29"/>
        <v>95.876465182441478</v>
      </c>
      <c r="BA77" s="31">
        <f t="shared" si="20"/>
        <v>104.7095997487516</v>
      </c>
      <c r="BC77" s="34">
        <f t="shared" si="30"/>
        <v>8.8883648767018441E-3</v>
      </c>
    </row>
    <row r="78" spans="1:55" s="23" customFormat="1">
      <c r="A78" s="23">
        <f t="shared" si="27"/>
        <v>2031</v>
      </c>
      <c r="B78" s="23">
        <f t="shared" si="28"/>
        <v>1</v>
      </c>
      <c r="C78" s="24"/>
      <c r="D78" s="41">
        <v>114603582.37541598</v>
      </c>
      <c r="E78" s="24"/>
      <c r="F78" s="25">
        <v>20830557.685123719</v>
      </c>
      <c r="G78" s="41">
        <v>3090471.7428481798</v>
      </c>
      <c r="H78" s="41">
        <v>17002863.692571044</v>
      </c>
      <c r="I78" s="41">
        <v>95581.600294270087</v>
      </c>
      <c r="J78" s="41">
        <v>525861.76368774485</v>
      </c>
      <c r="K78" s="24"/>
      <c r="L78" s="41">
        <v>3044916.5712027401</v>
      </c>
      <c r="M78" s="25"/>
      <c r="N78" s="41">
        <v>971124.67113883048</v>
      </c>
      <c r="O78" s="24"/>
      <c r="P78" s="41">
        <v>22078065.105502501</v>
      </c>
      <c r="Q78" s="25"/>
      <c r="R78" s="41">
        <v>21142927.975400627</v>
      </c>
      <c r="S78" s="25"/>
      <c r="T78" s="41">
        <v>53522269.903919436</v>
      </c>
      <c r="U78" s="24"/>
      <c r="V78" s="41">
        <v>124462.95666805199</v>
      </c>
      <c r="W78" s="25"/>
      <c r="X78" s="41">
        <v>285587.94222716818</v>
      </c>
      <c r="Y78" s="24"/>
      <c r="Z78" s="24">
        <f t="shared" ref="Z78:Z109" si="31">R78+V78-N78-L78-F78</f>
        <v>-3579207.9953966103</v>
      </c>
      <c r="AA78" s="24"/>
      <c r="AB78" s="24">
        <f t="shared" ref="AB78:AB109" si="32">T78-P78-D78</f>
        <v>-83159377.576999038</v>
      </c>
      <c r="AC78" s="12"/>
      <c r="AD78" s="24"/>
      <c r="AE78" s="24"/>
      <c r="AF78" s="24">
        <f>BA78/100*AF25</f>
        <v>6025192165.5019436</v>
      </c>
      <c r="AG78" s="26">
        <f t="shared" si="18"/>
        <v>1.2472839164597571E-3</v>
      </c>
      <c r="AH78" s="26"/>
      <c r="AI78" s="26">
        <f t="shared" ref="AI78:AI109" si="33">AB78/AF78</f>
        <v>-1.3801946111053412E-2</v>
      </c>
      <c r="AU78" s="23">
        <v>12256048</v>
      </c>
      <c r="AW78" s="23">
        <f t="shared" si="25"/>
        <v>3.6252709167551946E-3</v>
      </c>
      <c r="AX78" s="43">
        <v>6429.6737478796003</v>
      </c>
      <c r="AY78" s="26">
        <f t="shared" si="26"/>
        <v>-2.3693972931981386E-3</v>
      </c>
      <c r="AZ78" s="23">
        <f t="shared" si="29"/>
        <v>95.649295745356795</v>
      </c>
      <c r="BA78" s="23">
        <f t="shared" si="20"/>
        <v>104.84020234841717</v>
      </c>
      <c r="BC78" s="26">
        <f t="shared" si="30"/>
        <v>1.0433535327580311E-2</v>
      </c>
    </row>
    <row r="79" spans="1:55" s="31" customFormat="1">
      <c r="A79" s="31">
        <f t="shared" si="27"/>
        <v>2031</v>
      </c>
      <c r="B79" s="31">
        <f t="shared" si="28"/>
        <v>2</v>
      </c>
      <c r="C79" s="32"/>
      <c r="D79" s="44">
        <v>114174672.24405017</v>
      </c>
      <c r="E79" s="32"/>
      <c r="F79" s="33">
        <v>20752598.191642247</v>
      </c>
      <c r="G79" s="44">
        <v>3202417.0452253502</v>
      </c>
      <c r="H79" s="44">
        <v>17618753.717046242</v>
      </c>
      <c r="I79" s="44">
        <v>99043.826140999794</v>
      </c>
      <c r="J79" s="44">
        <v>544909.90877467871</v>
      </c>
      <c r="K79" s="32"/>
      <c r="L79" s="44">
        <v>2521660.3036748902</v>
      </c>
      <c r="M79" s="33"/>
      <c r="N79" s="44">
        <v>968861.47918670624</v>
      </c>
      <c r="O79" s="32"/>
      <c r="P79" s="44">
        <v>19119516.4637844</v>
      </c>
      <c r="Q79" s="33"/>
      <c r="R79" s="44">
        <v>18415297.301371962</v>
      </c>
      <c r="S79" s="33"/>
      <c r="T79" s="44">
        <v>63047830.115353718</v>
      </c>
      <c r="U79" s="32"/>
      <c r="V79" s="44">
        <v>122163.228042905</v>
      </c>
      <c r="W79" s="33"/>
      <c r="X79" s="44">
        <v>283801.40846077324</v>
      </c>
      <c r="Y79" s="32"/>
      <c r="Z79" s="32">
        <f t="shared" si="31"/>
        <v>-5705659.445088977</v>
      </c>
      <c r="AA79" s="32"/>
      <c r="AB79" s="32">
        <f t="shared" si="32"/>
        <v>-70246358.592480853</v>
      </c>
      <c r="AC79" s="12"/>
      <c r="AD79" s="32"/>
      <c r="AE79" s="32"/>
      <c r="AF79" s="32">
        <f>BA79/100*AF25</f>
        <v>6013062775.7160482</v>
      </c>
      <c r="AG79" s="34">
        <f t="shared" si="18"/>
        <v>-2.0131125203514365E-3</v>
      </c>
      <c r="AH79" s="34"/>
      <c r="AI79" s="34">
        <f t="shared" si="33"/>
        <v>-1.1682292570796548E-2</v>
      </c>
      <c r="AU79" s="31">
        <v>12188008</v>
      </c>
      <c r="AW79" s="31">
        <f t="shared" ref="AW79:AW110" si="34">(AU79-AU78)/AU78</f>
        <v>-5.5515448372917596E-3</v>
      </c>
      <c r="AX79" s="46">
        <v>6452.5517213519997</v>
      </c>
      <c r="AY79" s="34">
        <f t="shared" ref="AY79:AY110" si="35">(AX79-AX78)/AX78</f>
        <v>3.5581857446412681E-3</v>
      </c>
      <c r="AZ79" s="31">
        <f t="shared" si="29"/>
        <v>95.989633705962888</v>
      </c>
      <c r="BA79" s="31">
        <f t="shared" si="20"/>
        <v>104.62914722443338</v>
      </c>
      <c r="BC79" s="34">
        <f t="shared" si="30"/>
        <v>8.8359290947628115E-3</v>
      </c>
    </row>
    <row r="80" spans="1:55" s="31" customFormat="1">
      <c r="A80" s="31">
        <f t="shared" si="27"/>
        <v>2031</v>
      </c>
      <c r="B80" s="31">
        <f t="shared" si="28"/>
        <v>3</v>
      </c>
      <c r="C80" s="32"/>
      <c r="D80" s="44">
        <v>114351379.12104242</v>
      </c>
      <c r="E80" s="32"/>
      <c r="F80" s="33">
        <v>20784716.758254651</v>
      </c>
      <c r="G80" s="44">
        <v>3276167.7520832499</v>
      </c>
      <c r="H80" s="44">
        <v>18024508.346201975</v>
      </c>
      <c r="I80" s="44">
        <v>101324.77583762025</v>
      </c>
      <c r="J80" s="44">
        <v>557459.02101652278</v>
      </c>
      <c r="K80" s="32"/>
      <c r="L80" s="44">
        <v>2505168.6622080798</v>
      </c>
      <c r="M80" s="33"/>
      <c r="N80" s="44">
        <v>972735.28464118019</v>
      </c>
      <c r="O80" s="32"/>
      <c r="P80" s="44">
        <v>19406569.824836999</v>
      </c>
      <c r="Q80" s="33"/>
      <c r="R80" s="44">
        <v>18351034.630055845</v>
      </c>
      <c r="S80" s="33"/>
      <c r="T80" s="44">
        <v>53255712.936471596</v>
      </c>
      <c r="U80" s="32"/>
      <c r="V80" s="44">
        <v>122029.723761482</v>
      </c>
      <c r="W80" s="33"/>
      <c r="X80" s="44">
        <v>283167.82702103921</v>
      </c>
      <c r="Y80" s="32"/>
      <c r="Z80" s="32">
        <f t="shared" si="31"/>
        <v>-5789556.3512865864</v>
      </c>
      <c r="AA80" s="32"/>
      <c r="AB80" s="32">
        <f t="shared" si="32"/>
        <v>-80502236.009407818</v>
      </c>
      <c r="AC80" s="12"/>
      <c r="AD80" s="32"/>
      <c r="AE80" s="32"/>
      <c r="AF80" s="32">
        <f>BA80/100*AF25</f>
        <v>6008664638.2116156</v>
      </c>
      <c r="AG80" s="34">
        <f t="shared" si="18"/>
        <v>-7.3143049864616433E-4</v>
      </c>
      <c r="AH80" s="34"/>
      <c r="AI80" s="34">
        <f t="shared" si="33"/>
        <v>-1.3397691643074965E-2</v>
      </c>
      <c r="AU80" s="31">
        <v>12229047</v>
      </c>
      <c r="AW80" s="31">
        <f t="shared" si="34"/>
        <v>3.3671622138744905E-3</v>
      </c>
      <c r="AX80" s="46">
        <v>6426.1940903089999</v>
      </c>
      <c r="AY80" s="34">
        <f t="shared" si="35"/>
        <v>-4.0848383990135856E-3</v>
      </c>
      <c r="AZ80" s="31">
        <f t="shared" si="29"/>
        <v>95.597531564293519</v>
      </c>
      <c r="BA80" s="31">
        <f t="shared" si="20"/>
        <v>104.5526182751061</v>
      </c>
      <c r="BC80" s="34">
        <f t="shared" si="30"/>
        <v>1.0366898461427817E-2</v>
      </c>
    </row>
    <row r="81" spans="1:55" s="31" customFormat="1">
      <c r="A81" s="31">
        <f t="shared" si="27"/>
        <v>2031</v>
      </c>
      <c r="B81" s="31">
        <f t="shared" si="28"/>
        <v>4</v>
      </c>
      <c r="C81" s="32"/>
      <c r="D81" s="44">
        <v>114244997.97462474</v>
      </c>
      <c r="E81" s="32"/>
      <c r="F81" s="33">
        <v>20765380.72563567</v>
      </c>
      <c r="G81" s="44">
        <v>3340919.7056826302</v>
      </c>
      <c r="H81" s="44">
        <v>18380754.489990786</v>
      </c>
      <c r="I81" s="44">
        <v>103327.41357780993</v>
      </c>
      <c r="J81" s="44">
        <v>568476.94298938708</v>
      </c>
      <c r="K81" s="32"/>
      <c r="L81" s="44">
        <v>2445661.8162678601</v>
      </c>
      <c r="M81" s="33"/>
      <c r="N81" s="44">
        <v>972926.41667578742</v>
      </c>
      <c r="O81" s="32"/>
      <c r="P81" s="44">
        <v>19000834.446855702</v>
      </c>
      <c r="Q81" s="33"/>
      <c r="R81" s="44">
        <v>18043304.875649743</v>
      </c>
      <c r="S81" s="33"/>
      <c r="T81" s="44">
        <v>62736586.844798528</v>
      </c>
      <c r="U81" s="32"/>
      <c r="V81" s="44">
        <v>123125.58760139599</v>
      </c>
      <c r="W81" s="33"/>
      <c r="X81" s="44">
        <v>282529.99002750876</v>
      </c>
      <c r="Y81" s="32"/>
      <c r="Z81" s="32">
        <f t="shared" si="31"/>
        <v>-6017538.4953281768</v>
      </c>
      <c r="AA81" s="32"/>
      <c r="AB81" s="32">
        <f t="shared" si="32"/>
        <v>-70509245.576681912</v>
      </c>
      <c r="AC81" s="12"/>
      <c r="AD81" s="32"/>
      <c r="AE81" s="32"/>
      <c r="AF81" s="32">
        <f>BA81/100*AF25</f>
        <v>6014115067.6663122</v>
      </c>
      <c r="AG81" s="34">
        <f t="shared" si="18"/>
        <v>9.0709496749661993E-4</v>
      </c>
      <c r="AH81" s="34">
        <f>(AF81-AF77)/AF77</f>
        <v>-5.9347299501359653E-4</v>
      </c>
      <c r="AI81" s="34">
        <f t="shared" si="33"/>
        <v>-1.1723960180901889E-2</v>
      </c>
      <c r="AU81" s="31">
        <v>12253631</v>
      </c>
      <c r="AW81" s="31">
        <f t="shared" si="34"/>
        <v>2.0102956510020774E-3</v>
      </c>
      <c r="AX81" s="46">
        <v>6419.1189317566996</v>
      </c>
      <c r="AY81" s="34">
        <f t="shared" si="35"/>
        <v>-1.1009873733770317E-3</v>
      </c>
      <c r="AZ81" s="31">
        <f t="shared" si="29"/>
        <v>95.492279889115224</v>
      </c>
      <c r="BA81" s="31">
        <f t="shared" si="20"/>
        <v>104.64745742898202</v>
      </c>
      <c r="BC81" s="34">
        <f t="shared" si="30"/>
        <v>8.7874465287699419E-3</v>
      </c>
    </row>
    <row r="82" spans="1:55" s="23" customFormat="1">
      <c r="A82" s="23">
        <f t="shared" ref="A82:A113" si="36">A78+1</f>
        <v>2032</v>
      </c>
      <c r="B82" s="23">
        <f t="shared" ref="B82:B113" si="37">B78</f>
        <v>1</v>
      </c>
      <c r="C82" s="24"/>
      <c r="D82" s="41">
        <v>114407980.38604544</v>
      </c>
      <c r="E82" s="24"/>
      <c r="F82" s="25">
        <v>20795004.708170861</v>
      </c>
      <c r="G82" s="41">
        <v>3432437.0516917398</v>
      </c>
      <c r="H82" s="41">
        <v>18884255.925750457</v>
      </c>
      <c r="I82" s="41">
        <v>106157.84695953038</v>
      </c>
      <c r="J82" s="41">
        <v>584049.15234275372</v>
      </c>
      <c r="K82" s="24"/>
      <c r="L82" s="41">
        <v>2936313.72052695</v>
      </c>
      <c r="M82" s="25"/>
      <c r="N82" s="41">
        <v>975914.14127346873</v>
      </c>
      <c r="O82" s="24"/>
      <c r="P82" s="41">
        <v>21872729.359631501</v>
      </c>
      <c r="Q82" s="25"/>
      <c r="R82" s="41">
        <v>20605737.518526353</v>
      </c>
      <c r="S82" s="25"/>
      <c r="T82" s="41">
        <v>53699682.242064871</v>
      </c>
      <c r="U82" s="24"/>
      <c r="V82" s="41">
        <v>119103.794419878</v>
      </c>
      <c r="W82" s="25"/>
      <c r="X82" s="41">
        <v>303340.64571708138</v>
      </c>
      <c r="Y82" s="24"/>
      <c r="Z82" s="24">
        <f t="shared" si="31"/>
        <v>-3982391.2570250481</v>
      </c>
      <c r="AA82" s="24"/>
      <c r="AB82" s="24">
        <f t="shared" si="32"/>
        <v>-82581027.503612071</v>
      </c>
      <c r="AC82" s="12"/>
      <c r="AD82" s="24"/>
      <c r="AE82" s="24"/>
      <c r="AF82" s="24">
        <f>BA82/100*AF25</f>
        <v>6021962090.9953861</v>
      </c>
      <c r="AG82" s="26">
        <f t="shared" si="18"/>
        <v>1.3047677406875467E-3</v>
      </c>
      <c r="AH82" s="26"/>
      <c r="AI82" s="26">
        <f t="shared" si="33"/>
        <v>-1.3713309093575186E-2</v>
      </c>
      <c r="AU82" s="23">
        <v>12241316</v>
      </c>
      <c r="AW82" s="23">
        <f t="shared" si="34"/>
        <v>-1.0050082298055164E-3</v>
      </c>
      <c r="AX82" s="43">
        <v>6433.9605743900001</v>
      </c>
      <c r="AY82" s="26">
        <f t="shared" si="35"/>
        <v>2.3120996496693537E-3</v>
      </c>
      <c r="AZ82" s="23">
        <f t="shared" si="29"/>
        <v>95.713067555992964</v>
      </c>
      <c r="BA82" s="23">
        <f t="shared" si="20"/>
        <v>104.78399805558034</v>
      </c>
      <c r="BC82" s="26">
        <f t="shared" si="30"/>
        <v>1.0292054641099847E-2</v>
      </c>
    </row>
    <row r="83" spans="1:55" s="31" customFormat="1">
      <c r="A83" s="31">
        <f t="shared" si="36"/>
        <v>2032</v>
      </c>
      <c r="B83" s="31">
        <f t="shared" si="37"/>
        <v>2</v>
      </c>
      <c r="C83" s="32"/>
      <c r="D83" s="44">
        <v>114487741.07214835</v>
      </c>
      <c r="E83" s="32"/>
      <c r="F83" s="33">
        <v>20809502.157015253</v>
      </c>
      <c r="G83" s="44">
        <v>3522602.1745582498</v>
      </c>
      <c r="H83" s="44">
        <v>19380317.828749873</v>
      </c>
      <c r="I83" s="44">
        <v>108946.45900695026</v>
      </c>
      <c r="J83" s="44">
        <v>599391.27305408719</v>
      </c>
      <c r="K83" s="32"/>
      <c r="L83" s="44">
        <v>2401789.27599813</v>
      </c>
      <c r="M83" s="33"/>
      <c r="N83" s="44">
        <v>977799.39134224877</v>
      </c>
      <c r="O83" s="32"/>
      <c r="P83" s="44">
        <v>18710241.803896699</v>
      </c>
      <c r="Q83" s="33"/>
      <c r="R83" s="44">
        <v>17842459.724483732</v>
      </c>
      <c r="S83" s="33"/>
      <c r="T83" s="44">
        <v>62723840.807466187</v>
      </c>
      <c r="U83" s="32"/>
      <c r="V83" s="44">
        <v>120297.250974341</v>
      </c>
      <c r="W83" s="33"/>
      <c r="X83" s="44">
        <v>301762.20549167035</v>
      </c>
      <c r="Y83" s="32"/>
      <c r="Z83" s="32">
        <f t="shared" si="31"/>
        <v>-6226333.8488975577</v>
      </c>
      <c r="AA83" s="32"/>
      <c r="AB83" s="32">
        <f t="shared" si="32"/>
        <v>-70474142.068578869</v>
      </c>
      <c r="AC83" s="12"/>
      <c r="AD83" s="32"/>
      <c r="AE83" s="32"/>
      <c r="AF83" s="32">
        <f>BA83/100*AF25</f>
        <v>6007820411.6326714</v>
      </c>
      <c r="AG83" s="34">
        <f t="shared" si="18"/>
        <v>-2.3483507782057875E-3</v>
      </c>
      <c r="AH83" s="34"/>
      <c r="AI83" s="34">
        <f t="shared" si="33"/>
        <v>-1.1730400917464672E-2</v>
      </c>
      <c r="AU83" s="31">
        <v>12246726</v>
      </c>
      <c r="AW83" s="31">
        <f t="shared" si="34"/>
        <v>4.4194594764157709E-4</v>
      </c>
      <c r="AX83" s="46">
        <v>6416.0158458651003</v>
      </c>
      <c r="AY83" s="34">
        <f t="shared" si="35"/>
        <v>-2.7890641102663472E-3</v>
      </c>
      <c r="AZ83" s="31">
        <f t="shared" si="29"/>
        <v>95.446117674389043</v>
      </c>
      <c r="BA83" s="31">
        <f t="shared" si="20"/>
        <v>104.53792847220299</v>
      </c>
      <c r="BC83" s="34">
        <f t="shared" si="30"/>
        <v>8.7543958522843315E-3</v>
      </c>
    </row>
    <row r="84" spans="1:55" s="31" customFormat="1">
      <c r="A84" s="31">
        <f t="shared" si="36"/>
        <v>2032</v>
      </c>
      <c r="B84" s="31">
        <f t="shared" si="37"/>
        <v>3</v>
      </c>
      <c r="C84" s="32"/>
      <c r="D84" s="44">
        <v>114360616.93002191</v>
      </c>
      <c r="E84" s="32"/>
      <c r="F84" s="33">
        <v>20786395.839386698</v>
      </c>
      <c r="G84" s="44">
        <v>3603149.5151853999</v>
      </c>
      <c r="H84" s="44">
        <v>19823465.53157286</v>
      </c>
      <c r="I84" s="44">
        <v>111437.61387170991</v>
      </c>
      <c r="J84" s="44">
        <v>613096.87211048161</v>
      </c>
      <c r="K84" s="32"/>
      <c r="L84" s="44">
        <v>2395161.71692116</v>
      </c>
      <c r="M84" s="33"/>
      <c r="N84" s="44">
        <v>978174.56470579281</v>
      </c>
      <c r="O84" s="32"/>
      <c r="P84" s="44">
        <v>18940170.464032099</v>
      </c>
      <c r="Q84" s="33"/>
      <c r="R84" s="44">
        <v>17810133.382079426</v>
      </c>
      <c r="S84" s="33"/>
      <c r="T84" s="44">
        <v>53241542.796641931</v>
      </c>
      <c r="U84" s="32"/>
      <c r="V84" s="44">
        <v>118475.687875572</v>
      </c>
      <c r="W84" s="33"/>
      <c r="X84" s="44">
        <v>312615.06348403555</v>
      </c>
      <c r="Y84" s="32"/>
      <c r="Z84" s="32">
        <f t="shared" si="31"/>
        <v>-6231123.0510586519</v>
      </c>
      <c r="AA84" s="32"/>
      <c r="AB84" s="32">
        <f t="shared" si="32"/>
        <v>-80059244.59741208</v>
      </c>
      <c r="AC84" s="12"/>
      <c r="AD84" s="32"/>
      <c r="AE84" s="32"/>
      <c r="AF84" s="32">
        <f>BA84/100*AF25</f>
        <v>5990026684.9078741</v>
      </c>
      <c r="AG84" s="34">
        <f t="shared" si="18"/>
        <v>-2.9617607560878585E-3</v>
      </c>
      <c r="AH84" s="34"/>
      <c r="AI84" s="34">
        <f t="shared" si="33"/>
        <v>-1.3365423696546251E-2</v>
      </c>
      <c r="AU84" s="31">
        <v>12189857</v>
      </c>
      <c r="AW84" s="31">
        <f t="shared" si="34"/>
        <v>-4.6436084223652916E-3</v>
      </c>
      <c r="AX84" s="46">
        <v>6426.8569489800002</v>
      </c>
      <c r="AY84" s="34">
        <f t="shared" si="35"/>
        <v>1.6896939433038599E-3</v>
      </c>
      <c r="AZ84" s="31">
        <f t="shared" si="29"/>
        <v>95.607392401335318</v>
      </c>
      <c r="BA84" s="31">
        <f t="shared" si="20"/>
        <v>104.2283121381313</v>
      </c>
      <c r="BC84" s="34">
        <f t="shared" si="30"/>
        <v>1.0304933748165306E-2</v>
      </c>
    </row>
    <row r="85" spans="1:55" s="31" customFormat="1">
      <c r="A85" s="31">
        <f t="shared" si="36"/>
        <v>2032</v>
      </c>
      <c r="B85" s="31">
        <f t="shared" si="37"/>
        <v>4</v>
      </c>
      <c r="C85" s="32"/>
      <c r="D85" s="44">
        <v>114562319.58874217</v>
      </c>
      <c r="E85" s="32"/>
      <c r="F85" s="33">
        <v>20823057.685208861</v>
      </c>
      <c r="G85" s="44">
        <v>3697325.6414073398</v>
      </c>
      <c r="H85" s="44">
        <v>20341594.791596536</v>
      </c>
      <c r="I85" s="44">
        <v>114350.27756930003</v>
      </c>
      <c r="J85" s="44">
        <v>629121.48839989759</v>
      </c>
      <c r="K85" s="32"/>
      <c r="L85" s="44">
        <v>2376925.0420669299</v>
      </c>
      <c r="M85" s="33"/>
      <c r="N85" s="44">
        <v>981441.96628050134</v>
      </c>
      <c r="O85" s="32"/>
      <c r="P85" s="44">
        <v>18805337.9234582</v>
      </c>
      <c r="Q85" s="33"/>
      <c r="R85" s="44">
        <v>17733479.468992047</v>
      </c>
      <c r="S85" s="33"/>
      <c r="T85" s="44">
        <v>62348113.505955584</v>
      </c>
      <c r="U85" s="32"/>
      <c r="V85" s="44">
        <v>120344.24896980201</v>
      </c>
      <c r="W85" s="33"/>
      <c r="X85" s="44">
        <v>306838.80820782675</v>
      </c>
      <c r="Y85" s="32"/>
      <c r="Z85" s="32">
        <f t="shared" si="31"/>
        <v>-6327600.9755944442</v>
      </c>
      <c r="AA85" s="32"/>
      <c r="AB85" s="32">
        <f t="shared" si="32"/>
        <v>-71019544.006244779</v>
      </c>
      <c r="AC85" s="12"/>
      <c r="AD85" s="32"/>
      <c r="AE85" s="32"/>
      <c r="AF85" s="32">
        <f>BA85/100*AF25</f>
        <v>5975741831.3563156</v>
      </c>
      <c r="AG85" s="34">
        <f t="shared" si="18"/>
        <v>-2.3847729405863565E-3</v>
      </c>
      <c r="AH85" s="34">
        <f>(AF85-AF81)/AF81</f>
        <v>-6.3805291182908426E-3</v>
      </c>
      <c r="AI85" s="34">
        <f t="shared" si="33"/>
        <v>-1.1884640603713206E-2</v>
      </c>
      <c r="AU85" s="31">
        <v>12189296</v>
      </c>
      <c r="AW85" s="31">
        <f t="shared" si="34"/>
        <v>-4.6021868837345675E-5</v>
      </c>
      <c r="AX85" s="46">
        <v>6411.8254386243998</v>
      </c>
      <c r="AY85" s="34">
        <f t="shared" si="35"/>
        <v>-2.3388587103974731E-3</v>
      </c>
      <c r="AZ85" s="31">
        <f t="shared" si="29"/>
        <v>95.383780218839064</v>
      </c>
      <c r="BA85" s="31">
        <f t="shared" si="20"/>
        <v>103.97975127970132</v>
      </c>
      <c r="BC85" s="34">
        <f t="shared" si="30"/>
        <v>8.7547753872260787E-3</v>
      </c>
    </row>
    <row r="86" spans="1:55" s="23" customFormat="1">
      <c r="A86" s="23">
        <f t="shared" si="36"/>
        <v>2033</v>
      </c>
      <c r="B86" s="23">
        <f t="shared" si="37"/>
        <v>1</v>
      </c>
      <c r="C86" s="24"/>
      <c r="D86" s="41">
        <v>114787353.11556125</v>
      </c>
      <c r="E86" s="24"/>
      <c r="F86" s="25">
        <v>20863960.192480721</v>
      </c>
      <c r="G86" s="41">
        <v>3762468.2936257799</v>
      </c>
      <c r="H86" s="41">
        <v>20699990.443912685</v>
      </c>
      <c r="I86" s="41">
        <v>116364.99877193011</v>
      </c>
      <c r="J86" s="41">
        <v>640205.89001791133</v>
      </c>
      <c r="K86" s="24"/>
      <c r="L86" s="41">
        <v>2866893.6003561001</v>
      </c>
      <c r="M86" s="25"/>
      <c r="N86" s="41">
        <v>985055.5904224664</v>
      </c>
      <c r="O86" s="24"/>
      <c r="P86" s="41">
        <v>21641444.781126801</v>
      </c>
      <c r="Q86" s="25"/>
      <c r="R86" s="41">
        <v>20295809.741004683</v>
      </c>
      <c r="S86" s="25"/>
      <c r="T86" s="41">
        <v>52979055.744735204</v>
      </c>
      <c r="U86" s="24"/>
      <c r="V86" s="41">
        <v>125247.577811501</v>
      </c>
      <c r="W86" s="25"/>
      <c r="X86" s="41">
        <v>306503.48394324456</v>
      </c>
      <c r="Y86" s="24"/>
      <c r="Z86" s="24">
        <f t="shared" si="31"/>
        <v>-4294852.0644431021</v>
      </c>
      <c r="AA86" s="24"/>
      <c r="AB86" s="24">
        <f t="shared" si="32"/>
        <v>-83449742.151952848</v>
      </c>
      <c r="AC86" s="12"/>
      <c r="AD86" s="24"/>
      <c r="AE86" s="24"/>
      <c r="AF86" s="24">
        <f>BA86/100*AF25</f>
        <v>5995867008.0474834</v>
      </c>
      <c r="AG86" s="26">
        <f t="shared" si="18"/>
        <v>3.3678122748820316E-3</v>
      </c>
      <c r="AH86" s="26"/>
      <c r="AI86" s="26">
        <f t="shared" si="33"/>
        <v>-1.3917877437899967E-2</v>
      </c>
      <c r="AU86" s="23">
        <v>12296968</v>
      </c>
      <c r="AW86" s="23">
        <f t="shared" si="34"/>
        <v>8.8333239261726027E-3</v>
      </c>
      <c r="AX86" s="43">
        <v>6377.0883757125002</v>
      </c>
      <c r="AY86" s="26">
        <f t="shared" si="35"/>
        <v>-5.4176557431906761E-3</v>
      </c>
      <c r="AZ86" s="23">
        <f t="shared" si="29"/>
        <v>94.867023734129234</v>
      </c>
      <c r="BA86" s="23">
        <f t="shared" si="20"/>
        <v>104.32993556240027</v>
      </c>
      <c r="BC86" s="26">
        <f t="shared" si="30"/>
        <v>1.0269468322740241E-2</v>
      </c>
    </row>
    <row r="87" spans="1:55" s="31" customFormat="1">
      <c r="A87" s="31">
        <f t="shared" si="36"/>
        <v>2033</v>
      </c>
      <c r="B87" s="31">
        <f t="shared" si="37"/>
        <v>2</v>
      </c>
      <c r="C87" s="32"/>
      <c r="D87" s="44">
        <v>115126974.13294059</v>
      </c>
      <c r="E87" s="32"/>
      <c r="F87" s="33">
        <v>20925690.33255982</v>
      </c>
      <c r="G87" s="44">
        <v>3840585.18440188</v>
      </c>
      <c r="H87" s="44">
        <v>21129766.528753832</v>
      </c>
      <c r="I87" s="44">
        <v>118780.98508459982</v>
      </c>
      <c r="J87" s="44">
        <v>653497.93387901527</v>
      </c>
      <c r="K87" s="32"/>
      <c r="L87" s="44">
        <v>2395216.19232227</v>
      </c>
      <c r="M87" s="33"/>
      <c r="N87" s="44">
        <v>989660.41179480031</v>
      </c>
      <c r="O87" s="32"/>
      <c r="P87" s="44">
        <v>18880396.429931901</v>
      </c>
      <c r="Q87" s="33"/>
      <c r="R87" s="44">
        <v>17873607.797005706</v>
      </c>
      <c r="S87" s="33"/>
      <c r="T87" s="44">
        <v>61781374.010329001</v>
      </c>
      <c r="U87" s="32"/>
      <c r="V87" s="44">
        <v>122852.145840892</v>
      </c>
      <c r="W87" s="33"/>
      <c r="X87" s="44">
        <v>309255.97796279658</v>
      </c>
      <c r="Y87" s="32"/>
      <c r="Z87" s="32">
        <f t="shared" si="31"/>
        <v>-6314106.9938302934</v>
      </c>
      <c r="AA87" s="32"/>
      <c r="AB87" s="32">
        <f t="shared" si="32"/>
        <v>-72225996.552543491</v>
      </c>
      <c r="AC87" s="12"/>
      <c r="AD87" s="32"/>
      <c r="AE87" s="32"/>
      <c r="AF87" s="32">
        <f>BA87/100*AF25</f>
        <v>5959484819.900507</v>
      </c>
      <c r="AG87" s="34">
        <f t="shared" si="18"/>
        <v>-6.0678777728300718E-3</v>
      </c>
      <c r="AH87" s="34"/>
      <c r="AI87" s="34">
        <f t="shared" si="33"/>
        <v>-1.2119503402602726E-2</v>
      </c>
      <c r="AU87" s="31">
        <v>12208424</v>
      </c>
      <c r="AW87" s="31">
        <f t="shared" si="34"/>
        <v>-7.2004741331359078E-3</v>
      </c>
      <c r="AX87" s="46">
        <v>6384.3634266119998</v>
      </c>
      <c r="AY87" s="34">
        <f t="shared" si="35"/>
        <v>1.1408107385193198E-3</v>
      </c>
      <c r="AZ87" s="31">
        <f t="shared" si="29"/>
        <v>94.975249053536501</v>
      </c>
      <c r="BA87" s="31">
        <f t="shared" si="20"/>
        <v>103.69687426536038</v>
      </c>
      <c r="BC87" s="34">
        <f t="shared" si="30"/>
        <v>8.6915420494610811E-3</v>
      </c>
    </row>
    <row r="88" spans="1:55" s="31" customFormat="1">
      <c r="A88" s="31">
        <f t="shared" si="36"/>
        <v>2033</v>
      </c>
      <c r="B88" s="31">
        <f t="shared" si="37"/>
        <v>3</v>
      </c>
      <c r="C88" s="32"/>
      <c r="D88" s="44">
        <v>115103049.33010724</v>
      </c>
      <c r="E88" s="32"/>
      <c r="F88" s="33">
        <v>20921341.716441583</v>
      </c>
      <c r="G88" s="44">
        <v>3923479.2537474199</v>
      </c>
      <c r="H88" s="44">
        <v>21585825.24058849</v>
      </c>
      <c r="I88" s="44">
        <v>121344.71918806992</v>
      </c>
      <c r="J88" s="44">
        <v>667602.84249245713</v>
      </c>
      <c r="K88" s="32"/>
      <c r="L88" s="44">
        <v>2394616.9433237701</v>
      </c>
      <c r="M88" s="33"/>
      <c r="N88" s="44">
        <v>990558.60475452617</v>
      </c>
      <c r="O88" s="32"/>
      <c r="P88" s="44">
        <v>18938162.238428</v>
      </c>
      <c r="Q88" s="33"/>
      <c r="R88" s="44">
        <v>17875439.883758422</v>
      </c>
      <c r="S88" s="33"/>
      <c r="T88" s="44">
        <v>52264103.842418946</v>
      </c>
      <c r="U88" s="32"/>
      <c r="V88" s="44">
        <v>119426.12790166</v>
      </c>
      <c r="W88" s="33"/>
      <c r="X88" s="44">
        <v>299154.39300597191</v>
      </c>
      <c r="Y88" s="32"/>
      <c r="Z88" s="32">
        <f t="shared" si="31"/>
        <v>-6311651.2528597992</v>
      </c>
      <c r="AA88" s="32"/>
      <c r="AB88" s="32">
        <f t="shared" si="32"/>
        <v>-81777107.7261163</v>
      </c>
      <c r="AC88" s="12"/>
      <c r="AD88" s="32"/>
      <c r="AE88" s="32"/>
      <c r="AF88" s="32">
        <f>BA88/100*AF25</f>
        <v>5947587125.7147579</v>
      </c>
      <c r="AG88" s="34">
        <f t="shared" si="18"/>
        <v>-1.9964299843535276E-3</v>
      </c>
      <c r="AH88" s="34"/>
      <c r="AI88" s="34">
        <f t="shared" si="33"/>
        <v>-1.3749627537619071E-2</v>
      </c>
      <c r="AU88" s="31">
        <v>12212985</v>
      </c>
      <c r="AW88" s="31">
        <f t="shared" si="34"/>
        <v>3.7359449507979079E-4</v>
      </c>
      <c r="AX88" s="46">
        <v>6369.2379797889998</v>
      </c>
      <c r="AY88" s="34">
        <f t="shared" si="35"/>
        <v>-2.3691393820020352E-3</v>
      </c>
      <c r="AZ88" s="31">
        <f t="shared" si="29"/>
        <v>94.750239450688326</v>
      </c>
      <c r="BA88" s="31">
        <f t="shared" si="20"/>
        <v>103.48985071629328</v>
      </c>
      <c r="BC88" s="34">
        <f t="shared" si="30"/>
        <v>1.0182531375463495E-2</v>
      </c>
    </row>
    <row r="89" spans="1:55" s="31" customFormat="1">
      <c r="A89" s="31">
        <f t="shared" si="36"/>
        <v>2033</v>
      </c>
      <c r="B89" s="31">
        <f t="shared" si="37"/>
        <v>4</v>
      </c>
      <c r="C89" s="32"/>
      <c r="D89" s="44">
        <v>115339951.45006658</v>
      </c>
      <c r="E89" s="32"/>
      <c r="F89" s="33">
        <v>20964401.481007893</v>
      </c>
      <c r="G89" s="44">
        <v>4009481.15301731</v>
      </c>
      <c r="H89" s="44">
        <v>22058982.31570885</v>
      </c>
      <c r="I89" s="44">
        <v>124004.57174280984</v>
      </c>
      <c r="J89" s="44">
        <v>682236.56646525755</v>
      </c>
      <c r="K89" s="32"/>
      <c r="L89" s="44">
        <v>2388962.3910650802</v>
      </c>
      <c r="M89" s="33"/>
      <c r="N89" s="44">
        <v>994144.65322638676</v>
      </c>
      <c r="O89" s="32"/>
      <c r="P89" s="44">
        <v>18949177.491877198</v>
      </c>
      <c r="Q89" s="33"/>
      <c r="R89" s="44">
        <v>17865827.765844293</v>
      </c>
      <c r="S89" s="33"/>
      <c r="T89" s="44">
        <v>61294552.428708464</v>
      </c>
      <c r="U89" s="32"/>
      <c r="V89" s="44">
        <v>125502.489184133</v>
      </c>
      <c r="W89" s="33"/>
      <c r="X89" s="44">
        <v>302152.01178771071</v>
      </c>
      <c r="Y89" s="32"/>
      <c r="Z89" s="32">
        <f t="shared" si="31"/>
        <v>-6356178.2702709325</v>
      </c>
      <c r="AA89" s="32"/>
      <c r="AB89" s="32">
        <f t="shared" si="32"/>
        <v>-72994576.513235316</v>
      </c>
      <c r="AC89" s="12"/>
      <c r="AD89" s="32"/>
      <c r="AE89" s="32"/>
      <c r="AF89" s="32">
        <f>BA89/100*AF25</f>
        <v>5955521474.1998596</v>
      </c>
      <c r="AG89" s="34">
        <f t="shared" si="18"/>
        <v>1.3340449357684997E-3</v>
      </c>
      <c r="AH89" s="34">
        <f>(AF89-AF85)/AF85</f>
        <v>-3.3837400823366181E-3</v>
      </c>
      <c r="AI89" s="34">
        <f t="shared" si="33"/>
        <v>-1.2256622166414459E-2</v>
      </c>
      <c r="AU89" s="31">
        <v>12272310</v>
      </c>
      <c r="AW89" s="31">
        <f t="shared" si="34"/>
        <v>4.8575348287089523E-3</v>
      </c>
      <c r="AX89" s="46">
        <v>6346.9045197017003</v>
      </c>
      <c r="AY89" s="34">
        <f t="shared" si="35"/>
        <v>-3.5064571551837922E-3</v>
      </c>
      <c r="AZ89" s="31">
        <f t="shared" si="29"/>
        <v>94.418001795611076</v>
      </c>
      <c r="BA89" s="31">
        <f t="shared" si="20"/>
        <v>103.62791082754478</v>
      </c>
      <c r="BC89" s="34">
        <f t="shared" si="30"/>
        <v>8.652987496416761E-3</v>
      </c>
    </row>
    <row r="90" spans="1:55" s="23" customFormat="1">
      <c r="A90" s="23">
        <f t="shared" si="36"/>
        <v>2034</v>
      </c>
      <c r="B90" s="23">
        <f t="shared" si="37"/>
        <v>1</v>
      </c>
      <c r="C90" s="24"/>
      <c r="D90" s="41">
        <v>115439082.83869722</v>
      </c>
      <c r="E90" s="24"/>
      <c r="F90" s="25">
        <v>20982419.784332067</v>
      </c>
      <c r="G90" s="41">
        <v>4080976.4633015301</v>
      </c>
      <c r="H90" s="41">
        <v>22452328.418365765</v>
      </c>
      <c r="I90" s="41">
        <v>126215.76690624002</v>
      </c>
      <c r="J90" s="41">
        <v>694401.90984640317</v>
      </c>
      <c r="K90" s="24"/>
      <c r="L90" s="41">
        <v>2879442.8065359802</v>
      </c>
      <c r="M90" s="25"/>
      <c r="N90" s="41">
        <v>996688.97259456292</v>
      </c>
      <c r="O90" s="24"/>
      <c r="P90" s="41">
        <v>21935278.291607101</v>
      </c>
      <c r="Q90" s="25"/>
      <c r="R90" s="41">
        <v>20424931.06783672</v>
      </c>
      <c r="S90" s="25"/>
      <c r="T90" s="41">
        <v>52178658.274802513</v>
      </c>
      <c r="U90" s="24"/>
      <c r="V90" s="41">
        <v>120020.38070844499</v>
      </c>
      <c r="W90" s="25"/>
      <c r="X90" s="41">
        <v>297576.77045481681</v>
      </c>
      <c r="Y90" s="24"/>
      <c r="Z90" s="24">
        <f t="shared" si="31"/>
        <v>-4313600.1149174441</v>
      </c>
      <c r="AA90" s="24"/>
      <c r="AB90" s="24">
        <f t="shared" si="32"/>
        <v>-85195702.855501816</v>
      </c>
      <c r="AC90" s="12"/>
      <c r="AD90" s="24"/>
      <c r="AE90" s="24"/>
      <c r="AF90" s="24">
        <f>BA90/100*AF25</f>
        <v>5960280886.9086332</v>
      </c>
      <c r="AG90" s="26">
        <f t="shared" ref="AG90:AG117" si="38">(AF90-AF89)/AF89</f>
        <v>7.9915969229429277E-4</v>
      </c>
      <c r="AH90" s="26"/>
      <c r="AI90" s="26">
        <f t="shared" si="33"/>
        <v>-1.4293907363095689E-2</v>
      </c>
      <c r="AU90" s="23">
        <v>12255779</v>
      </c>
      <c r="AW90" s="23">
        <f t="shared" si="34"/>
        <v>-1.3470161689201137E-3</v>
      </c>
      <c r="AX90" s="43">
        <v>6360.5444662037999</v>
      </c>
      <c r="AY90" s="26">
        <f t="shared" si="35"/>
        <v>2.1490706941878789E-3</v>
      </c>
      <c r="AZ90" s="23">
        <f t="shared" ref="AZ90:AZ117" si="39">AZ89*((1+AY90))</f>
        <v>94.620912756273796</v>
      </c>
      <c r="BA90" s="23">
        <f t="shared" si="20"/>
        <v>103.71072607687483</v>
      </c>
      <c r="BC90" s="26">
        <f t="shared" si="30"/>
        <v>1.012384417150934E-2</v>
      </c>
    </row>
    <row r="91" spans="1:55" s="31" customFormat="1">
      <c r="A91" s="31">
        <f t="shared" si="36"/>
        <v>2034</v>
      </c>
      <c r="B91" s="31">
        <f t="shared" si="37"/>
        <v>2</v>
      </c>
      <c r="C91" s="32"/>
      <c r="D91" s="44">
        <v>115209946.19257315</v>
      </c>
      <c r="E91" s="32"/>
      <c r="F91" s="33">
        <v>20940771.486556977</v>
      </c>
      <c r="G91" s="44">
        <v>4194441.4310866203</v>
      </c>
      <c r="H91" s="44">
        <v>23076579.193541557</v>
      </c>
      <c r="I91" s="44">
        <v>129724.99271400925</v>
      </c>
      <c r="J91" s="44">
        <v>713708.63485174603</v>
      </c>
      <c r="K91" s="32"/>
      <c r="L91" s="44">
        <v>2296561.0193171501</v>
      </c>
      <c r="M91" s="33"/>
      <c r="N91" s="44">
        <v>996054.48048819602</v>
      </c>
      <c r="O91" s="32"/>
      <c r="P91" s="44">
        <v>18948004.962340899</v>
      </c>
      <c r="Q91" s="33"/>
      <c r="R91" s="44">
        <v>17396863.914690979</v>
      </c>
      <c r="S91" s="33"/>
      <c r="T91" s="44">
        <v>60985680.835829459</v>
      </c>
      <c r="U91" s="32"/>
      <c r="V91" s="44">
        <v>117067.198561125</v>
      </c>
      <c r="W91" s="33"/>
      <c r="X91" s="44">
        <v>302270.05720241065</v>
      </c>
      <c r="Y91" s="32"/>
      <c r="Z91" s="32">
        <f t="shared" si="31"/>
        <v>-6719455.8731102198</v>
      </c>
      <c r="AA91" s="32"/>
      <c r="AB91" s="32">
        <f t="shared" si="32"/>
        <v>-73172270.319084585</v>
      </c>
      <c r="AC91" s="12"/>
      <c r="AD91" s="32"/>
      <c r="AE91" s="32"/>
      <c r="AF91" s="32">
        <f>BA91/100*AF25</f>
        <v>5918105086.9625797</v>
      </c>
      <c r="AG91" s="34">
        <f t="shared" si="38"/>
        <v>-7.0761430117647454E-3</v>
      </c>
      <c r="AH91" s="34"/>
      <c r="AI91" s="34">
        <f t="shared" si="33"/>
        <v>-1.2364138392925982E-2</v>
      </c>
      <c r="AU91" s="31">
        <v>12199168</v>
      </c>
      <c r="AW91" s="31">
        <f t="shared" si="34"/>
        <v>-4.6191270257076276E-3</v>
      </c>
      <c r="AX91" s="46">
        <v>6344.8439842498001</v>
      </c>
      <c r="AY91" s="34">
        <f t="shared" si="35"/>
        <v>-2.4684179219912564E-3</v>
      </c>
      <c r="AZ91" s="31">
        <f t="shared" si="39"/>
        <v>94.387348799431038</v>
      </c>
      <c r="BA91" s="31">
        <f t="shared" ref="BA91:BA117" si="40">BA90*(1+AW91)*(1+AY91)</f>
        <v>102.97685414730091</v>
      </c>
      <c r="BC91" s="34">
        <f t="shared" si="30"/>
        <v>8.6345507313891519E-3</v>
      </c>
    </row>
    <row r="92" spans="1:55" s="31" customFormat="1">
      <c r="A92" s="31">
        <f t="shared" si="36"/>
        <v>2034</v>
      </c>
      <c r="B92" s="31">
        <f t="shared" si="37"/>
        <v>3</v>
      </c>
      <c r="C92" s="32"/>
      <c r="D92" s="44">
        <v>115270164.86707248</v>
      </c>
      <c r="E92" s="32"/>
      <c r="F92" s="33">
        <v>20951716.94346923</v>
      </c>
      <c r="G92" s="44">
        <v>4256268.2190510696</v>
      </c>
      <c r="H92" s="44">
        <v>23416731.93907037</v>
      </c>
      <c r="I92" s="44">
        <v>131637.16141396016</v>
      </c>
      <c r="J92" s="44">
        <v>724228.82285789901</v>
      </c>
      <c r="K92" s="32"/>
      <c r="L92" s="44">
        <v>2291590.2667324198</v>
      </c>
      <c r="M92" s="33"/>
      <c r="N92" s="44">
        <v>998434.16067864001</v>
      </c>
      <c r="O92" s="32"/>
      <c r="P92" s="44">
        <v>18867034.335191499</v>
      </c>
      <c r="Q92" s="33"/>
      <c r="R92" s="44">
        <v>17384162.954187505</v>
      </c>
      <c r="S92" s="33"/>
      <c r="T92" s="44">
        <v>51967143.362325497</v>
      </c>
      <c r="U92" s="32"/>
      <c r="V92" s="44">
        <v>118931.520555927</v>
      </c>
      <c r="W92" s="33"/>
      <c r="X92" s="44">
        <v>314585.80558382685</v>
      </c>
      <c r="Y92" s="32"/>
      <c r="Z92" s="32">
        <f t="shared" si="31"/>
        <v>-6738646.8961368576</v>
      </c>
      <c r="AA92" s="32"/>
      <c r="AB92" s="32">
        <f t="shared" si="32"/>
        <v>-82170055.839938477</v>
      </c>
      <c r="AC92" s="12"/>
      <c r="AD92" s="32"/>
      <c r="AE92" s="32"/>
      <c r="AF92" s="32">
        <f>BA92/100*AF25</f>
        <v>5935862550.8713493</v>
      </c>
      <c r="AG92" s="34">
        <f t="shared" si="38"/>
        <v>3.0005320364940467E-3</v>
      </c>
      <c r="AH92" s="34"/>
      <c r="AI92" s="34">
        <f t="shared" si="33"/>
        <v>-1.3842984930282187E-2</v>
      </c>
      <c r="AU92" s="31">
        <v>12180048</v>
      </c>
      <c r="AW92" s="31">
        <f t="shared" si="34"/>
        <v>-1.5673200008394015E-3</v>
      </c>
      <c r="AX92" s="46">
        <v>6373.8717886282002</v>
      </c>
      <c r="AY92" s="34">
        <f t="shared" si="35"/>
        <v>4.5750225616985425E-3</v>
      </c>
      <c r="AZ92" s="31">
        <f t="shared" si="39"/>
        <v>94.81917304972734</v>
      </c>
      <c r="BA92" s="31">
        <f t="shared" si="40"/>
        <v>103.28583949718725</v>
      </c>
      <c r="BC92" s="34">
        <f t="shared" si="30"/>
        <v>1.0106068267524838E-2</v>
      </c>
    </row>
    <row r="93" spans="1:55" s="31" customFormat="1">
      <c r="A93" s="31">
        <f t="shared" si="36"/>
        <v>2034</v>
      </c>
      <c r="B93" s="31">
        <f t="shared" si="37"/>
        <v>4</v>
      </c>
      <c r="C93" s="32"/>
      <c r="D93" s="44">
        <v>115511316.58494307</v>
      </c>
      <c r="E93" s="32"/>
      <c r="F93" s="33">
        <v>20995549.122759357</v>
      </c>
      <c r="G93" s="44">
        <v>4302385.8781244401</v>
      </c>
      <c r="H93" s="44">
        <v>23670457.692382816</v>
      </c>
      <c r="I93" s="44">
        <v>133063.4807667397</v>
      </c>
      <c r="J93" s="44">
        <v>732076.01110464754</v>
      </c>
      <c r="K93" s="32"/>
      <c r="L93" s="44">
        <v>2343119.9376034201</v>
      </c>
      <c r="M93" s="33"/>
      <c r="N93" s="44">
        <v>1001555.144143261</v>
      </c>
      <c r="O93" s="32"/>
      <c r="P93" s="44">
        <v>18969256.418268599</v>
      </c>
      <c r="Q93" s="33"/>
      <c r="R93" s="44">
        <v>17668721.391482227</v>
      </c>
      <c r="S93" s="33"/>
      <c r="T93" s="44">
        <v>60680953.068829484</v>
      </c>
      <c r="U93" s="32"/>
      <c r="V93" s="44">
        <v>119451.86359677</v>
      </c>
      <c r="W93" s="33"/>
      <c r="X93" s="44">
        <v>308569.17109585763</v>
      </c>
      <c r="Y93" s="32"/>
      <c r="Z93" s="32">
        <f t="shared" si="31"/>
        <v>-6552050.9494270403</v>
      </c>
      <c r="AA93" s="32"/>
      <c r="AB93" s="32">
        <f t="shared" si="32"/>
        <v>-73799619.934382185</v>
      </c>
      <c r="AC93" s="12"/>
      <c r="AD93" s="32"/>
      <c r="AE93" s="32"/>
      <c r="AF93" s="32">
        <f>BA93/100*AF25</f>
        <v>5908869978.6395321</v>
      </c>
      <c r="AG93" s="34">
        <f t="shared" si="38"/>
        <v>-4.5473715067500843E-3</v>
      </c>
      <c r="AH93" s="34">
        <f>(AF93-AF89)/AF89</f>
        <v>-7.8333183353344014E-3</v>
      </c>
      <c r="AI93" s="34">
        <f t="shared" si="33"/>
        <v>-1.2489633415723582E-2</v>
      </c>
      <c r="AU93" s="31">
        <v>12182352</v>
      </c>
      <c r="AW93" s="31">
        <f t="shared" si="34"/>
        <v>1.8916181611106951E-4</v>
      </c>
      <c r="AX93" s="46">
        <v>6343.6874422315004</v>
      </c>
      <c r="AY93" s="34">
        <f t="shared" si="35"/>
        <v>-4.7356375210672562E-3</v>
      </c>
      <c r="AZ93" s="31">
        <f t="shared" si="39"/>
        <v>94.370143816116482</v>
      </c>
      <c r="BA93" s="31">
        <f t="shared" si="40"/>
        <v>102.81616041360699</v>
      </c>
      <c r="BC93" s="34">
        <f t="shared" si="30"/>
        <v>8.5941889802944541E-3</v>
      </c>
    </row>
    <row r="94" spans="1:55" s="23" customFormat="1">
      <c r="A94" s="23">
        <f t="shared" si="36"/>
        <v>2035</v>
      </c>
      <c r="B94" s="23">
        <f t="shared" si="37"/>
        <v>1</v>
      </c>
      <c r="C94" s="24"/>
      <c r="D94" s="41">
        <v>115481050.1301183</v>
      </c>
      <c r="E94" s="24"/>
      <c r="F94" s="25">
        <v>20990047.836324118</v>
      </c>
      <c r="G94" s="41">
        <v>4403018.67957698</v>
      </c>
      <c r="H94" s="41">
        <v>24224109.674498077</v>
      </c>
      <c r="I94" s="41">
        <v>136175.83545082994</v>
      </c>
      <c r="J94" s="41">
        <v>749199.26828342094</v>
      </c>
      <c r="K94" s="24"/>
      <c r="L94" s="41">
        <v>2918511.6397036701</v>
      </c>
      <c r="M94" s="25"/>
      <c r="N94" s="41">
        <v>1003118.6090392731</v>
      </c>
      <c r="O94" s="24"/>
      <c r="P94" s="41">
        <v>21806141.560654499</v>
      </c>
      <c r="Q94" s="25"/>
      <c r="R94" s="41">
        <v>20663033.391538631</v>
      </c>
      <c r="S94" s="25"/>
      <c r="T94" s="41">
        <v>51118384.206269659</v>
      </c>
      <c r="U94" s="24"/>
      <c r="V94" s="41">
        <v>119254.76362636501</v>
      </c>
      <c r="W94" s="25"/>
      <c r="X94" s="41">
        <v>299964.00178088684</v>
      </c>
      <c r="Y94" s="24"/>
      <c r="Z94" s="24">
        <f t="shared" si="31"/>
        <v>-4129389.9299020618</v>
      </c>
      <c r="AA94" s="24"/>
      <c r="AB94" s="24">
        <f t="shared" si="32"/>
        <v>-86168807.484503135</v>
      </c>
      <c r="AC94" s="12"/>
      <c r="AD94" s="24"/>
      <c r="AE94" s="24"/>
      <c r="AF94" s="24">
        <f>BA94/100*AF25</f>
        <v>5881394108.8209143</v>
      </c>
      <c r="AG94" s="26">
        <f t="shared" si="38"/>
        <v>-4.6499364375832668E-3</v>
      </c>
      <c r="AH94" s="26"/>
      <c r="AI94" s="26">
        <f t="shared" si="33"/>
        <v>-1.4651085421272341E-2</v>
      </c>
      <c r="AU94" s="23">
        <v>12110740</v>
      </c>
      <c r="AW94" s="23">
        <f t="shared" si="34"/>
        <v>-5.8783394208277683E-3</v>
      </c>
      <c r="AX94" s="43">
        <v>6351.5261252497003</v>
      </c>
      <c r="AY94" s="26">
        <f t="shared" si="35"/>
        <v>1.2356666512312363E-3</v>
      </c>
      <c r="AZ94" s="23">
        <f t="shared" si="39"/>
        <v>94.486753855701949</v>
      </c>
      <c r="BA94" s="23">
        <f t="shared" si="40"/>
        <v>102.33807180292735</v>
      </c>
      <c r="BC94" s="26">
        <f t="shared" si="30"/>
        <v>1.0026472132923622E-2</v>
      </c>
    </row>
    <row r="95" spans="1:55" s="31" customFormat="1">
      <c r="A95" s="31">
        <f t="shared" si="36"/>
        <v>2035</v>
      </c>
      <c r="B95" s="31">
        <f t="shared" si="37"/>
        <v>2</v>
      </c>
      <c r="C95" s="32"/>
      <c r="D95" s="44">
        <v>115808077.8243216</v>
      </c>
      <c r="E95" s="32"/>
      <c r="F95" s="33">
        <v>21049488.990845971</v>
      </c>
      <c r="G95" s="44">
        <v>4501982.1323844297</v>
      </c>
      <c r="H95" s="44">
        <v>24768577.39290553</v>
      </c>
      <c r="I95" s="44">
        <v>139236.56079539005</v>
      </c>
      <c r="J95" s="44">
        <v>766038.47606921743</v>
      </c>
      <c r="K95" s="32"/>
      <c r="L95" s="44">
        <v>2367137.87880746</v>
      </c>
      <c r="M95" s="33"/>
      <c r="N95" s="44">
        <v>1007493.7401738092</v>
      </c>
      <c r="O95" s="32"/>
      <c r="P95" s="44">
        <v>18906746.580668502</v>
      </c>
      <c r="Q95" s="33"/>
      <c r="R95" s="44">
        <v>17826023.005757451</v>
      </c>
      <c r="S95" s="33"/>
      <c r="T95" s="44">
        <v>59991982.513085365</v>
      </c>
      <c r="U95" s="32"/>
      <c r="V95" s="44">
        <v>120559.476088407</v>
      </c>
      <c r="W95" s="33"/>
      <c r="X95" s="44">
        <v>315226.06945889036</v>
      </c>
      <c r="Y95" s="32"/>
      <c r="Z95" s="32">
        <f t="shared" si="31"/>
        <v>-6477538.1279813796</v>
      </c>
      <c r="AA95" s="32"/>
      <c r="AB95" s="32">
        <f t="shared" si="32"/>
        <v>-74722841.891904742</v>
      </c>
      <c r="AC95" s="12"/>
      <c r="AD95" s="32"/>
      <c r="AE95" s="32"/>
      <c r="AF95" s="32">
        <f>BA95/100*AF25</f>
        <v>5891657025.2507191</v>
      </c>
      <c r="AG95" s="34">
        <f t="shared" si="38"/>
        <v>1.7449802274621387E-3</v>
      </c>
      <c r="AH95" s="34"/>
      <c r="AI95" s="34">
        <f t="shared" si="33"/>
        <v>-1.268282277322905E-2</v>
      </c>
      <c r="AU95" s="31">
        <v>12123092</v>
      </c>
      <c r="AW95" s="31">
        <f t="shared" si="34"/>
        <v>1.0199211608869483E-3</v>
      </c>
      <c r="AX95" s="46">
        <v>6356.1266646658996</v>
      </c>
      <c r="AY95" s="34">
        <f t="shared" si="35"/>
        <v>7.2432031695665751E-4</v>
      </c>
      <c r="AZ95" s="31">
        <f t="shared" si="39"/>
        <v>94.55519253120292</v>
      </c>
      <c r="BA95" s="31">
        <f t="shared" si="40"/>
        <v>102.51664971474005</v>
      </c>
      <c r="BC95" s="34">
        <f t="shared" si="30"/>
        <v>8.5453227062176427E-3</v>
      </c>
    </row>
    <row r="96" spans="1:55" s="31" customFormat="1">
      <c r="A96" s="31">
        <f t="shared" si="36"/>
        <v>2035</v>
      </c>
      <c r="B96" s="31">
        <f t="shared" si="37"/>
        <v>3</v>
      </c>
      <c r="C96" s="32"/>
      <c r="D96" s="44">
        <v>115507733.39471991</v>
      </c>
      <c r="E96" s="32"/>
      <c r="F96" s="33">
        <v>20994897.83552127</v>
      </c>
      <c r="G96" s="44">
        <v>4571841.0750758303</v>
      </c>
      <c r="H96" s="44">
        <v>25152920.683873251</v>
      </c>
      <c r="I96" s="44">
        <v>141397.14665182959</v>
      </c>
      <c r="J96" s="44">
        <v>777925.38197546022</v>
      </c>
      <c r="K96" s="32"/>
      <c r="L96" s="44">
        <v>2365630.8658528798</v>
      </c>
      <c r="M96" s="33"/>
      <c r="N96" s="44">
        <v>1005854.2381427698</v>
      </c>
      <c r="O96" s="32"/>
      <c r="P96" s="44">
        <v>18552896.526540399</v>
      </c>
      <c r="Q96" s="33"/>
      <c r="R96" s="44">
        <v>17809183.051928625</v>
      </c>
      <c r="S96" s="33"/>
      <c r="T96" s="44">
        <v>51115441.846216999</v>
      </c>
      <c r="U96" s="32"/>
      <c r="V96" s="44">
        <v>122790.980965867</v>
      </c>
      <c r="W96" s="33"/>
      <c r="X96" s="44">
        <v>301456.59350369254</v>
      </c>
      <c r="Y96" s="32"/>
      <c r="Z96" s="32">
        <f t="shared" si="31"/>
        <v>-6434408.9066224266</v>
      </c>
      <c r="AA96" s="32"/>
      <c r="AB96" s="32">
        <f t="shared" si="32"/>
        <v>-82945188.075043321</v>
      </c>
      <c r="AC96" s="12"/>
      <c r="AD96" s="32"/>
      <c r="AE96" s="32"/>
      <c r="AF96" s="32">
        <f>BA96/100*AF25</f>
        <v>5907259413.8595629</v>
      </c>
      <c r="AG96" s="34">
        <f t="shared" si="38"/>
        <v>2.6482173931670515E-3</v>
      </c>
      <c r="AH96" s="34"/>
      <c r="AI96" s="34">
        <f t="shared" si="33"/>
        <v>-1.4041229995831571E-2</v>
      </c>
      <c r="AU96" s="31">
        <v>12188710</v>
      </c>
      <c r="AW96" s="31">
        <f t="shared" si="34"/>
        <v>5.412645552801216E-3</v>
      </c>
      <c r="AX96" s="46">
        <v>6338.6502030203001</v>
      </c>
      <c r="AY96" s="34">
        <f t="shared" si="35"/>
        <v>-2.7495458425572739E-3</v>
      </c>
      <c r="AZ96" s="31">
        <f t="shared" si="39"/>
        <v>94.295208694686551</v>
      </c>
      <c r="BA96" s="31">
        <f t="shared" si="40"/>
        <v>102.78813608960384</v>
      </c>
      <c r="BC96" s="34">
        <f t="shared" si="30"/>
        <v>1.0046582751614009E-2</v>
      </c>
    </row>
    <row r="97" spans="1:55" s="31" customFormat="1">
      <c r="A97" s="31">
        <f t="shared" si="36"/>
        <v>2035</v>
      </c>
      <c r="B97" s="31">
        <f t="shared" si="37"/>
        <v>4</v>
      </c>
      <c r="C97" s="32"/>
      <c r="D97" s="44">
        <v>115554365.61937363</v>
      </c>
      <c r="E97" s="32"/>
      <c r="F97" s="33">
        <v>21003373.794348218</v>
      </c>
      <c r="G97" s="44">
        <v>4673701.7864739802</v>
      </c>
      <c r="H97" s="44">
        <v>25713328.264217254</v>
      </c>
      <c r="I97" s="44">
        <v>144547.47793218959</v>
      </c>
      <c r="J97" s="44">
        <v>795257.57518200239</v>
      </c>
      <c r="K97" s="32"/>
      <c r="L97" s="44">
        <v>2398019.6335312198</v>
      </c>
      <c r="M97" s="33"/>
      <c r="N97" s="44">
        <v>1007380.0815115124</v>
      </c>
      <c r="O97" s="32"/>
      <c r="P97" s="44">
        <v>18420842.526560701</v>
      </c>
      <c r="Q97" s="33"/>
      <c r="R97" s="44">
        <v>17985643.2613995</v>
      </c>
      <c r="S97" s="33"/>
      <c r="T97" s="44">
        <v>59614095.075469889</v>
      </c>
      <c r="U97" s="32"/>
      <c r="V97" s="44">
        <v>124398.04694054399</v>
      </c>
      <c r="W97" s="33"/>
      <c r="X97" s="44">
        <v>294039.05137566326</v>
      </c>
      <c r="Y97" s="32"/>
      <c r="Z97" s="32">
        <f t="shared" si="31"/>
        <v>-6298732.2010509074</v>
      </c>
      <c r="AA97" s="32"/>
      <c r="AB97" s="32">
        <f t="shared" si="32"/>
        <v>-74361113.070464447</v>
      </c>
      <c r="AC97" s="12"/>
      <c r="AD97" s="32"/>
      <c r="AE97" s="32"/>
      <c r="AF97" s="32">
        <f>BA97/100*AF25</f>
        <v>5888484064.5055256</v>
      </c>
      <c r="AG97" s="34">
        <f t="shared" si="38"/>
        <v>-3.1783519291512263E-3</v>
      </c>
      <c r="AH97" s="34">
        <f>(AF97-AF93)/AF93</f>
        <v>-3.4500529217432849E-3</v>
      </c>
      <c r="AI97" s="34">
        <f t="shared" si="33"/>
        <v>-1.2628226935128639E-2</v>
      </c>
      <c r="AU97" s="31">
        <v>12221913</v>
      </c>
      <c r="AW97" s="31">
        <f t="shared" si="34"/>
        <v>2.7240782658706293E-3</v>
      </c>
      <c r="AX97" s="46">
        <v>6301.3384029299996</v>
      </c>
      <c r="AY97" s="34">
        <f t="shared" si="35"/>
        <v>-5.8863951938098449E-3</v>
      </c>
      <c r="AZ97" s="31">
        <f t="shared" si="39"/>
        <v>93.740149831426848</v>
      </c>
      <c r="BA97" s="31">
        <f t="shared" si="40"/>
        <v>102.4614392189696</v>
      </c>
      <c r="BC97" s="34">
        <f t="shared" si="30"/>
        <v>8.5097158924304899E-3</v>
      </c>
    </row>
    <row r="98" spans="1:55" s="23" customFormat="1">
      <c r="A98" s="23">
        <f t="shared" si="36"/>
        <v>2036</v>
      </c>
      <c r="B98" s="23">
        <f t="shared" si="37"/>
        <v>1</v>
      </c>
      <c r="C98" s="24"/>
      <c r="D98" s="41">
        <v>115528785.27656174</v>
      </c>
      <c r="E98" s="24"/>
      <c r="F98" s="25">
        <v>20998724.264241882</v>
      </c>
      <c r="G98" s="41">
        <v>4778137.55695232</v>
      </c>
      <c r="H98" s="41">
        <v>26287903.0598552</v>
      </c>
      <c r="I98" s="41">
        <v>147777.45021502022</v>
      </c>
      <c r="J98" s="41">
        <v>813027.92968624341</v>
      </c>
      <c r="K98" s="24"/>
      <c r="L98" s="41">
        <v>2915073.07246244</v>
      </c>
      <c r="M98" s="25"/>
      <c r="N98" s="41">
        <v>1007904.6598609798</v>
      </c>
      <c r="O98" s="24"/>
      <c r="P98" s="41">
        <v>21654807.925582301</v>
      </c>
      <c r="Q98" s="25"/>
      <c r="R98" s="41">
        <v>20671522.089285374</v>
      </c>
      <c r="S98" s="25"/>
      <c r="T98" s="41">
        <v>50914882.518461227</v>
      </c>
      <c r="U98" s="24"/>
      <c r="V98" s="41">
        <v>125237.730872935</v>
      </c>
      <c r="W98" s="25"/>
      <c r="X98" s="41">
        <v>298721.6907276602</v>
      </c>
      <c r="Y98" s="24"/>
      <c r="Z98" s="24">
        <f t="shared" si="31"/>
        <v>-4124942.1764069907</v>
      </c>
      <c r="AA98" s="24"/>
      <c r="AB98" s="24">
        <f t="shared" si="32"/>
        <v>-86268710.683682814</v>
      </c>
      <c r="AC98" s="12"/>
      <c r="AD98" s="24"/>
      <c r="AE98" s="24"/>
      <c r="AF98" s="24">
        <f>BA98/100*AF25</f>
        <v>5896645245.6374521</v>
      </c>
      <c r="AG98" s="26">
        <f t="shared" si="38"/>
        <v>1.3859562227773229E-3</v>
      </c>
      <c r="AH98" s="26"/>
      <c r="AI98" s="26">
        <f t="shared" si="33"/>
        <v>-1.4630134099979555E-2</v>
      </c>
      <c r="AU98" s="23">
        <v>12238727</v>
      </c>
      <c r="AW98" s="23">
        <f t="shared" si="34"/>
        <v>1.3757257149514973E-3</v>
      </c>
      <c r="AX98" s="43">
        <v>6301.4027802562996</v>
      </c>
      <c r="AY98" s="26">
        <f t="shared" si="35"/>
        <v>1.0216452788836776E-5</v>
      </c>
      <c r="AZ98" s="23">
        <f t="shared" si="39"/>
        <v>93.741107523242022</v>
      </c>
      <c r="BA98" s="23">
        <f t="shared" si="40"/>
        <v>102.60344628824984</v>
      </c>
      <c r="BC98" s="26">
        <f t="shared" si="30"/>
        <v>9.9982226776871228E-3</v>
      </c>
    </row>
    <row r="99" spans="1:55" s="31" customFormat="1">
      <c r="A99" s="31">
        <f t="shared" si="36"/>
        <v>2036</v>
      </c>
      <c r="B99" s="31">
        <f t="shared" si="37"/>
        <v>2</v>
      </c>
      <c r="C99" s="32"/>
      <c r="D99" s="44">
        <v>115238703.38848883</v>
      </c>
      <c r="E99" s="32"/>
      <c r="F99" s="33">
        <v>20945998.447320051</v>
      </c>
      <c r="G99" s="44">
        <v>4824940.2071110504</v>
      </c>
      <c r="H99" s="44">
        <v>26545397.432014253</v>
      </c>
      <c r="I99" s="44">
        <v>149224.95485909935</v>
      </c>
      <c r="J99" s="44">
        <v>820991.67315505084</v>
      </c>
      <c r="K99" s="32"/>
      <c r="L99" s="44">
        <v>2379039.2636366198</v>
      </c>
      <c r="M99" s="33"/>
      <c r="N99" s="44">
        <v>1005988.8784174994</v>
      </c>
      <c r="O99" s="32"/>
      <c r="P99" s="44">
        <v>18595619.062324401</v>
      </c>
      <c r="Q99" s="33"/>
      <c r="R99" s="44">
        <v>17879500.042835549</v>
      </c>
      <c r="S99" s="33"/>
      <c r="T99" s="44">
        <v>59596620.910183124</v>
      </c>
      <c r="U99" s="32"/>
      <c r="V99" s="44">
        <v>130501.77454578401</v>
      </c>
      <c r="W99" s="33"/>
      <c r="X99" s="44">
        <v>300028.64242719638</v>
      </c>
      <c r="Y99" s="32"/>
      <c r="Z99" s="32">
        <f t="shared" si="31"/>
        <v>-6321024.7719928361</v>
      </c>
      <c r="AA99" s="32"/>
      <c r="AB99" s="32">
        <f t="shared" si="32"/>
        <v>-74237701.540630102</v>
      </c>
      <c r="AC99" s="12"/>
      <c r="AD99" s="32"/>
      <c r="AE99" s="32"/>
      <c r="AF99" s="32">
        <f>BA99/100*AF25</f>
        <v>5897112441.0165329</v>
      </c>
      <c r="AG99" s="34">
        <f t="shared" si="38"/>
        <v>7.9230708244899101E-5</v>
      </c>
      <c r="AH99" s="34"/>
      <c r="AI99" s="34">
        <f t="shared" si="33"/>
        <v>-1.2588822458985223E-2</v>
      </c>
      <c r="AU99" s="31">
        <v>12241791</v>
      </c>
      <c r="AW99" s="31">
        <f t="shared" si="34"/>
        <v>2.5035283489859689E-4</v>
      </c>
      <c r="AX99" s="46">
        <v>6300.3247407018998</v>
      </c>
      <c r="AY99" s="34">
        <f t="shared" si="35"/>
        <v>-1.7107929646673341E-4</v>
      </c>
      <c r="AZ99" s="31">
        <f t="shared" si="39"/>
        <v>93.725070360516938</v>
      </c>
      <c r="BA99" s="31">
        <f t="shared" si="40"/>
        <v>102.61157563196763</v>
      </c>
      <c r="BC99" s="34">
        <f t="shared" si="30"/>
        <v>8.512612652422643E-3</v>
      </c>
    </row>
    <row r="100" spans="1:55" s="31" customFormat="1">
      <c r="A100" s="31">
        <f t="shared" si="36"/>
        <v>2036</v>
      </c>
      <c r="B100" s="31">
        <f t="shared" si="37"/>
        <v>3</v>
      </c>
      <c r="C100" s="32"/>
      <c r="D100" s="44">
        <v>114993351.99688861</v>
      </c>
      <c r="E100" s="32"/>
      <c r="F100" s="33">
        <v>20901402.927617081</v>
      </c>
      <c r="G100" s="44">
        <v>4928488.0261824196</v>
      </c>
      <c r="H100" s="44">
        <v>27115086.980999071</v>
      </c>
      <c r="I100" s="44">
        <v>152427.46472730022</v>
      </c>
      <c r="J100" s="44">
        <v>838610.93755672115</v>
      </c>
      <c r="K100" s="32"/>
      <c r="L100" s="44">
        <v>2334812.1137315398</v>
      </c>
      <c r="M100" s="33"/>
      <c r="N100" s="44">
        <v>1005275.9281219989</v>
      </c>
      <c r="O100" s="32"/>
      <c r="P100" s="44">
        <v>18376736.0341122</v>
      </c>
      <c r="Q100" s="33"/>
      <c r="R100" s="44">
        <v>17646082.709559567</v>
      </c>
      <c r="S100" s="33"/>
      <c r="T100" s="44">
        <v>50780324.239151955</v>
      </c>
      <c r="U100" s="32"/>
      <c r="V100" s="44">
        <v>128248.488432878</v>
      </c>
      <c r="W100" s="33"/>
      <c r="X100" s="44">
        <v>299533.58412703732</v>
      </c>
      <c r="Y100" s="32"/>
      <c r="Z100" s="32">
        <f t="shared" si="31"/>
        <v>-6467159.7714781761</v>
      </c>
      <c r="AA100" s="32"/>
      <c r="AB100" s="32">
        <f t="shared" si="32"/>
        <v>-82589763.791848853</v>
      </c>
      <c r="AC100" s="12"/>
      <c r="AD100" s="32"/>
      <c r="AE100" s="32"/>
      <c r="AF100" s="32">
        <f>BA100/100*AF25</f>
        <v>5908681360.8108625</v>
      </c>
      <c r="AG100" s="34">
        <f t="shared" si="38"/>
        <v>1.9617939983412316E-3</v>
      </c>
      <c r="AH100" s="34"/>
      <c r="AI100" s="34">
        <f t="shared" si="33"/>
        <v>-1.3977698025759653E-2</v>
      </c>
      <c r="AU100" s="31">
        <v>12270425</v>
      </c>
      <c r="AW100" s="31">
        <f t="shared" si="34"/>
        <v>2.3390368288430997E-3</v>
      </c>
      <c r="AX100" s="46">
        <v>6297.9535347018</v>
      </c>
      <c r="AY100" s="34">
        <f t="shared" si="35"/>
        <v>-3.7636250474220434E-4</v>
      </c>
      <c r="AZ100" s="31">
        <f t="shared" si="39"/>
        <v>93.689795758278919</v>
      </c>
      <c r="BA100" s="31">
        <f t="shared" si="40"/>
        <v>102.81287840520277</v>
      </c>
      <c r="BC100" s="34">
        <f t="shared" si="30"/>
        <v>9.9267086048402849E-3</v>
      </c>
    </row>
    <row r="101" spans="1:55" s="31" customFormat="1">
      <c r="A101" s="31">
        <f t="shared" si="36"/>
        <v>2036</v>
      </c>
      <c r="B101" s="31">
        <f t="shared" si="37"/>
        <v>4</v>
      </c>
      <c r="C101" s="32"/>
      <c r="D101" s="44">
        <v>115319827.07909808</v>
      </c>
      <c r="E101" s="32"/>
      <c r="F101" s="33">
        <v>20960743.63836766</v>
      </c>
      <c r="G101" s="44">
        <v>4999701.72902044</v>
      </c>
      <c r="H101" s="44">
        <v>27506883.762574628</v>
      </c>
      <c r="I101" s="44">
        <v>154629.95038206968</v>
      </c>
      <c r="J101" s="44">
        <v>850728.36379093607</v>
      </c>
      <c r="K101" s="32"/>
      <c r="L101" s="44">
        <v>2341546.4132900699</v>
      </c>
      <c r="M101" s="33"/>
      <c r="N101" s="44">
        <v>1008999.6692502275</v>
      </c>
      <c r="O101" s="32"/>
      <c r="P101" s="44">
        <v>18489762.342911601</v>
      </c>
      <c r="Q101" s="33"/>
      <c r="R101" s="44">
        <v>17701513.946988553</v>
      </c>
      <c r="S101" s="33"/>
      <c r="T101" s="44">
        <v>58925176.820288613</v>
      </c>
      <c r="U101" s="32"/>
      <c r="V101" s="44">
        <v>130915.613178468</v>
      </c>
      <c r="W101" s="33"/>
      <c r="X101" s="44">
        <v>302810.64567264629</v>
      </c>
      <c r="Y101" s="32"/>
      <c r="Z101" s="32">
        <f t="shared" si="31"/>
        <v>-6478860.1607409362</v>
      </c>
      <c r="AA101" s="32"/>
      <c r="AB101" s="32">
        <f t="shared" si="32"/>
        <v>-74884412.601721063</v>
      </c>
      <c r="AC101" s="12"/>
      <c r="AD101" s="32"/>
      <c r="AE101" s="32"/>
      <c r="AF101" s="32">
        <f>BA101/100*AF25</f>
        <v>5876960115.093504</v>
      </c>
      <c r="AG101" s="34">
        <f t="shared" si="38"/>
        <v>-5.3685829003656763E-3</v>
      </c>
      <c r="AH101" s="34">
        <f>(AF101-AF97)/AF97</f>
        <v>-1.9570316036831015E-3</v>
      </c>
      <c r="AI101" s="34">
        <f t="shared" si="33"/>
        <v>-1.2742031787726303E-2</v>
      </c>
      <c r="AU101" s="31">
        <v>12241320</v>
      </c>
      <c r="AW101" s="31">
        <f t="shared" si="34"/>
        <v>-2.37196348129751E-3</v>
      </c>
      <c r="AX101" s="46">
        <v>6279.0360933593001</v>
      </c>
      <c r="AY101" s="34">
        <f t="shared" si="35"/>
        <v>-3.0037441905953277E-3</v>
      </c>
      <c r="AZ101" s="31">
        <f t="shared" si="39"/>
        <v>93.408375578551926</v>
      </c>
      <c r="BA101" s="31">
        <f t="shared" si="40"/>
        <v>102.26091894425922</v>
      </c>
      <c r="BC101" s="34">
        <f t="shared" si="30"/>
        <v>8.4557947511041016E-3</v>
      </c>
    </row>
    <row r="102" spans="1:55" s="23" customFormat="1">
      <c r="A102" s="23">
        <f t="shared" si="36"/>
        <v>2037</v>
      </c>
      <c r="B102" s="23">
        <f t="shared" si="37"/>
        <v>1</v>
      </c>
      <c r="C102" s="24"/>
      <c r="D102" s="41">
        <v>114998176.97224618</v>
      </c>
      <c r="E102" s="24"/>
      <c r="F102" s="25">
        <v>20902279.92400264</v>
      </c>
      <c r="G102" s="41">
        <v>5124504.56777036</v>
      </c>
      <c r="H102" s="41">
        <v>28193512.158586159</v>
      </c>
      <c r="I102" s="41">
        <v>158489.8319929</v>
      </c>
      <c r="J102" s="41">
        <v>871964.29356453288</v>
      </c>
      <c r="K102" s="24"/>
      <c r="L102" s="41">
        <v>2945142.2505577798</v>
      </c>
      <c r="M102" s="25"/>
      <c r="N102" s="41">
        <v>1006626.1395932995</v>
      </c>
      <c r="O102" s="24"/>
      <c r="P102" s="41">
        <v>21199630.974291898</v>
      </c>
      <c r="Q102" s="25"/>
      <c r="R102" s="41">
        <v>20820517.156076636</v>
      </c>
      <c r="S102" s="25"/>
      <c r="T102" s="41">
        <v>50034312.517953165</v>
      </c>
      <c r="U102" s="24"/>
      <c r="V102" s="41">
        <v>130614.110922696</v>
      </c>
      <c r="W102" s="25"/>
      <c r="X102" s="41">
        <v>308415.54256411758</v>
      </c>
      <c r="Y102" s="24"/>
      <c r="Z102" s="24">
        <f t="shared" si="31"/>
        <v>-3902917.0471543893</v>
      </c>
      <c r="AA102" s="24"/>
      <c r="AB102" s="24">
        <f t="shared" si="32"/>
        <v>-86163495.428584918</v>
      </c>
      <c r="AC102" s="12"/>
      <c r="AD102" s="24"/>
      <c r="AE102" s="24"/>
      <c r="AF102" s="24">
        <f>BA102/100*AF25</f>
        <v>5855169457.971179</v>
      </c>
      <c r="AG102" s="26">
        <f t="shared" si="38"/>
        <v>-3.7078109593361172E-3</v>
      </c>
      <c r="AH102" s="26"/>
      <c r="AI102" s="26">
        <f t="shared" si="33"/>
        <v>-1.4715798756478798E-2</v>
      </c>
      <c r="AU102" s="23">
        <v>12185095</v>
      </c>
      <c r="AW102" s="23">
        <f t="shared" si="34"/>
        <v>-4.5930504226668369E-3</v>
      </c>
      <c r="AX102" s="43">
        <v>6284.6201919471996</v>
      </c>
      <c r="AY102" s="26">
        <f t="shared" si="35"/>
        <v>8.8932417410455666E-4</v>
      </c>
      <c r="AZ102" s="23">
        <f t="shared" si="39"/>
        <v>93.49144590501777</v>
      </c>
      <c r="BA102" s="23">
        <f t="shared" si="40"/>
        <v>101.88175478828592</v>
      </c>
      <c r="BC102" s="26">
        <f t="shared" si="30"/>
        <v>9.9505991834722765E-3</v>
      </c>
    </row>
    <row r="103" spans="1:55" s="31" customFormat="1">
      <c r="A103" s="31">
        <f t="shared" si="36"/>
        <v>2037</v>
      </c>
      <c r="B103" s="31">
        <f t="shared" si="37"/>
        <v>2</v>
      </c>
      <c r="C103" s="32"/>
      <c r="D103" s="44">
        <v>115179946.50431265</v>
      </c>
      <c r="E103" s="32"/>
      <c r="F103" s="33">
        <v>20935318.688102569</v>
      </c>
      <c r="G103" s="44">
        <v>5181571.9361935304</v>
      </c>
      <c r="H103" s="44">
        <v>28507479.982054647</v>
      </c>
      <c r="I103" s="44">
        <v>160254.80215031002</v>
      </c>
      <c r="J103" s="44">
        <v>881674.63862021733</v>
      </c>
      <c r="K103" s="32"/>
      <c r="L103" s="44">
        <v>2329189.9124023402</v>
      </c>
      <c r="M103" s="33"/>
      <c r="N103" s="44">
        <v>1008756.5083046891</v>
      </c>
      <c r="O103" s="32"/>
      <c r="P103" s="44">
        <v>18204295.892528001</v>
      </c>
      <c r="Q103" s="33"/>
      <c r="R103" s="44">
        <v>17636058.205363512</v>
      </c>
      <c r="S103" s="33"/>
      <c r="T103" s="44">
        <v>58965414.382439062</v>
      </c>
      <c r="U103" s="32"/>
      <c r="V103" s="44">
        <v>129532.426790497</v>
      </c>
      <c r="W103" s="33"/>
      <c r="X103" s="44">
        <v>312452.02896252921</v>
      </c>
      <c r="Y103" s="32"/>
      <c r="Z103" s="32">
        <f t="shared" si="31"/>
        <v>-6507674.4766555876</v>
      </c>
      <c r="AA103" s="32"/>
      <c r="AB103" s="32">
        <f t="shared" si="32"/>
        <v>-74418828.014401585</v>
      </c>
      <c r="AC103" s="12"/>
      <c r="AD103" s="32"/>
      <c r="AE103" s="32"/>
      <c r="AF103" s="32">
        <f>BA103/100*AF25</f>
        <v>5869201084.6141806</v>
      </c>
      <c r="AG103" s="34">
        <f t="shared" si="38"/>
        <v>2.3964509897999651E-3</v>
      </c>
      <c r="AH103" s="34"/>
      <c r="AI103" s="34">
        <f t="shared" si="33"/>
        <v>-1.2679549898109106E-2</v>
      </c>
      <c r="AU103" s="31">
        <v>12233921</v>
      </c>
      <c r="AW103" s="31">
        <f t="shared" si="34"/>
        <v>4.0070266173550554E-3</v>
      </c>
      <c r="AX103" s="46">
        <v>6274.5387325139</v>
      </c>
      <c r="AY103" s="34">
        <f t="shared" si="35"/>
        <v>-1.6041477647634973E-3</v>
      </c>
      <c r="AZ103" s="31">
        <f t="shared" si="39"/>
        <v>93.341471811044727</v>
      </c>
      <c r="BA103" s="31">
        <f t="shared" si="40"/>
        <v>102.12590942039087</v>
      </c>
      <c r="BC103" s="34">
        <f t="shared" ref="BC103:BC117" si="41">T110/AF110</f>
        <v>8.5102932678756734E-3</v>
      </c>
    </row>
    <row r="104" spans="1:55" s="31" customFormat="1">
      <c r="A104" s="31">
        <f t="shared" si="36"/>
        <v>2037</v>
      </c>
      <c r="B104" s="31">
        <f t="shared" si="37"/>
        <v>3</v>
      </c>
      <c r="C104" s="32"/>
      <c r="D104" s="44">
        <v>115175536.69388282</v>
      </c>
      <c r="E104" s="32"/>
      <c r="F104" s="33">
        <v>20934517.152857032</v>
      </c>
      <c r="G104" s="44">
        <v>5258493.8980762698</v>
      </c>
      <c r="H104" s="44">
        <v>28930681.920685545</v>
      </c>
      <c r="I104" s="44">
        <v>162633.83189927042</v>
      </c>
      <c r="J104" s="44">
        <v>894763.35837174172</v>
      </c>
      <c r="K104" s="32"/>
      <c r="L104" s="44">
        <v>2317463.9991076398</v>
      </c>
      <c r="M104" s="33"/>
      <c r="N104" s="44">
        <v>1010138.540115729</v>
      </c>
      <c r="O104" s="32"/>
      <c r="P104" s="44">
        <v>18352819.0166118</v>
      </c>
      <c r="Q104" s="33"/>
      <c r="R104" s="44">
        <v>17582815.9167937</v>
      </c>
      <c r="S104" s="33"/>
      <c r="T104" s="44">
        <v>49878220.087515213</v>
      </c>
      <c r="U104" s="32"/>
      <c r="V104" s="44">
        <v>131442.21006486201</v>
      </c>
      <c r="W104" s="33"/>
      <c r="X104" s="44">
        <v>314561.07291310024</v>
      </c>
      <c r="Y104" s="32"/>
      <c r="Z104" s="32">
        <f t="shared" si="31"/>
        <v>-6547861.5652218387</v>
      </c>
      <c r="AA104" s="32"/>
      <c r="AB104" s="32">
        <f t="shared" si="32"/>
        <v>-83650135.622979403</v>
      </c>
      <c r="AC104" s="12"/>
      <c r="AD104" s="32"/>
      <c r="AE104" s="32"/>
      <c r="AF104" s="32">
        <f>BA104/100*AF25</f>
        <v>5861326126.2790899</v>
      </c>
      <c r="AG104" s="34">
        <f t="shared" si="38"/>
        <v>-1.3417428064842504E-3</v>
      </c>
      <c r="AH104" s="34"/>
      <c r="AI104" s="34">
        <f t="shared" si="33"/>
        <v>-1.4271537502057152E-2</v>
      </c>
      <c r="AU104" s="31">
        <v>12263149</v>
      </c>
      <c r="AW104" s="31">
        <f t="shared" si="34"/>
        <v>2.3890950415651696E-3</v>
      </c>
      <c r="AX104" s="46">
        <v>6251.1852396455997</v>
      </c>
      <c r="AY104" s="34">
        <f t="shared" si="35"/>
        <v>-3.7219457658752291E-3</v>
      </c>
      <c r="AZ104" s="31">
        <f t="shared" si="39"/>
        <v>92.99405991525704</v>
      </c>
      <c r="BA104" s="31">
        <f t="shared" si="40"/>
        <v>101.98888271607039</v>
      </c>
      <c r="BC104" s="34">
        <f t="shared" si="41"/>
        <v>9.9825467003228936E-3</v>
      </c>
    </row>
    <row r="105" spans="1:55" s="31" customFormat="1">
      <c r="A105" s="31">
        <f t="shared" si="36"/>
        <v>2037</v>
      </c>
      <c r="B105" s="31">
        <f t="shared" si="37"/>
        <v>4</v>
      </c>
      <c r="C105" s="32"/>
      <c r="D105" s="44">
        <v>114734162.34717214</v>
      </c>
      <c r="E105" s="32"/>
      <c r="F105" s="33">
        <v>20854292.140694909</v>
      </c>
      <c r="G105" s="44">
        <v>5398917.0705765896</v>
      </c>
      <c r="H105" s="44">
        <v>29703248.784248229</v>
      </c>
      <c r="I105" s="44">
        <v>166976.81661577057</v>
      </c>
      <c r="J105" s="44">
        <v>918657.17889427382</v>
      </c>
      <c r="K105" s="32"/>
      <c r="L105" s="44">
        <v>2334048.1186889098</v>
      </c>
      <c r="M105" s="33"/>
      <c r="N105" s="44">
        <v>1007263.844207529</v>
      </c>
      <c r="O105" s="32"/>
      <c r="P105" s="44">
        <v>18328618.9453252</v>
      </c>
      <c r="Q105" s="33"/>
      <c r="R105" s="44">
        <v>17653055.263423994</v>
      </c>
      <c r="S105" s="33"/>
      <c r="T105" s="44">
        <v>57972046.428917259</v>
      </c>
      <c r="U105" s="32"/>
      <c r="V105" s="44">
        <v>125219.86367636301</v>
      </c>
      <c r="W105" s="33"/>
      <c r="X105" s="44">
        <v>327782.83295339369</v>
      </c>
      <c r="Y105" s="32"/>
      <c r="Z105" s="32">
        <f t="shared" si="31"/>
        <v>-6417328.9764909912</v>
      </c>
      <c r="AA105" s="32"/>
      <c r="AB105" s="32">
        <f t="shared" si="32"/>
        <v>-75090734.863580078</v>
      </c>
      <c r="AC105" s="12"/>
      <c r="AD105" s="32"/>
      <c r="AE105" s="32"/>
      <c r="AF105" s="32">
        <f>BA105/100*AF25</f>
        <v>5798235176.1671171</v>
      </c>
      <c r="AG105" s="34">
        <f t="shared" si="38"/>
        <v>-1.0763937844902764E-2</v>
      </c>
      <c r="AH105" s="34">
        <f>(AF105-AF101)/AF101</f>
        <v>-1.3395520368464215E-2</v>
      </c>
      <c r="AI105" s="34">
        <f t="shared" si="33"/>
        <v>-1.2950619038743144E-2</v>
      </c>
      <c r="AU105" s="31">
        <v>12192353</v>
      </c>
      <c r="AW105" s="31">
        <f t="shared" si="34"/>
        <v>-5.7730685650153966E-3</v>
      </c>
      <c r="AX105" s="46">
        <v>6219.8052323364</v>
      </c>
      <c r="AY105" s="34">
        <f t="shared" si="35"/>
        <v>-5.0198492135835014E-3</v>
      </c>
      <c r="AZ105" s="31">
        <f t="shared" si="39"/>
        <v>92.527243756723507</v>
      </c>
      <c r="BA105" s="31">
        <f t="shared" si="40"/>
        <v>100.89108072164353</v>
      </c>
      <c r="BC105" s="34">
        <f t="shared" si="41"/>
        <v>8.4754764832875862E-3</v>
      </c>
    </row>
    <row r="106" spans="1:55" s="23" customFormat="1">
      <c r="A106" s="23">
        <f t="shared" si="36"/>
        <v>2038</v>
      </c>
      <c r="B106" s="23">
        <f t="shared" si="37"/>
        <v>1</v>
      </c>
      <c r="C106" s="24"/>
      <c r="D106" s="41">
        <v>114853776.88065293</v>
      </c>
      <c r="E106" s="24"/>
      <c r="F106" s="25">
        <v>20876033.498059191</v>
      </c>
      <c r="G106" s="41">
        <v>5499496.5949447099</v>
      </c>
      <c r="H106" s="41">
        <v>30256607.651564296</v>
      </c>
      <c r="I106" s="41">
        <v>170087.52355499007</v>
      </c>
      <c r="J106" s="41">
        <v>935771.37066693173</v>
      </c>
      <c r="K106" s="24"/>
      <c r="L106" s="41">
        <v>2943508.2585366098</v>
      </c>
      <c r="M106" s="25"/>
      <c r="N106" s="41">
        <v>1010069.5824174099</v>
      </c>
      <c r="O106" s="24"/>
      <c r="P106" s="41">
        <v>21504515.352369498</v>
      </c>
      <c r="Q106" s="25"/>
      <c r="R106" s="41">
        <v>20830983.170149483</v>
      </c>
      <c r="S106" s="25"/>
      <c r="T106" s="41">
        <v>49749314.501041189</v>
      </c>
      <c r="U106" s="24"/>
      <c r="V106" s="41">
        <v>124550.197789338</v>
      </c>
      <c r="W106" s="25"/>
      <c r="X106" s="41">
        <v>322123.22787818644</v>
      </c>
      <c r="Y106" s="24"/>
      <c r="Z106" s="24">
        <f t="shared" si="31"/>
        <v>-3874077.9710743912</v>
      </c>
      <c r="AA106" s="24"/>
      <c r="AB106" s="24">
        <f t="shared" si="32"/>
        <v>-86608977.731981248</v>
      </c>
      <c r="AC106" s="12"/>
      <c r="AD106" s="24"/>
      <c r="AE106" s="24"/>
      <c r="AF106" s="24">
        <f>BA106/100*AF25</f>
        <v>5844188680.062026</v>
      </c>
      <c r="AG106" s="26">
        <f t="shared" si="38"/>
        <v>7.9254294623637787E-3</v>
      </c>
      <c r="AH106" s="26"/>
      <c r="AI106" s="26">
        <f t="shared" si="33"/>
        <v>-1.4819675146262054E-2</v>
      </c>
      <c r="AU106" s="23">
        <v>12272239</v>
      </c>
      <c r="AW106" s="23">
        <f t="shared" si="34"/>
        <v>6.5521396895250657E-3</v>
      </c>
      <c r="AX106" s="43">
        <v>6228.2912258362003</v>
      </c>
      <c r="AY106" s="26">
        <f t="shared" si="35"/>
        <v>1.3643503587028958E-3</v>
      </c>
      <c r="AZ106" s="23">
        <f t="shared" si="39"/>
        <v>92.653483334932787</v>
      </c>
      <c r="BA106" s="23">
        <f t="shared" si="40"/>
        <v>101.69068586528456</v>
      </c>
      <c r="BC106" s="26">
        <f t="shared" si="41"/>
        <v>1.000260782979486E-2</v>
      </c>
    </row>
    <row r="107" spans="1:55" s="31" customFormat="1">
      <c r="A107" s="31">
        <f t="shared" si="36"/>
        <v>2038</v>
      </c>
      <c r="B107" s="31">
        <f t="shared" si="37"/>
        <v>2</v>
      </c>
      <c r="C107" s="32"/>
      <c r="D107" s="44">
        <v>114161452.38938089</v>
      </c>
      <c r="E107" s="32"/>
      <c r="F107" s="33">
        <v>20750195.32656971</v>
      </c>
      <c r="G107" s="44">
        <v>5565524.6615660898</v>
      </c>
      <c r="H107" s="44">
        <v>30619874.592685938</v>
      </c>
      <c r="I107" s="44">
        <v>172129.62870823033</v>
      </c>
      <c r="J107" s="44">
        <v>947006.430701631</v>
      </c>
      <c r="K107" s="32"/>
      <c r="L107" s="44">
        <v>2396695.3177988301</v>
      </c>
      <c r="M107" s="33"/>
      <c r="N107" s="44">
        <v>1004282.1710357703</v>
      </c>
      <c r="O107" s="32"/>
      <c r="P107" s="44">
        <v>18255971.625337798</v>
      </c>
      <c r="Q107" s="33"/>
      <c r="R107" s="44">
        <v>17961727.591362424</v>
      </c>
      <c r="S107" s="33"/>
      <c r="T107" s="44">
        <v>57974241.255254187</v>
      </c>
      <c r="U107" s="32"/>
      <c r="V107" s="44">
        <v>128171.497005753</v>
      </c>
      <c r="W107" s="33"/>
      <c r="X107" s="44">
        <v>328822.27628570737</v>
      </c>
      <c r="Y107" s="32"/>
      <c r="Z107" s="32">
        <f t="shared" si="31"/>
        <v>-6061273.7270361334</v>
      </c>
      <c r="AA107" s="32"/>
      <c r="AB107" s="32">
        <f t="shared" si="32"/>
        <v>-74443182.759464502</v>
      </c>
      <c r="AC107" s="12"/>
      <c r="AD107" s="32"/>
      <c r="AE107" s="32"/>
      <c r="AF107" s="32">
        <f>BA107/100*AF25</f>
        <v>5840227971.1309166</v>
      </c>
      <c r="AG107" s="34">
        <f t="shared" si="38"/>
        <v>-6.7771749817416781E-4</v>
      </c>
      <c r="AH107" s="34"/>
      <c r="AI107" s="34">
        <f t="shared" si="33"/>
        <v>-1.2746622756414272E-2</v>
      </c>
      <c r="AU107" s="31">
        <v>12266908</v>
      </c>
      <c r="AW107" s="31">
        <f t="shared" si="34"/>
        <v>-4.3439506026569398E-4</v>
      </c>
      <c r="AX107" s="46">
        <v>6226.7750842266996</v>
      </c>
      <c r="AY107" s="34">
        <f t="shared" si="35"/>
        <v>-2.4342818190829053E-4</v>
      </c>
      <c r="AZ107" s="31">
        <f t="shared" si="39"/>
        <v>92.630928865937094</v>
      </c>
      <c r="BA107" s="31">
        <f t="shared" si="40"/>
        <v>101.62176830807233</v>
      </c>
      <c r="BC107" s="34">
        <f t="shared" si="41"/>
        <v>8.4879038174696109E-3</v>
      </c>
    </row>
    <row r="108" spans="1:55" s="31" customFormat="1">
      <c r="A108" s="31">
        <f t="shared" si="36"/>
        <v>2038</v>
      </c>
      <c r="B108" s="31">
        <f t="shared" si="37"/>
        <v>3</v>
      </c>
      <c r="C108" s="32"/>
      <c r="D108" s="44">
        <v>113677560.76152195</v>
      </c>
      <c r="E108" s="32"/>
      <c r="F108" s="33">
        <v>20662242.295272268</v>
      </c>
      <c r="G108" s="44">
        <v>5645036.9045531303</v>
      </c>
      <c r="H108" s="44">
        <v>31057327.49369622</v>
      </c>
      <c r="I108" s="44">
        <v>174588.77024391014</v>
      </c>
      <c r="J108" s="44">
        <v>960535.90186688723</v>
      </c>
      <c r="K108" s="32"/>
      <c r="L108" s="44">
        <v>2329280.1617290201</v>
      </c>
      <c r="M108" s="33"/>
      <c r="N108" s="44">
        <v>1000239.8468286917</v>
      </c>
      <c r="O108" s="32"/>
      <c r="P108" s="44">
        <v>18146548.122046899</v>
      </c>
      <c r="Q108" s="33"/>
      <c r="R108" s="44">
        <v>17589670.350929126</v>
      </c>
      <c r="S108" s="33"/>
      <c r="T108" s="44">
        <v>49383791.887280054</v>
      </c>
      <c r="U108" s="32"/>
      <c r="V108" s="44">
        <v>130941.45391920301</v>
      </c>
      <c r="W108" s="33"/>
      <c r="X108" s="44">
        <v>328064.98954472045</v>
      </c>
      <c r="Y108" s="32"/>
      <c r="Z108" s="32">
        <f t="shared" si="31"/>
        <v>-6271150.4989816509</v>
      </c>
      <c r="AA108" s="32"/>
      <c r="AB108" s="32">
        <f t="shared" si="32"/>
        <v>-82440316.996288791</v>
      </c>
      <c r="AC108" s="12"/>
      <c r="AD108" s="32"/>
      <c r="AE108" s="32"/>
      <c r="AF108" s="32">
        <f>BA108/100*AF25</f>
        <v>5840230675.0446901</v>
      </c>
      <c r="AG108" s="34">
        <f t="shared" si="38"/>
        <v>4.6298086083326117E-7</v>
      </c>
      <c r="AH108" s="34"/>
      <c r="AI108" s="34">
        <f t="shared" si="33"/>
        <v>-1.4115935068893139E-2</v>
      </c>
      <c r="AU108" s="31">
        <v>12248964</v>
      </c>
      <c r="AW108" s="31">
        <f t="shared" si="34"/>
        <v>-1.4627973080094836E-3</v>
      </c>
      <c r="AX108" s="46">
        <v>6235.8998245807998</v>
      </c>
      <c r="AY108" s="34">
        <f t="shared" si="35"/>
        <v>1.4654038777174394E-3</v>
      </c>
      <c r="AZ108" s="31">
        <f t="shared" si="39"/>
        <v>92.76667058829382</v>
      </c>
      <c r="BA108" s="31">
        <f t="shared" si="40"/>
        <v>101.62181535700608</v>
      </c>
      <c r="BC108" s="34">
        <f t="shared" si="41"/>
        <v>1.002116492252189E-2</v>
      </c>
    </row>
    <row r="109" spans="1:55" s="31" customFormat="1">
      <c r="A109" s="31">
        <f t="shared" si="36"/>
        <v>2038</v>
      </c>
      <c r="B109" s="31">
        <f t="shared" si="37"/>
        <v>4</v>
      </c>
      <c r="C109" s="32"/>
      <c r="D109" s="44">
        <v>114046309.34285021</v>
      </c>
      <c r="E109" s="32"/>
      <c r="F109" s="33">
        <v>20729266.71488861</v>
      </c>
      <c r="G109" s="44">
        <v>5686610.7894268902</v>
      </c>
      <c r="H109" s="44">
        <v>31286054.741992533</v>
      </c>
      <c r="I109" s="44">
        <v>175874.56049773935</v>
      </c>
      <c r="J109" s="44">
        <v>967609.94047399855</v>
      </c>
      <c r="K109" s="32"/>
      <c r="L109" s="44">
        <v>2331306.8061110401</v>
      </c>
      <c r="M109" s="33"/>
      <c r="N109" s="44">
        <v>1005472.3348935619</v>
      </c>
      <c r="O109" s="32"/>
      <c r="P109" s="44">
        <v>18335108.628496401</v>
      </c>
      <c r="Q109" s="33"/>
      <c r="R109" s="44">
        <v>17628974.223761033</v>
      </c>
      <c r="S109" s="33"/>
      <c r="T109" s="44">
        <v>58071631.471158013</v>
      </c>
      <c r="U109" s="32"/>
      <c r="V109" s="44">
        <v>128126.698191371</v>
      </c>
      <c r="W109" s="33"/>
      <c r="X109" s="44">
        <v>325348.11086282536</v>
      </c>
      <c r="Y109" s="32"/>
      <c r="Z109" s="32">
        <f t="shared" si="31"/>
        <v>-6308944.9339408074</v>
      </c>
      <c r="AA109" s="32"/>
      <c r="AB109" s="32">
        <f t="shared" si="32"/>
        <v>-74309786.500188589</v>
      </c>
      <c r="AC109" s="12"/>
      <c r="AD109" s="32"/>
      <c r="AE109" s="32"/>
      <c r="AF109" s="32">
        <f>BA109/100*AF25</f>
        <v>5835993431.1909275</v>
      </c>
      <c r="AG109" s="34">
        <f t="shared" si="38"/>
        <v>-7.2552679671855646E-4</v>
      </c>
      <c r="AH109" s="34">
        <f>(AF109-AF105)/AF105</f>
        <v>6.5120254485383292E-3</v>
      </c>
      <c r="AI109" s="34">
        <f t="shared" si="33"/>
        <v>-1.273301407486754E-2</v>
      </c>
      <c r="AU109" s="31">
        <v>12236788</v>
      </c>
      <c r="AW109" s="31">
        <f t="shared" si="34"/>
        <v>-9.9404325133129628E-4</v>
      </c>
      <c r="AX109" s="46">
        <v>6237.5759324167002</v>
      </c>
      <c r="AY109" s="34">
        <f t="shared" si="35"/>
        <v>2.6878363717350334E-4</v>
      </c>
      <c r="AZ109" s="31">
        <f t="shared" si="39"/>
        <v>92.791604751423023</v>
      </c>
      <c r="BA109" s="31">
        <f t="shared" si="40"/>
        <v>101.5480860068334</v>
      </c>
      <c r="BC109" s="34">
        <f t="shared" si="41"/>
        <v>8.4543181301884925E-3</v>
      </c>
    </row>
    <row r="110" spans="1:55" s="23" customFormat="1">
      <c r="A110" s="23">
        <f t="shared" si="36"/>
        <v>2039</v>
      </c>
      <c r="B110" s="23">
        <f t="shared" si="37"/>
        <v>1</v>
      </c>
      <c r="C110" s="24"/>
      <c r="D110" s="41">
        <v>114483537.94037428</v>
      </c>
      <c r="E110" s="24"/>
      <c r="F110" s="25">
        <v>20808738.1880619</v>
      </c>
      <c r="G110" s="41">
        <v>5808732.0149277998</v>
      </c>
      <c r="H110" s="41">
        <v>31957929.693111833</v>
      </c>
      <c r="I110" s="41">
        <v>179651.50561633054</v>
      </c>
      <c r="J110" s="41">
        <v>988389.57813751698</v>
      </c>
      <c r="K110" s="24"/>
      <c r="L110" s="41">
        <v>2879390.6859748601</v>
      </c>
      <c r="M110" s="25"/>
      <c r="N110" s="41">
        <v>1009991.2835893705</v>
      </c>
      <c r="O110" s="24"/>
      <c r="P110" s="41">
        <v>20986053.726574998</v>
      </c>
      <c r="Q110" s="25"/>
      <c r="R110" s="41">
        <v>20497846.004274465</v>
      </c>
      <c r="S110" s="25"/>
      <c r="T110" s="41">
        <v>49697311.38555292</v>
      </c>
      <c r="U110" s="24"/>
      <c r="V110" s="41">
        <v>125439.77452301601</v>
      </c>
      <c r="W110" s="25"/>
      <c r="X110" s="41">
        <v>330144.935842234</v>
      </c>
      <c r="Y110" s="24"/>
      <c r="Z110" s="24">
        <f t="shared" ref="Z110:Z117" si="42">R110+V110-N110-L110-F110</f>
        <v>-4074834.3788286503</v>
      </c>
      <c r="AA110" s="24"/>
      <c r="AB110" s="24">
        <f t="shared" ref="AB110:AB117" si="43">T110-P110-D110</f>
        <v>-85772280.281396359</v>
      </c>
      <c r="AC110" s="12"/>
      <c r="AD110" s="24"/>
      <c r="AE110" s="24"/>
      <c r="AF110" s="24">
        <f>BA110/100*AF25</f>
        <v>5839670834.0414553</v>
      </c>
      <c r="AG110" s="26">
        <f t="shared" si="38"/>
        <v>6.3012456985876535E-4</v>
      </c>
      <c r="AH110" s="26"/>
      <c r="AI110" s="26">
        <f t="shared" ref="AI110:AI117" si="44">AB110/AF110</f>
        <v>-1.4687862161921894E-2</v>
      </c>
      <c r="AU110" s="23">
        <v>12220467</v>
      </c>
      <c r="AW110" s="23">
        <f t="shared" si="34"/>
        <v>-1.3337650370342283E-3</v>
      </c>
      <c r="AX110" s="43">
        <v>6249.8422032857998</v>
      </c>
      <c r="AY110" s="26">
        <f t="shared" si="35"/>
        <v>1.9665124724737582E-3</v>
      </c>
      <c r="AZ110" s="23">
        <f t="shared" si="39"/>
        <v>92.974080599507545</v>
      </c>
      <c r="BA110" s="23">
        <f t="shared" si="40"/>
        <v>101.61207395084844</v>
      </c>
      <c r="BC110" s="26">
        <f t="shared" si="41"/>
        <v>9.9389402350732042E-3</v>
      </c>
    </row>
    <row r="111" spans="1:55" s="31" customFormat="1">
      <c r="A111" s="31">
        <f t="shared" si="36"/>
        <v>2039</v>
      </c>
      <c r="B111" s="31">
        <f t="shared" si="37"/>
        <v>2</v>
      </c>
      <c r="C111" s="32"/>
      <c r="D111" s="44">
        <v>114390405.41601817</v>
      </c>
      <c r="E111" s="32"/>
      <c r="F111" s="33">
        <v>20791810.24932953</v>
      </c>
      <c r="G111" s="44">
        <v>5954356.0456688702</v>
      </c>
      <c r="H111" s="44">
        <v>32759110.144213866</v>
      </c>
      <c r="I111" s="44">
        <v>184155.3416186301</v>
      </c>
      <c r="J111" s="44">
        <v>1013168.3549757155</v>
      </c>
      <c r="K111" s="32"/>
      <c r="L111" s="44">
        <v>2301305.3604440698</v>
      </c>
      <c r="M111" s="33"/>
      <c r="N111" s="44">
        <v>1010344.240737468</v>
      </c>
      <c r="O111" s="32"/>
      <c r="P111" s="44">
        <v>18129094.383155499</v>
      </c>
      <c r="Q111" s="33"/>
      <c r="R111" s="44">
        <v>17500100.368082814</v>
      </c>
      <c r="S111" s="33"/>
      <c r="T111" s="44">
        <v>57965043.233463101</v>
      </c>
      <c r="U111" s="32"/>
      <c r="V111" s="44">
        <v>123233.933938678</v>
      </c>
      <c r="W111" s="33"/>
      <c r="X111" s="44">
        <v>314516.19566656707</v>
      </c>
      <c r="Y111" s="32"/>
      <c r="Z111" s="32">
        <f t="shared" si="42"/>
        <v>-6480125.5484895743</v>
      </c>
      <c r="AA111" s="32"/>
      <c r="AB111" s="32">
        <f t="shared" si="43"/>
        <v>-74554456.565710574</v>
      </c>
      <c r="AC111" s="12"/>
      <c r="AD111" s="32"/>
      <c r="AE111" s="32"/>
      <c r="AF111" s="32">
        <f>BA111/100*AF25</f>
        <v>5806638824.0976801</v>
      </c>
      <c r="AG111" s="34">
        <f t="shared" si="38"/>
        <v>-5.656484908570565E-3</v>
      </c>
      <c r="AH111" s="34"/>
      <c r="AI111" s="34">
        <f t="shared" si="44"/>
        <v>-1.2839520215431331E-2</v>
      </c>
      <c r="AU111" s="31">
        <v>12181699</v>
      </c>
      <c r="AW111" s="31">
        <f t="shared" ref="AW111:AW117" si="45">(AU111-AU110)/AU110</f>
        <v>-3.1723828557452018E-3</v>
      </c>
      <c r="AX111" s="46">
        <v>6234.2675486714998</v>
      </c>
      <c r="AY111" s="34">
        <f t="shared" ref="AY111:AY117" si="46">(AX111-AX110)/AX110</f>
        <v>-2.4920076551871624E-3</v>
      </c>
      <c r="AZ111" s="31">
        <f t="shared" si="39"/>
        <v>92.74238847891958</v>
      </c>
      <c r="BA111" s="31">
        <f t="shared" si="40"/>
        <v>101.03730678801691</v>
      </c>
      <c r="BC111" s="34" t="e">
        <f t="shared" si="41"/>
        <v>#DIV/0!</v>
      </c>
    </row>
    <row r="112" spans="1:55" s="31" customFormat="1">
      <c r="A112" s="31">
        <f t="shared" si="36"/>
        <v>2039</v>
      </c>
      <c r="B112" s="31">
        <f t="shared" si="37"/>
        <v>3</v>
      </c>
      <c r="C112" s="32"/>
      <c r="D112" s="44">
        <v>114252113.37155867</v>
      </c>
      <c r="E112" s="32"/>
      <c r="F112" s="33">
        <v>20766674.033254966</v>
      </c>
      <c r="G112" s="44">
        <v>6025562.1374948304</v>
      </c>
      <c r="H112" s="44">
        <v>33150865.052246682</v>
      </c>
      <c r="I112" s="44">
        <v>186357.59188127983</v>
      </c>
      <c r="J112" s="44">
        <v>1025284.4861519395</v>
      </c>
      <c r="K112" s="32"/>
      <c r="L112" s="44">
        <v>2335047.7310580001</v>
      </c>
      <c r="M112" s="33"/>
      <c r="N112" s="44">
        <v>1010760.0185678229</v>
      </c>
      <c r="O112" s="32"/>
      <c r="P112" s="44">
        <v>18282454.5350665</v>
      </c>
      <c r="Q112" s="33"/>
      <c r="R112" s="44">
        <v>17677477.176551297</v>
      </c>
      <c r="S112" s="33"/>
      <c r="T112" s="44">
        <v>49244902.531951778</v>
      </c>
      <c r="U112" s="32"/>
      <c r="V112" s="44">
        <v>120589.11396240001</v>
      </c>
      <c r="W112" s="33"/>
      <c r="X112" s="44">
        <v>312834.18802839279</v>
      </c>
      <c r="Y112" s="32"/>
      <c r="Z112" s="32">
        <f t="shared" si="42"/>
        <v>-6314415.4923670907</v>
      </c>
      <c r="AA112" s="32"/>
      <c r="AB112" s="32">
        <f t="shared" si="43"/>
        <v>-83289665.374673396</v>
      </c>
      <c r="AC112" s="12"/>
      <c r="AD112" s="32"/>
      <c r="AE112" s="32"/>
      <c r="AF112" s="32">
        <f>BA112/100*AF25</f>
        <v>5810281301.4767494</v>
      </c>
      <c r="AG112" s="34">
        <f t="shared" si="38"/>
        <v>6.2729532340688498E-4</v>
      </c>
      <c r="AH112" s="34"/>
      <c r="AI112" s="34">
        <f t="shared" si="44"/>
        <v>-1.4334876583945149E-2</v>
      </c>
      <c r="AU112" s="31">
        <v>12229858</v>
      </c>
      <c r="AW112" s="31">
        <f t="shared" si="45"/>
        <v>3.9533894245786239E-3</v>
      </c>
      <c r="AX112" s="46">
        <v>6213.6134418801003</v>
      </c>
      <c r="AY112" s="34">
        <f t="shared" si="46"/>
        <v>-3.3129965357038319E-3</v>
      </c>
      <c r="AZ112" s="31">
        <f t="shared" si="39"/>
        <v>92.435133267176028</v>
      </c>
      <c r="BA112" s="31">
        <f t="shared" si="40"/>
        <v>101.10068701805466</v>
      </c>
      <c r="BC112" s="34" t="e">
        <f t="shared" si="41"/>
        <v>#DIV/0!</v>
      </c>
    </row>
    <row r="113" spans="1:55" s="31" customFormat="1">
      <c r="A113" s="31">
        <f t="shared" si="36"/>
        <v>2039</v>
      </c>
      <c r="B113" s="31">
        <f t="shared" si="37"/>
        <v>4</v>
      </c>
      <c r="C113" s="32"/>
      <c r="D113" s="44">
        <v>114189309.04408978</v>
      </c>
      <c r="E113" s="32"/>
      <c r="F113" s="33">
        <v>20755258.60330854</v>
      </c>
      <c r="G113" s="44">
        <v>6121179.2820000602</v>
      </c>
      <c r="H113" s="44">
        <v>33676922.369695887</v>
      </c>
      <c r="I113" s="44">
        <v>189314.82315463945</v>
      </c>
      <c r="J113" s="44">
        <v>1041554.3000936785</v>
      </c>
      <c r="K113" s="32"/>
      <c r="L113" s="44">
        <v>2309955.8029023702</v>
      </c>
      <c r="M113" s="33"/>
      <c r="N113" s="44">
        <v>1011994.7550088614</v>
      </c>
      <c r="O113" s="32"/>
      <c r="P113" s="44">
        <v>18226223.864069801</v>
      </c>
      <c r="Q113" s="33"/>
      <c r="R113" s="44">
        <v>17554068.197662171</v>
      </c>
      <c r="S113" s="33"/>
      <c r="T113" s="44">
        <v>57937099.80322849</v>
      </c>
      <c r="U113" s="32"/>
      <c r="V113" s="44">
        <v>118860.99814846901</v>
      </c>
      <c r="W113" s="33"/>
      <c r="X113" s="44">
        <v>321929.84761049278</v>
      </c>
      <c r="Y113" s="32"/>
      <c r="Z113" s="32">
        <f t="shared" si="42"/>
        <v>-6404279.9654091336</v>
      </c>
      <c r="AA113" s="32"/>
      <c r="AB113" s="32">
        <f t="shared" si="43"/>
        <v>-74478433.104931086</v>
      </c>
      <c r="AC113" s="12"/>
      <c r="AD113" s="32"/>
      <c r="AE113" s="32"/>
      <c r="AF113" s="32">
        <f>BA113/100*AF25</f>
        <v>5792199473.2864285</v>
      </c>
      <c r="AG113" s="34">
        <f t="shared" si="38"/>
        <v>-3.1120400634863008E-3</v>
      </c>
      <c r="AH113" s="34">
        <f>(AF113-AF109)/AF109</f>
        <v>-7.5041136390659371E-3</v>
      </c>
      <c r="AI113" s="34">
        <f t="shared" si="44"/>
        <v>-1.2858402658338158E-2</v>
      </c>
      <c r="AU113" s="31">
        <v>12201357</v>
      </c>
      <c r="AW113" s="31">
        <f t="shared" si="45"/>
        <v>-2.3304440656629045E-3</v>
      </c>
      <c r="AX113" s="46">
        <v>6208.7455621605004</v>
      </c>
      <c r="AY113" s="34">
        <f t="shared" si="46"/>
        <v>-7.8342171831772818E-4</v>
      </c>
      <c r="AZ113" s="31">
        <f t="shared" si="39"/>
        <v>92.362717576238936</v>
      </c>
      <c r="BA113" s="31">
        <f t="shared" si="40"/>
        <v>100.78605762960849</v>
      </c>
      <c r="BC113" s="34" t="e">
        <f t="shared" si="41"/>
        <v>#DIV/0!</v>
      </c>
    </row>
    <row r="114" spans="1:55" s="23" customFormat="1">
      <c r="A114" s="23">
        <f t="shared" ref="A114:A117" si="47">A110+1</f>
        <v>2040</v>
      </c>
      <c r="B114" s="23">
        <f t="shared" ref="B114:B117" si="48">B110</f>
        <v>1</v>
      </c>
      <c r="C114" s="24"/>
      <c r="D114" s="41">
        <v>113616857.32754004</v>
      </c>
      <c r="E114" s="24"/>
      <c r="F114" s="25">
        <v>20651208.727585848</v>
      </c>
      <c r="G114" s="41">
        <v>6227038.3117335504</v>
      </c>
      <c r="H114" s="41">
        <v>34259327.517826304</v>
      </c>
      <c r="I114" s="41">
        <v>192588.81376494933</v>
      </c>
      <c r="J114" s="41">
        <v>1059566.8304482042</v>
      </c>
      <c r="K114" s="24"/>
      <c r="L114" s="41">
        <v>2822850.6906586001</v>
      </c>
      <c r="M114" s="25"/>
      <c r="N114" s="41">
        <v>1007372.0192357525</v>
      </c>
      <c r="O114" s="24"/>
      <c r="P114" s="41">
        <v>20785527.514394701</v>
      </c>
      <c r="Q114" s="25"/>
      <c r="R114" s="41">
        <v>20190049.280132879</v>
      </c>
      <c r="S114" s="25"/>
      <c r="T114" s="41">
        <v>49115757.823216625</v>
      </c>
      <c r="U114" s="24"/>
      <c r="V114" s="41">
        <v>120549.143616355</v>
      </c>
      <c r="W114" s="25"/>
      <c r="X114" s="41">
        <v>328887.18077634141</v>
      </c>
      <c r="Y114" s="24"/>
      <c r="Z114" s="24">
        <f t="shared" si="42"/>
        <v>-4170833.0137309656</v>
      </c>
      <c r="AA114" s="24"/>
      <c r="AB114" s="24">
        <f t="shared" si="43"/>
        <v>-85286627.018718123</v>
      </c>
      <c r="AC114" s="12"/>
      <c r="AD114" s="24"/>
      <c r="AE114" s="24"/>
      <c r="AF114" s="24">
        <f>BA114/100*AF25</f>
        <v>5786559188.1622982</v>
      </c>
      <c r="AG114" s="26">
        <f t="shared" si="38"/>
        <v>-9.7377259711845096E-4</v>
      </c>
      <c r="AH114" s="26"/>
      <c r="AI114" s="26">
        <f t="shared" si="44"/>
        <v>-1.4738746160791202E-2</v>
      </c>
      <c r="AU114" s="23">
        <v>12155814</v>
      </c>
      <c r="AW114" s="23">
        <f t="shared" si="45"/>
        <v>-3.7326176096642363E-3</v>
      </c>
      <c r="AX114" s="43">
        <v>6225.9387043139996</v>
      </c>
      <c r="AY114" s="26">
        <f t="shared" si="46"/>
        <v>2.7691813074582367E-3</v>
      </c>
      <c r="AZ114" s="23">
        <f t="shared" si="39"/>
        <v>92.618486687257089</v>
      </c>
      <c r="BA114" s="23">
        <f t="shared" si="40"/>
        <v>100.68791492851716</v>
      </c>
      <c r="BC114" s="26" t="e">
        <f t="shared" si="41"/>
        <v>#DIV/0!</v>
      </c>
    </row>
    <row r="115" spans="1:55" s="31" customFormat="1">
      <c r="A115" s="31">
        <f t="shared" si="47"/>
        <v>2040</v>
      </c>
      <c r="B115" s="31">
        <f t="shared" si="48"/>
        <v>2</v>
      </c>
      <c r="C115" s="32"/>
      <c r="D115" s="44">
        <v>113615945.53299887</v>
      </c>
      <c r="E115" s="32"/>
      <c r="F115" s="33">
        <v>20651042.998134874</v>
      </c>
      <c r="G115" s="44">
        <v>6330357.8004431296</v>
      </c>
      <c r="H115" s="44">
        <v>34827760.860528901</v>
      </c>
      <c r="I115" s="44">
        <v>195784.26186938025</v>
      </c>
      <c r="J115" s="44">
        <v>1077147.2431091694</v>
      </c>
      <c r="K115" s="32"/>
      <c r="L115" s="44">
        <v>2298759.0898110201</v>
      </c>
      <c r="M115" s="33"/>
      <c r="N115" s="44">
        <v>1008643.130562216</v>
      </c>
      <c r="O115" s="32"/>
      <c r="P115" s="44">
        <v>18202439.692670599</v>
      </c>
      <c r="Q115" s="33"/>
      <c r="R115" s="44">
        <v>17477528.751387864</v>
      </c>
      <c r="S115" s="33"/>
      <c r="T115" s="44">
        <v>58080573.497410357</v>
      </c>
      <c r="U115" s="32"/>
      <c r="V115" s="44">
        <v>120027.438370902</v>
      </c>
      <c r="W115" s="33"/>
      <c r="X115" s="44">
        <v>321817.3259046218</v>
      </c>
      <c r="Y115" s="32"/>
      <c r="Z115" s="32">
        <f t="shared" si="42"/>
        <v>-6360889.028749343</v>
      </c>
      <c r="AA115" s="32"/>
      <c r="AB115" s="32">
        <f t="shared" si="43"/>
        <v>-73737811.728259116</v>
      </c>
      <c r="AC115" s="12"/>
      <c r="AD115" s="32"/>
      <c r="AE115" s="32"/>
      <c r="AF115" s="32">
        <f>BA115/100*AF25</f>
        <v>5795790603.8327141</v>
      </c>
      <c r="AG115" s="34">
        <f t="shared" si="38"/>
        <v>1.5953203570959415E-3</v>
      </c>
      <c r="AH115" s="34"/>
      <c r="AI115" s="34">
        <f t="shared" si="44"/>
        <v>-1.2722649379274821E-2</v>
      </c>
      <c r="AU115" s="31">
        <v>12146628</v>
      </c>
      <c r="AW115" s="31">
        <f t="shared" si="45"/>
        <v>-7.5568777212287064E-4</v>
      </c>
      <c r="AX115" s="46">
        <v>6240.5870063625998</v>
      </c>
      <c r="AY115" s="34">
        <f t="shared" si="46"/>
        <v>2.3527861009056119E-3</v>
      </c>
      <c r="AZ115" s="31">
        <f t="shared" si="39"/>
        <v>92.836398175421778</v>
      </c>
      <c r="BA115" s="31">
        <f t="shared" si="40"/>
        <v>100.84854440891617</v>
      </c>
      <c r="BC115" s="34" t="e">
        <f t="shared" si="41"/>
        <v>#DIV/0!</v>
      </c>
    </row>
    <row r="116" spans="1:55" s="31" customFormat="1">
      <c r="A116" s="31">
        <f t="shared" si="47"/>
        <v>2040</v>
      </c>
      <c r="B116" s="31">
        <f t="shared" si="48"/>
        <v>3</v>
      </c>
      <c r="C116" s="32"/>
      <c r="D116" s="44">
        <v>113804213.08905143</v>
      </c>
      <c r="E116" s="32"/>
      <c r="F116" s="33">
        <v>20685262.855012849</v>
      </c>
      <c r="G116" s="44">
        <v>6396045.9085258497</v>
      </c>
      <c r="H116" s="44">
        <v>35189157.450074822</v>
      </c>
      <c r="I116" s="44">
        <v>197815.85284100007</v>
      </c>
      <c r="J116" s="44">
        <v>1088324.4572187781</v>
      </c>
      <c r="K116" s="32"/>
      <c r="L116" s="44">
        <v>2310146.9232383501</v>
      </c>
      <c r="M116" s="33"/>
      <c r="N116" s="44">
        <v>1011808.5615032017</v>
      </c>
      <c r="O116" s="32"/>
      <c r="P116" s="44">
        <v>17796848.750546198</v>
      </c>
      <c r="Q116" s="33"/>
      <c r="R116" s="44">
        <v>17554035.540261947</v>
      </c>
      <c r="S116" s="33"/>
      <c r="T116" s="44">
        <v>49072178.196653172</v>
      </c>
      <c r="U116" s="32"/>
      <c r="V116" s="44">
        <v>122467.150946925</v>
      </c>
      <c r="W116" s="33"/>
      <c r="X116" s="44">
        <v>315068.54831130302</v>
      </c>
      <c r="Y116" s="32"/>
      <c r="Z116" s="32">
        <f t="shared" si="42"/>
        <v>-6330715.6485455278</v>
      </c>
      <c r="AA116" s="32"/>
      <c r="AB116" s="32">
        <f t="shared" si="43"/>
        <v>-82528883.642944455</v>
      </c>
      <c r="AC116" s="12"/>
      <c r="AD116" s="32"/>
      <c r="AE116" s="32"/>
      <c r="AF116" s="32">
        <f>BA116/100*AF25</f>
        <v>5804392198.2811747</v>
      </c>
      <c r="AG116" s="34">
        <f t="shared" si="38"/>
        <v>1.4841106307002202E-3</v>
      </c>
      <c r="AH116" s="34"/>
      <c r="AI116" s="34">
        <f t="shared" si="44"/>
        <v>-1.4218350659933579E-2</v>
      </c>
      <c r="AU116" s="31">
        <v>12187490</v>
      </c>
      <c r="AW116" s="31">
        <f t="shared" si="45"/>
        <v>3.3640612028292957E-3</v>
      </c>
      <c r="AX116" s="46">
        <v>6228.8943460744003</v>
      </c>
      <c r="AY116" s="34">
        <f t="shared" si="46"/>
        <v>-1.8736475072422207E-3</v>
      </c>
      <c r="AZ116" s="31">
        <f t="shared" si="39"/>
        <v>92.662455489399051</v>
      </c>
      <c r="BA116" s="31">
        <f t="shared" si="40"/>
        <v>100.99821480576409</v>
      </c>
      <c r="BC116" s="34" t="e">
        <f t="shared" si="41"/>
        <v>#DIV/0!</v>
      </c>
    </row>
    <row r="117" spans="1:55" s="31" customFormat="1">
      <c r="A117" s="31">
        <f t="shared" si="47"/>
        <v>2040</v>
      </c>
      <c r="B117" s="31">
        <f t="shared" si="48"/>
        <v>4</v>
      </c>
      <c r="C117" s="32"/>
      <c r="D117" s="44">
        <v>113783212.94731978</v>
      </c>
      <c r="E117" s="32"/>
      <c r="F117" s="33">
        <v>20681445.83066972</v>
      </c>
      <c r="G117" s="44">
        <v>6447595.29320578</v>
      </c>
      <c r="H117" s="44">
        <v>35472766.955056407</v>
      </c>
      <c r="I117" s="44">
        <v>199410.16370739043</v>
      </c>
      <c r="J117" s="44">
        <v>1097095.8852079036</v>
      </c>
      <c r="K117" s="32"/>
      <c r="L117" s="44">
        <v>2294480.66829863</v>
      </c>
      <c r="M117" s="33"/>
      <c r="N117" s="44">
        <v>1012891.6092423126</v>
      </c>
      <c r="O117" s="32"/>
      <c r="P117" s="44">
        <v>17830990.7079252</v>
      </c>
      <c r="Q117" s="33"/>
      <c r="R117" s="44">
        <v>17478701.878015339</v>
      </c>
      <c r="S117" s="33"/>
      <c r="T117" s="44">
        <v>57524772.679448709</v>
      </c>
      <c r="U117" s="32"/>
      <c r="V117" s="44">
        <v>121230.870629543</v>
      </c>
      <c r="W117" s="33"/>
      <c r="X117" s="44">
        <v>309528.11272493313</v>
      </c>
      <c r="Y117" s="32"/>
      <c r="Z117" s="32">
        <f t="shared" si="42"/>
        <v>-6388885.3595657814</v>
      </c>
      <c r="AA117" s="32"/>
      <c r="AB117" s="32">
        <f t="shared" si="43"/>
        <v>-74089430.975796267</v>
      </c>
      <c r="AC117" s="12"/>
      <c r="AD117" s="32"/>
      <c r="AE117" s="32"/>
      <c r="AF117" s="32">
        <f>BA117/100*AF25</f>
        <v>5787817545.8235884</v>
      </c>
      <c r="AG117" s="34">
        <f t="shared" si="38"/>
        <v>-2.8555362717382288E-3</v>
      </c>
      <c r="AH117" s="34">
        <f>(AF117-AF113)/AF113</f>
        <v>-7.5652219559244982E-4</v>
      </c>
      <c r="AI117" s="34">
        <f t="shared" si="44"/>
        <v>-1.2800927187011658E-2</v>
      </c>
      <c r="AU117" s="31">
        <v>12161963</v>
      </c>
      <c r="AW117" s="31">
        <f t="shared" si="45"/>
        <v>-2.0945247955075244E-3</v>
      </c>
      <c r="AX117" s="46">
        <v>6224.1441365612</v>
      </c>
      <c r="AY117" s="34">
        <f t="shared" si="46"/>
        <v>-7.6260877922806403E-4</v>
      </c>
      <c r="AZ117" s="31">
        <f t="shared" si="39"/>
        <v>92.591790287338</v>
      </c>
      <c r="BA117" s="31">
        <f t="shared" si="40"/>
        <v>100.70981074000542</v>
      </c>
      <c r="BC117" s="34" t="e">
        <f t="shared" si="41"/>
        <v>#DIV/0!</v>
      </c>
    </row>
    <row r="118" spans="1:55">
      <c r="X118">
        <v>302885.08746728057</v>
      </c>
    </row>
    <row r="119" spans="1:55">
      <c r="X119">
        <v>298544.55877229996</v>
      </c>
      <c r="AH119" s="15">
        <f>AVERAGE(AH33:AH117)</f>
        <v>1.3664657067057981E-4</v>
      </c>
    </row>
    <row r="120" spans="1:55">
      <c r="X120">
        <v>302784.693481786</v>
      </c>
    </row>
    <row r="121" spans="1:55">
      <c r="X121">
        <v>301474.32031700399</v>
      </c>
    </row>
    <row r="122" spans="1:55">
      <c r="X122">
        <v>307602.17491932039</v>
      </c>
    </row>
    <row r="123" spans="1:55">
      <c r="X123">
        <v>304496.99519156257</v>
      </c>
    </row>
  </sheetData>
  <mergeCells count="3">
    <mergeCell ref="AL1:AM1"/>
    <mergeCell ref="AP1:AQ1"/>
    <mergeCell ref="AR1:AS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1"/>
  <sheetViews>
    <sheetView zoomScale="125" zoomScaleNormal="125" zoomScalePageLayoutView="125" workbookViewId="0">
      <pane xSplit="2" topLeftCell="AO1" activePane="topRight" state="frozen"/>
      <selection pane="topRight" activeCell="AS6" sqref="AS6:AS29"/>
    </sheetView>
  </sheetViews>
  <sheetFormatPr baseColWidth="10" defaultColWidth="8.83203125" defaultRowHeight="12" x14ac:dyDescent="0"/>
  <cols>
    <col min="3" max="6" width="15" customWidth="1"/>
    <col min="15" max="20" width="14" customWidth="1"/>
    <col min="32" max="32" width="13.1640625" customWidth="1"/>
    <col min="38" max="38" width="11.5" customWidth="1"/>
    <col min="40" max="40" width="19.33203125" customWidth="1"/>
    <col min="41" max="41" width="14.33203125" customWidth="1"/>
    <col min="42" max="42" width="14" customWidth="1"/>
    <col min="43" max="43" width="15.5" customWidth="1"/>
  </cols>
  <sheetData>
    <row r="1" spans="1:63" s="4" customFormat="1" ht="50.25" customHeight="1">
      <c r="A1" s="1" t="s">
        <v>0</v>
      </c>
      <c r="B1" s="1" t="s">
        <v>1</v>
      </c>
      <c r="C1" s="1" t="s">
        <v>47</v>
      </c>
      <c r="D1" s="1"/>
      <c r="E1" s="1" t="s">
        <v>48</v>
      </c>
      <c r="F1" s="1"/>
      <c r="G1" s="1" t="s">
        <v>4</v>
      </c>
      <c r="H1" s="1"/>
      <c r="I1" s="1" t="s">
        <v>5</v>
      </c>
      <c r="J1" s="1"/>
      <c r="K1" s="1" t="s">
        <v>6</v>
      </c>
      <c r="L1" s="1"/>
      <c r="M1" s="2" t="s">
        <v>7</v>
      </c>
      <c r="N1" s="1"/>
      <c r="O1" s="1" t="s">
        <v>8</v>
      </c>
      <c r="P1" s="3"/>
      <c r="Q1" s="1" t="s">
        <v>9</v>
      </c>
      <c r="R1" s="1"/>
      <c r="S1" s="1" t="s">
        <v>10</v>
      </c>
      <c r="T1" s="1"/>
      <c r="U1" s="3" t="s">
        <v>11</v>
      </c>
      <c r="V1" s="1"/>
      <c r="W1" s="1" t="s">
        <v>12</v>
      </c>
      <c r="X1" s="1"/>
      <c r="Y1" s="4" t="s">
        <v>13</v>
      </c>
      <c r="AA1" s="4" t="s">
        <v>14</v>
      </c>
      <c r="AD1" s="4" t="s">
        <v>15</v>
      </c>
      <c r="AE1" s="4" t="s">
        <v>16</v>
      </c>
      <c r="AF1" s="4" t="s">
        <v>17</v>
      </c>
      <c r="AG1" s="4" t="s">
        <v>18</v>
      </c>
      <c r="AI1" s="4" t="s">
        <v>19</v>
      </c>
      <c r="AJ1" s="5" t="s">
        <v>20</v>
      </c>
      <c r="AK1" s="5"/>
      <c r="AL1" s="55" t="s">
        <v>21</v>
      </c>
      <c r="AM1" s="55"/>
      <c r="AN1" s="6" t="s">
        <v>22</v>
      </c>
      <c r="AO1" s="7" t="s">
        <v>23</v>
      </c>
      <c r="AP1" s="55" t="s">
        <v>24</v>
      </c>
      <c r="AQ1" s="55"/>
      <c r="AR1" s="55" t="s">
        <v>25</v>
      </c>
      <c r="AS1" s="55"/>
      <c r="AU1" s="4" t="s">
        <v>27</v>
      </c>
      <c r="AW1" s="4" t="s">
        <v>28</v>
      </c>
      <c r="AY1" s="4" t="s">
        <v>29</v>
      </c>
      <c r="BA1" s="4" t="s">
        <v>50</v>
      </c>
      <c r="BD1" s="4" t="s">
        <v>31</v>
      </c>
      <c r="BF1" s="4" t="s">
        <v>32</v>
      </c>
      <c r="BG1" s="4" t="s">
        <v>33</v>
      </c>
      <c r="BH1" s="4" t="s">
        <v>34</v>
      </c>
      <c r="BI1" s="4" t="s">
        <v>35</v>
      </c>
      <c r="BJ1" s="5" t="s">
        <v>51</v>
      </c>
    </row>
    <row r="2" spans="1:63" s="8" customFormat="1">
      <c r="C2" s="8" t="s">
        <v>37</v>
      </c>
      <c r="D2" s="8" t="s">
        <v>38</v>
      </c>
      <c r="E2" s="8" t="s">
        <v>37</v>
      </c>
      <c r="F2" s="9" t="s">
        <v>38</v>
      </c>
      <c r="G2" s="9" t="s">
        <v>39</v>
      </c>
      <c r="H2" s="9" t="s">
        <v>40</v>
      </c>
      <c r="I2" s="9" t="s">
        <v>39</v>
      </c>
      <c r="J2" s="8" t="s">
        <v>40</v>
      </c>
      <c r="K2" s="8" t="s">
        <v>37</v>
      </c>
      <c r="L2" s="9" t="s">
        <v>38</v>
      </c>
      <c r="M2" s="9" t="s">
        <v>37</v>
      </c>
      <c r="N2" s="9" t="s">
        <v>38</v>
      </c>
      <c r="O2" s="8" t="s">
        <v>37</v>
      </c>
      <c r="P2" s="8" t="s">
        <v>38</v>
      </c>
      <c r="Q2" s="9" t="s">
        <v>37</v>
      </c>
      <c r="R2" s="9" t="s">
        <v>38</v>
      </c>
      <c r="S2" s="9" t="s">
        <v>37</v>
      </c>
      <c r="T2" s="8" t="s">
        <v>38</v>
      </c>
      <c r="U2" s="8" t="s">
        <v>37</v>
      </c>
      <c r="V2" s="8" t="s">
        <v>38</v>
      </c>
      <c r="W2" s="8" t="s">
        <v>37</v>
      </c>
      <c r="X2" s="9" t="s">
        <v>38</v>
      </c>
      <c r="AC2" s="4"/>
      <c r="AJ2" s="10"/>
      <c r="AK2" s="10"/>
      <c r="AL2" s="10"/>
      <c r="AM2" s="10"/>
      <c r="AN2" s="10"/>
      <c r="AO2" s="10"/>
      <c r="AP2" s="10"/>
      <c r="AQ2" s="10"/>
      <c r="AR2" s="10"/>
      <c r="AS2" s="10"/>
      <c r="AU2" s="8" t="s">
        <v>41</v>
      </c>
      <c r="AV2" s="8" t="s">
        <v>39</v>
      </c>
      <c r="AW2" s="8" t="s">
        <v>41</v>
      </c>
      <c r="AX2" s="8" t="s">
        <v>39</v>
      </c>
      <c r="AY2" s="8" t="s">
        <v>42</v>
      </c>
      <c r="AZ2" s="8" t="s">
        <v>43</v>
      </c>
      <c r="BJ2" s="10"/>
    </row>
    <row r="3" spans="1:63">
      <c r="A3" s="8">
        <v>2014</v>
      </c>
      <c r="B3" s="8">
        <v>1</v>
      </c>
      <c r="C3" s="9">
        <v>73541829.264479399</v>
      </c>
      <c r="D3" s="9"/>
      <c r="E3" s="9">
        <v>13367097.642000001</v>
      </c>
      <c r="F3" s="9"/>
      <c r="G3" s="9"/>
      <c r="H3" s="9"/>
      <c r="I3" s="9"/>
      <c r="J3" s="11"/>
      <c r="K3" s="11">
        <v>2431521.2590999999</v>
      </c>
      <c r="L3" s="9"/>
      <c r="M3" s="9">
        <v>552644.92299999902</v>
      </c>
      <c r="N3" s="9"/>
      <c r="O3" s="9">
        <v>15657663.7612308</v>
      </c>
      <c r="P3" s="9"/>
      <c r="Q3" s="9">
        <v>16188956.83674</v>
      </c>
      <c r="R3" s="9"/>
      <c r="S3" s="9">
        <v>61899879.651203699</v>
      </c>
      <c r="T3" s="9"/>
      <c r="U3" s="9">
        <v>147745.90426000001</v>
      </c>
      <c r="V3" s="11"/>
      <c r="W3" s="11">
        <v>371095.07358448301</v>
      </c>
      <c r="X3" s="9"/>
      <c r="Y3" s="9">
        <f t="shared" ref="Y3:Y8" si="0">Q3+U3-M3-K3-E3</f>
        <v>-14561.083099998534</v>
      </c>
      <c r="Z3" s="9"/>
      <c r="AA3" s="9">
        <f t="shared" ref="AA3:AA8" si="1">S3-O3-C3</f>
        <v>-27299613.374506503</v>
      </c>
      <c r="AB3" s="9"/>
      <c r="AC3" s="12"/>
      <c r="AD3" s="9">
        <v>3917648861.1710801</v>
      </c>
      <c r="AE3" s="9">
        <v>87.364011981999994</v>
      </c>
      <c r="AF3" s="9">
        <f>AD3*100/AE3</f>
        <v>4484282225.9333181</v>
      </c>
      <c r="AG3" s="9"/>
      <c r="AH3" s="9"/>
      <c r="AI3" s="13">
        <f>AA3/AF3</f>
        <v>-6.087844609027615E-3</v>
      </c>
      <c r="AJ3" s="10">
        <v>2014</v>
      </c>
      <c r="AK3" s="14">
        <f>(SUM(AA3:AA6)/AVERAGE(AF3:AF6))</f>
        <v>-2.0764450566254731E-2</v>
      </c>
      <c r="AL3" s="14"/>
      <c r="AM3" s="14"/>
      <c r="AN3" s="14"/>
      <c r="AO3" s="14"/>
      <c r="AP3" s="11" t="s">
        <v>44</v>
      </c>
      <c r="AQ3" s="14" t="s">
        <v>45</v>
      </c>
      <c r="AR3" s="14" t="s">
        <v>44</v>
      </c>
      <c r="AS3" s="14" t="s">
        <v>45</v>
      </c>
      <c r="AU3" s="8">
        <v>10923418</v>
      </c>
      <c r="BD3" s="13">
        <f>S3/AF3</f>
        <v>1.3803743059084649E-2</v>
      </c>
      <c r="BE3" s="8">
        <v>2014</v>
      </c>
      <c r="BF3" s="13">
        <f>(SUM(S3:S6)/AVERAGE(AF3:AF6))</f>
        <v>5.6918105137217651E-2</v>
      </c>
      <c r="BG3" s="13">
        <f>(SUM(O3:O6)/AVERAGE(AF3:AF6))</f>
        <v>1.3201759021596645E-2</v>
      </c>
      <c r="BH3" s="13">
        <f>(SUM(C3:C6)/AVERAGE(AF3:AF6))</f>
        <v>6.4480796681875729E-2</v>
      </c>
      <c r="BI3" s="13">
        <f>(SUM(H3:H6)+SUM(J3:J6))/AVERAGE(AF3:AF6)</f>
        <v>0</v>
      </c>
      <c r="BJ3" s="14">
        <f t="shared" ref="BJ3:BJ29" si="2">AK3-BI3</f>
        <v>-2.0764450566254731E-2</v>
      </c>
      <c r="BK3" s="15">
        <f t="shared" ref="BK3:BK29" si="3">BI3+BH3</f>
        <v>6.4480796681875729E-2</v>
      </c>
    </row>
    <row r="4" spans="1:63">
      <c r="A4" s="8">
        <v>2014</v>
      </c>
      <c r="B4" s="8">
        <v>2</v>
      </c>
      <c r="C4" s="9">
        <v>76536005.645554796</v>
      </c>
      <c r="D4" s="9"/>
      <c r="E4" s="9">
        <v>13911324.754000001</v>
      </c>
      <c r="F4" s="9"/>
      <c r="G4" s="9"/>
      <c r="H4" s="9"/>
      <c r="I4" s="9"/>
      <c r="J4" s="11"/>
      <c r="K4" s="11">
        <v>2156056.4542999999</v>
      </c>
      <c r="L4" s="9"/>
      <c r="M4" s="9">
        <v>571465.44299999997</v>
      </c>
      <c r="N4" s="9"/>
      <c r="O4" s="9">
        <v>14331816.6540251</v>
      </c>
      <c r="P4" s="9"/>
      <c r="Q4" s="9">
        <v>18889074.98367</v>
      </c>
      <c r="R4" s="9"/>
      <c r="S4" s="9">
        <v>72224015.420081005</v>
      </c>
      <c r="T4" s="9"/>
      <c r="U4" s="9">
        <v>150093.53833000001</v>
      </c>
      <c r="V4" s="11"/>
      <c r="W4" s="11">
        <v>376991.65286577999</v>
      </c>
      <c r="X4" s="9"/>
      <c r="Y4" s="9">
        <f t="shared" si="0"/>
        <v>2400321.8706999999</v>
      </c>
      <c r="Z4" s="9"/>
      <c r="AA4" s="9">
        <f t="shared" si="1"/>
        <v>-18643806.879498892</v>
      </c>
      <c r="AB4" s="9"/>
      <c r="AC4" s="12"/>
      <c r="AD4" s="9">
        <v>4702629524.92031</v>
      </c>
      <c r="AE4" s="9">
        <v>92.542254682000006</v>
      </c>
      <c r="AF4" s="9">
        <f>AD4*100/AE4</f>
        <v>5081602497.2374029</v>
      </c>
      <c r="AG4" s="9"/>
      <c r="AH4" s="9"/>
      <c r="AI4" s="13">
        <f>AA4/AF4</f>
        <v>-3.6688833669368155E-3</v>
      </c>
      <c r="AJ4" s="10">
        <v>2015</v>
      </c>
      <c r="AK4" s="14">
        <f>SUM(AB14:AB17)/AVERAGE(AF14:AF17)</f>
        <v>-3.2822266914996047E-2</v>
      </c>
      <c r="AL4" s="14"/>
      <c r="AM4" s="14"/>
      <c r="AN4" s="14"/>
      <c r="AO4" s="14"/>
      <c r="AP4" s="9">
        <v>545118865</v>
      </c>
      <c r="AQ4" s="9">
        <f>AP4</f>
        <v>545118865</v>
      </c>
      <c r="AR4" s="16">
        <f>AP4/AF17</f>
        <v>9.6335892011156887E-2</v>
      </c>
      <c r="AS4" s="16">
        <f>AQ4/AF17</f>
        <v>9.6335892011156887E-2</v>
      </c>
      <c r="AU4" s="8">
        <v>10933469</v>
      </c>
      <c r="AW4" s="8">
        <f t="shared" ref="AW4:AW12" si="4">(AU4-AU3)/AU3</f>
        <v>9.2013324034656552E-4</v>
      </c>
      <c r="BD4" s="13">
        <f>S4/AF4</f>
        <v>1.4212842397520341E-2</v>
      </c>
      <c r="BE4" s="8">
        <v>2015</v>
      </c>
      <c r="BF4" s="13">
        <f>SUM(T14:T17)/AVERAGE(AF14:AF17)</f>
        <v>5.8016302548056807E-2</v>
      </c>
      <c r="BG4" s="13">
        <f>SUM(P14:P17)/AVERAGE(AF14:AF17)</f>
        <v>1.2830632772629795E-2</v>
      </c>
      <c r="BH4" s="13">
        <f>SUM(D14:D17)/AVERAGE(AF14:AF17)</f>
        <v>7.8007936690423052E-2</v>
      </c>
      <c r="BI4" s="13">
        <f>(SUM(H14:H17)+SUM(J14:J17))/AVERAGE(AF14:AF17)</f>
        <v>0</v>
      </c>
      <c r="BJ4" s="14">
        <f t="shared" si="2"/>
        <v>-3.2822266914996047E-2</v>
      </c>
      <c r="BK4" s="15">
        <f t="shared" si="3"/>
        <v>7.8007936690423052E-2</v>
      </c>
    </row>
    <row r="5" spans="1:63">
      <c r="A5" s="8">
        <v>2014</v>
      </c>
      <c r="B5" s="8">
        <v>3</v>
      </c>
      <c r="C5" s="9">
        <v>79948619.698482305</v>
      </c>
      <c r="D5" s="9"/>
      <c r="E5" s="9">
        <v>14531608.437999999</v>
      </c>
      <c r="F5" s="9"/>
      <c r="G5" s="9"/>
      <c r="H5" s="9"/>
      <c r="I5" s="9"/>
      <c r="J5" s="11"/>
      <c r="K5" s="11">
        <v>2697105.9034000002</v>
      </c>
      <c r="L5" s="9"/>
      <c r="M5" s="9">
        <v>618357.67000000004</v>
      </c>
      <c r="N5" s="9"/>
      <c r="O5" s="9">
        <v>17397319.126396801</v>
      </c>
      <c r="P5" s="9"/>
      <c r="Q5" s="9">
        <v>16666086.76898</v>
      </c>
      <c r="R5" s="9"/>
      <c r="S5" s="9">
        <v>63724227.302598797</v>
      </c>
      <c r="T5" s="9"/>
      <c r="U5" s="9">
        <v>145660.84302</v>
      </c>
      <c r="V5" s="11"/>
      <c r="W5" s="11">
        <v>365858.00147638301</v>
      </c>
      <c r="X5" s="9"/>
      <c r="Y5" s="9">
        <f t="shared" si="0"/>
        <v>-1035324.3993999995</v>
      </c>
      <c r="Z5" s="9"/>
      <c r="AA5" s="9">
        <f t="shared" si="1"/>
        <v>-33621711.522280306</v>
      </c>
      <c r="AB5" s="9"/>
      <c r="AC5" s="12"/>
      <c r="AD5" s="9">
        <v>4685503118.6782703</v>
      </c>
      <c r="AE5" s="9">
        <v>96.348619912999993</v>
      </c>
      <c r="AF5" s="9">
        <f>AD5*100/AE5</f>
        <v>4863072374.995245</v>
      </c>
      <c r="AG5" s="9"/>
      <c r="AH5" s="9"/>
      <c r="AI5" s="13">
        <f>AA5/AF5</f>
        <v>-6.9136769781908049E-3</v>
      </c>
      <c r="AJ5" s="10">
        <v>2016</v>
      </c>
      <c r="AK5" s="14">
        <f>SUM(AB18:AB21)/AVERAGE(AF18:AF21)</f>
        <v>-3.1724030354834801E-2</v>
      </c>
      <c r="AL5" s="14"/>
      <c r="AM5" s="14"/>
      <c r="AN5" s="14"/>
      <c r="AO5" s="14"/>
      <c r="AP5" s="9">
        <v>527406836</v>
      </c>
      <c r="AQ5" s="9">
        <f>AP5</f>
        <v>527406836</v>
      </c>
      <c r="AR5" s="16">
        <f>AP5/AF21</f>
        <v>9.6733053127945015E-2</v>
      </c>
      <c r="AS5" s="16">
        <f>AQ5/AF21</f>
        <v>9.6733053127945015E-2</v>
      </c>
      <c r="AU5" s="8">
        <v>10927942</v>
      </c>
      <c r="AW5" s="8">
        <f t="shared" si="4"/>
        <v>-5.0551202001853203E-4</v>
      </c>
      <c r="BD5" s="13">
        <f>S5/AF5</f>
        <v>1.3103697084635945E-2</v>
      </c>
      <c r="BE5" s="8">
        <v>2016</v>
      </c>
      <c r="BF5" s="13">
        <f>SUM(T18:T21)/AVERAGE(AF18:AF21)</f>
        <v>5.6853574673360385E-2</v>
      </c>
      <c r="BG5" s="13">
        <f>SUM(P18:P21)/AVERAGE(AF18:AF21)</f>
        <v>1.3708792226884221E-2</v>
      </c>
      <c r="BH5" s="13">
        <f>SUM(D18:D21)/AVERAGE(AF18:AF21)</f>
        <v>7.4868812801310955E-2</v>
      </c>
      <c r="BI5" s="13">
        <f>(SUM(H18:H21)+SUM(J18:J21))/AVERAGE(AF18:AF21)</f>
        <v>2.3570486548502998E-5</v>
      </c>
      <c r="BJ5" s="14">
        <f t="shared" si="2"/>
        <v>-3.1747600841383304E-2</v>
      </c>
      <c r="BK5" s="15">
        <f t="shared" si="3"/>
        <v>7.4892383287859451E-2</v>
      </c>
    </row>
    <row r="6" spans="1:63">
      <c r="A6" s="8">
        <v>2014</v>
      </c>
      <c r="B6" s="8">
        <v>4</v>
      </c>
      <c r="C6" s="9">
        <v>83342500.446047202</v>
      </c>
      <c r="D6" s="9"/>
      <c r="E6" s="9">
        <v>15148485.804</v>
      </c>
      <c r="F6" s="9"/>
      <c r="G6" s="9"/>
      <c r="H6" s="9"/>
      <c r="I6" s="9"/>
      <c r="J6" s="11"/>
      <c r="K6" s="11">
        <v>2598760.7445</v>
      </c>
      <c r="L6" s="9"/>
      <c r="M6" s="9">
        <v>597485.603</v>
      </c>
      <c r="N6" s="9"/>
      <c r="O6" s="9">
        <v>16772169.366415</v>
      </c>
      <c r="P6" s="9"/>
      <c r="Q6" s="9">
        <v>20600306.344000001</v>
      </c>
      <c r="R6" s="9"/>
      <c r="S6" s="9">
        <v>78767056.8481365</v>
      </c>
      <c r="T6" s="9"/>
      <c r="U6" s="9">
        <v>143630.44399999999</v>
      </c>
      <c r="V6" s="11"/>
      <c r="W6" s="11">
        <v>360758.22508998099</v>
      </c>
      <c r="X6" s="9"/>
      <c r="Y6" s="9">
        <f t="shared" si="0"/>
        <v>2399204.6364999991</v>
      </c>
      <c r="Z6" s="9"/>
      <c r="AA6" s="9">
        <f t="shared" si="1"/>
        <v>-21347612.964325704</v>
      </c>
      <c r="AB6" s="9"/>
      <c r="AC6" s="12"/>
      <c r="AD6" s="9">
        <v>5010564196.8707304</v>
      </c>
      <c r="AE6" s="9">
        <v>100</v>
      </c>
      <c r="AF6" s="9">
        <f>AD6*100/AE6</f>
        <v>5010564196.8707304</v>
      </c>
      <c r="AG6" s="9"/>
      <c r="AH6" s="9"/>
      <c r="AI6" s="13">
        <f>AA6/AF6</f>
        <v>-4.260520796771354E-3</v>
      </c>
      <c r="AJ6" s="10">
        <v>2017</v>
      </c>
      <c r="AK6" s="14">
        <f>SUM(AB22:AB25)/AVERAGE(AF22:AF25)</f>
        <v>-3.7007362789505803E-2</v>
      </c>
      <c r="AL6" s="14"/>
      <c r="AM6" s="14"/>
      <c r="AN6" s="14"/>
      <c r="AO6" s="9">
        <v>46349018</v>
      </c>
      <c r="AP6" s="9">
        <v>580675520</v>
      </c>
      <c r="AQ6" s="9">
        <f>AP6</f>
        <v>580675520</v>
      </c>
      <c r="AR6" s="16">
        <f>AP6/AF25</f>
        <v>0.10103933176461725</v>
      </c>
      <c r="AS6" s="16">
        <f>AQ6/AF25</f>
        <v>0.10103933176461725</v>
      </c>
      <c r="AU6" s="8">
        <v>11163575</v>
      </c>
      <c r="AW6" s="8">
        <f t="shared" si="4"/>
        <v>2.1562431425789046E-2</v>
      </c>
      <c r="BD6" s="13">
        <f>S6/AF6</f>
        <v>1.5720197118186657E-2</v>
      </c>
      <c r="BE6" s="8">
        <v>2017</v>
      </c>
      <c r="BF6" s="13">
        <f>SUM(T22:T25)/AVERAGE(AF22:AF25)</f>
        <v>5.6355346428822027E-2</v>
      </c>
      <c r="BG6" s="13">
        <f>SUM(P22:P25)/AVERAGE(AF22:AF25)</f>
        <v>1.689929109602584E-2</v>
      </c>
      <c r="BH6" s="13">
        <f>SUM(D22:D25)/AVERAGE(AF22:AF25)</f>
        <v>7.6463418122301993E-2</v>
      </c>
      <c r="BI6" s="13">
        <f>(SUM(H22:H25)+SUM(J22:J25))/AVERAGE(AF22:AF25)</f>
        <v>4.6397329718049409E-4</v>
      </c>
      <c r="BJ6" s="14">
        <f t="shared" si="2"/>
        <v>-3.7471336086686298E-2</v>
      </c>
      <c r="BK6" s="15">
        <f t="shared" si="3"/>
        <v>7.6927391419482488E-2</v>
      </c>
    </row>
    <row r="7" spans="1:63">
      <c r="A7" s="8">
        <v>2015</v>
      </c>
      <c r="B7" s="8">
        <v>1</v>
      </c>
      <c r="C7" s="9">
        <v>87220448.7038403</v>
      </c>
      <c r="D7" s="9"/>
      <c r="E7" s="9">
        <v>15853348.733999999</v>
      </c>
      <c r="F7" s="9"/>
      <c r="G7" s="9"/>
      <c r="H7" s="9"/>
      <c r="I7" s="9"/>
      <c r="J7" s="11"/>
      <c r="K7" s="11">
        <v>3002195.4358999999</v>
      </c>
      <c r="L7" s="9"/>
      <c r="M7" s="9">
        <v>654530.51300000004</v>
      </c>
      <c r="N7" s="9"/>
      <c r="O7" s="9">
        <v>19179435.069263499</v>
      </c>
      <c r="P7" s="9"/>
      <c r="Q7" s="9">
        <v>18139908.10636</v>
      </c>
      <c r="R7" s="9"/>
      <c r="S7" s="9">
        <v>69359510.930272505</v>
      </c>
      <c r="T7" s="9"/>
      <c r="U7" s="9">
        <v>167252.22263999999</v>
      </c>
      <c r="V7" s="11"/>
      <c r="W7" s="11">
        <v>420089.31603637501</v>
      </c>
      <c r="X7" s="9"/>
      <c r="Y7" s="9">
        <f t="shared" si="0"/>
        <v>-1202914.3538999986</v>
      </c>
      <c r="Z7" s="9"/>
      <c r="AA7" s="9">
        <f t="shared" si="1"/>
        <v>-37040372.842831299</v>
      </c>
      <c r="AB7" s="9"/>
      <c r="AC7" s="12"/>
      <c r="AD7" s="9"/>
      <c r="AE7" s="9"/>
      <c r="AF7" s="9"/>
      <c r="AG7" s="9"/>
      <c r="AH7" s="9"/>
      <c r="AI7" s="13"/>
      <c r="AJ7" s="10">
        <f t="shared" ref="AJ7:AJ29" si="5">AJ6+1</f>
        <v>2018</v>
      </c>
      <c r="AK7" s="14">
        <f>SUM(AB26:AB29)/AVERAGE(AF26:AF29)</f>
        <v>-3.554073775552568E-2</v>
      </c>
      <c r="AL7" s="9">
        <v>34286231</v>
      </c>
      <c r="AM7" s="14">
        <f>AL7/AVERAGE(AF26:AF29)</f>
        <v>5.9759955211045037E-3</v>
      </c>
      <c r="AN7" s="14">
        <f>(AF29-AF25)/AF25</f>
        <v>8.2172761474388623E-3</v>
      </c>
      <c r="AO7" s="9">
        <f>+ (((((((((((AO6*((1+AN7)^(1/12))-AL7/12)*((1+AN7)^(1/12))-AL7/12)*((1+AN7)^(1/12))-AL7/12)*((1+AN7)^(1/12))-AL7/12)*((1+AN7)^(1/12))-AL7/12)*((1+AN7)^(1/12))-AL7/12)*((1+AN7)^(1/12))-AL7/12)*((1+AN7)^(1/12))-AL7/12)*((1+AN7)^(1/12))-AL7/12)*((1+AN7)^(1/12))-AL7/12)*((1+AN7)^(1/12))-AL7/12)*((1+AN7)^(1/12))-AL7/12</f>
        <v>12314709.913507318</v>
      </c>
      <c r="AP7" s="9">
        <f t="shared" ref="AP7:AP29" si="6">AP6*(1+AN7)</f>
        <v>585447091.09989762</v>
      </c>
      <c r="AQ7" s="9">
        <f>AP7</f>
        <v>585447091.09989762</v>
      </c>
      <c r="AR7" s="16">
        <f>AP7/AF29</f>
        <v>0.10103933176461724</v>
      </c>
      <c r="AS7" s="16">
        <f>AQ7/AF29</f>
        <v>0.10103933176461724</v>
      </c>
      <c r="AU7" s="8">
        <v>11012334</v>
      </c>
      <c r="AW7" s="8">
        <f t="shared" si="4"/>
        <v>-1.3547721048140941E-2</v>
      </c>
      <c r="BD7" s="13">
        <f t="shared" ref="BD7:BD38" si="7">T14/AF14</f>
        <v>1.3827254222720353E-2</v>
      </c>
      <c r="BE7" s="8">
        <f t="shared" ref="BE7:BE29" si="8">BE6+1</f>
        <v>2018</v>
      </c>
      <c r="BF7" s="13">
        <f>SUM(T26:T29)/AVERAGE(AF26:AF29)</f>
        <v>5.3049272257321069E-2</v>
      </c>
      <c r="BG7" s="13">
        <f>SUM(P26:P29)/AVERAGE(AF26:AF29)</f>
        <v>1.481228678061975E-2</v>
      </c>
      <c r="BH7" s="13">
        <f>SUM(D26:D29)/AVERAGE(AF26:AF29)</f>
        <v>7.3777723232226991E-2</v>
      </c>
      <c r="BI7" s="13">
        <f>(SUM(H26:H29)+SUM(J26:J29))/AVERAGE(AF26:AF29)</f>
        <v>8.6959305121525696E-4</v>
      </c>
      <c r="BJ7" s="14">
        <f t="shared" si="2"/>
        <v>-3.6410330806740936E-2</v>
      </c>
      <c r="BK7" s="15">
        <f t="shared" si="3"/>
        <v>7.4647316283442247E-2</v>
      </c>
    </row>
    <row r="8" spans="1:63">
      <c r="A8" s="8">
        <v>2015</v>
      </c>
      <c r="B8" s="8">
        <v>2</v>
      </c>
      <c r="C8" s="9">
        <v>94524704.7581871</v>
      </c>
      <c r="D8" s="9"/>
      <c r="E8" s="9">
        <v>17180984.028999999</v>
      </c>
      <c r="F8" s="9"/>
      <c r="G8" s="9"/>
      <c r="H8" s="9"/>
      <c r="I8" s="9"/>
      <c r="J8" s="11"/>
      <c r="K8" s="11">
        <v>2371185.1833000001</v>
      </c>
      <c r="L8" s="9"/>
      <c r="M8" s="9">
        <v>696491.069000002</v>
      </c>
      <c r="N8" s="11"/>
      <c r="O8" s="11">
        <v>16135978.221071601</v>
      </c>
      <c r="P8" s="11"/>
      <c r="Q8" s="9">
        <v>21552530.200959999</v>
      </c>
      <c r="R8" s="9"/>
      <c r="S8" s="9">
        <v>82407967.299702004</v>
      </c>
      <c r="T8" s="11"/>
      <c r="U8" s="11">
        <v>188439.08603999999</v>
      </c>
      <c r="V8" s="11"/>
      <c r="W8" s="11">
        <v>473304.60259085899</v>
      </c>
      <c r="X8" s="9"/>
      <c r="Y8" s="9">
        <f t="shared" si="0"/>
        <v>1492309.0056999996</v>
      </c>
      <c r="Z8" s="9"/>
      <c r="AA8" s="9">
        <f t="shared" si="1"/>
        <v>-28252715.679556698</v>
      </c>
      <c r="AB8" s="9"/>
      <c r="AC8" s="12"/>
      <c r="AD8" s="9"/>
      <c r="AE8" s="9"/>
      <c r="AF8" s="9"/>
      <c r="AG8" s="9"/>
      <c r="AH8" s="9"/>
      <c r="AI8" s="13"/>
      <c r="AJ8" s="10">
        <f t="shared" si="5"/>
        <v>2019</v>
      </c>
      <c r="AK8" s="14">
        <f>SUM(AB30:AB33)/AVERAGE(AF30:AF33)</f>
        <v>-3.637307538821169E-2</v>
      </c>
      <c r="AL8" s="9">
        <v>32784767.226440601</v>
      </c>
      <c r="AM8" s="14">
        <f>AL8/AVERAGE(AF30:AF33)</f>
        <v>5.5273436034643537E-3</v>
      </c>
      <c r="AN8" s="14">
        <f>(AF33-AF29)/AF29</f>
        <v>3.7938022574768429E-2</v>
      </c>
      <c r="AO8" s="9">
        <f>((((AO7*((1+AN8)^(1/12))-AL8/12)*((1+AN8)^(1/12))-AL8/12)*((1+AN8)^(1/12))-AL8/12)*((1+AN8)^(1/12))-AL8/12)*((1+AN8)^(1/12))-AL8/12</f>
        <v>-1238228.856504485</v>
      </c>
      <c r="AP8" s="9">
        <f t="shared" si="6"/>
        <v>607657796.0583781</v>
      </c>
      <c r="AQ8" s="9">
        <f>((((((((AP7*((1+AN8)^(4/12)))*((1+AN8)^(1/12))+AO8)*((1+AN8)^(1/12))-AL8/12)*((1+AN8)^(1/12))-AL8/12)*((1+AN8)^(1/12))-AL8/12)*((1+AN8)^(1/12))-AL8/12)*((1+AN8)^(1/12))-AL8/12)*((1+AN8)^(1/12))-AL8/12)*((1+AN8)^(1/12))-AL8/12</f>
        <v>587088697.01476562</v>
      </c>
      <c r="AR8" s="16">
        <f>AP8/AF33</f>
        <v>0.10103933176461725</v>
      </c>
      <c r="AS8" s="16">
        <f>AQ8/AF33</f>
        <v>9.7619169897448232E-2</v>
      </c>
      <c r="AU8" s="8">
        <v>11082939</v>
      </c>
      <c r="AW8" s="8">
        <f t="shared" si="4"/>
        <v>6.4114473825439729E-3</v>
      </c>
      <c r="BD8" s="13">
        <f t="shared" si="7"/>
        <v>1.4927503834836226E-2</v>
      </c>
      <c r="BE8" s="8">
        <f t="shared" si="8"/>
        <v>2019</v>
      </c>
      <c r="BF8" s="13">
        <f>SUM(T30:T33)/AVERAGE(AF30:AF33)</f>
        <v>4.96947418638286E-2</v>
      </c>
      <c r="BG8" s="13">
        <f>SUM(P30:P33)/AVERAGE(AF30:AF33)</f>
        <v>1.3405393211458621E-2</v>
      </c>
      <c r="BH8" s="13">
        <f>SUM(D30:D33)/AVERAGE(AF30:AF33)</f>
        <v>7.266242404058168E-2</v>
      </c>
      <c r="BI8" s="13">
        <f>(SUM(H30:H33)+SUM(J30:J33))/AVERAGE(AF30:AF33)</f>
        <v>1.2281407285230543E-3</v>
      </c>
      <c r="BJ8" s="14">
        <f t="shared" si="2"/>
        <v>-3.7601216116734747E-2</v>
      </c>
      <c r="BK8" s="15">
        <f t="shared" si="3"/>
        <v>7.389056476910473E-2</v>
      </c>
    </row>
    <row r="9" spans="1:63">
      <c r="A9" s="8">
        <v>2016</v>
      </c>
      <c r="B9" s="8">
        <v>2</v>
      </c>
      <c r="C9" s="9">
        <v>97915025.902647793</v>
      </c>
      <c r="D9" s="9"/>
      <c r="E9" s="9">
        <v>17797214.875</v>
      </c>
      <c r="F9" s="9"/>
      <c r="G9" s="9"/>
      <c r="H9" s="9"/>
      <c r="I9" s="9"/>
      <c r="J9" s="11"/>
      <c r="K9" s="11"/>
      <c r="L9" s="9"/>
      <c r="M9" s="9">
        <v>732730.52299999795</v>
      </c>
      <c r="N9" s="11"/>
      <c r="O9" s="11"/>
      <c r="P9" s="11"/>
      <c r="Q9" s="9"/>
      <c r="R9" s="9"/>
      <c r="S9" s="9"/>
      <c r="T9" s="11"/>
      <c r="U9" s="11"/>
      <c r="V9" s="11"/>
      <c r="W9" s="11"/>
      <c r="X9" s="9"/>
      <c r="Y9" s="9"/>
      <c r="Z9" s="9"/>
      <c r="AA9" s="9"/>
      <c r="AB9" s="9"/>
      <c r="AC9" s="12"/>
      <c r="AD9" s="9"/>
      <c r="AE9" s="9"/>
      <c r="AF9" s="9"/>
      <c r="AG9" s="9"/>
      <c r="AH9" s="9"/>
      <c r="AI9" s="13"/>
      <c r="AJ9" s="10">
        <f t="shared" si="5"/>
        <v>2020</v>
      </c>
      <c r="AK9" s="14">
        <f>SUM(AB34:AB37)/AVERAGE(AF34:AF37)</f>
        <v>-3.8787440337683443E-2</v>
      </c>
      <c r="AL9" s="9">
        <v>31327493.104408801</v>
      </c>
      <c r="AM9" s="14">
        <f>AL9/AVERAGE(AF34:AF37)</f>
        <v>5.1293061090473191E-3</v>
      </c>
      <c r="AN9" s="14">
        <f>(AF37-AF33)/AF33</f>
        <v>2.8219107031678032E-2</v>
      </c>
      <c r="AO9" s="14"/>
      <c r="AP9" s="9">
        <f t="shared" si="6"/>
        <v>624805356.44398296</v>
      </c>
      <c r="AQ9" s="9">
        <f t="shared" ref="AQ9:AQ29" si="9">(((((((((((AQ8*((1+AN9)^(1/12))-AL9/12)*((1+AN9)^(1/12))-AL9/12)*((1+AN9)^(1/12))-AL9/12)*((1+AN9)^(1/12))-AL9/12)*((1+AN9)^(1/12))-AL9/12)*((1+AN9)^(1/12))-AL9/12)*((1+AN9)^(1/12))-AL9/12)*((1+AN9)^(1/12))-AL9/12)*((1+AN9)^(1/12))-AL9/12)*((1+AN9)^(1/12))-AL9/12)*((1+AN9)^(1/12))-AL9/12)*((1+AN9)^(1/12))-AL9/12</f>
        <v>571925176.32529128</v>
      </c>
      <c r="AR9" s="16">
        <f>AP9/AF37</f>
        <v>0.10103933176461724</v>
      </c>
      <c r="AS9" s="16">
        <f>AQ9/AF37</f>
        <v>9.2487903695571499E-2</v>
      </c>
      <c r="AU9" s="8">
        <v>11339977</v>
      </c>
      <c r="AW9" s="8">
        <f t="shared" si="4"/>
        <v>2.3192223651145243E-2</v>
      </c>
      <c r="BD9" s="13">
        <f t="shared" si="7"/>
        <v>1.3592051892300448E-2</v>
      </c>
      <c r="BE9" s="8">
        <f t="shared" si="8"/>
        <v>2020</v>
      </c>
      <c r="BF9" s="13">
        <f>SUM(T34:T37)/AVERAGE(AF34:AF37)</f>
        <v>4.6784588197976915E-2</v>
      </c>
      <c r="BG9" s="13">
        <f>SUM(P34:P37)/AVERAGE(AF34:AF37)</f>
        <v>1.2885171620538592E-2</v>
      </c>
      <c r="BH9" s="13">
        <f>SUM(D34:D37)/AVERAGE(AF34:AF37)</f>
        <v>7.2686856915121764E-2</v>
      </c>
      <c r="BI9" s="13">
        <f>(SUM(H34:H37)+SUM(J34:J37))/AVERAGE(AF34:AF37)</f>
        <v>1.5998678405796652E-3</v>
      </c>
      <c r="BJ9" s="14">
        <f t="shared" si="2"/>
        <v>-4.0387308178263109E-2</v>
      </c>
      <c r="BK9" s="15">
        <f t="shared" si="3"/>
        <v>7.428672475570143E-2</v>
      </c>
    </row>
    <row r="10" spans="1:63">
      <c r="A10" s="8">
        <v>2016</v>
      </c>
      <c r="B10" s="8">
        <v>3</v>
      </c>
      <c r="C10" s="9">
        <v>100917465.84456199</v>
      </c>
      <c r="D10" s="9"/>
      <c r="E10" s="9">
        <v>18342943.715</v>
      </c>
      <c r="F10" s="9"/>
      <c r="G10" s="9"/>
      <c r="H10" s="9"/>
      <c r="I10" s="9"/>
      <c r="J10" s="11"/>
      <c r="K10" s="11"/>
      <c r="L10" s="9"/>
      <c r="M10" s="9">
        <v>775294.91</v>
      </c>
      <c r="N10" s="11"/>
      <c r="O10" s="11"/>
      <c r="P10" s="11"/>
      <c r="Q10" s="9"/>
      <c r="R10" s="9"/>
      <c r="S10" s="9"/>
      <c r="T10" s="11"/>
      <c r="U10" s="9"/>
      <c r="V10" s="11"/>
      <c r="W10" s="11"/>
      <c r="X10" s="9"/>
      <c r="Y10" s="9"/>
      <c r="Z10" s="9"/>
      <c r="AA10" s="9"/>
      <c r="AB10" s="9"/>
      <c r="AC10" s="12"/>
      <c r="AD10" s="9"/>
      <c r="AE10" s="9"/>
      <c r="AF10" s="9"/>
      <c r="AG10" s="9"/>
      <c r="AH10" s="9"/>
      <c r="AI10" s="13"/>
      <c r="AJ10" s="10">
        <f t="shared" si="5"/>
        <v>2021</v>
      </c>
      <c r="AK10" s="14">
        <f>SUM(AB38:AB41)/AVERAGE(AF38:AF41)</f>
        <v>-4.0510969788801324E-2</v>
      </c>
      <c r="AL10" s="9">
        <v>29621393.621181399</v>
      </c>
      <c r="AM10" s="14">
        <f>AL10/AVERAGE(AF38:AF41)</f>
        <v>4.7257839101891019E-3</v>
      </c>
      <c r="AN10" s="14">
        <f>(AF41-AF37)/AF37</f>
        <v>2.5629395761845138E-2</v>
      </c>
      <c r="AO10" s="14"/>
      <c r="AP10" s="9">
        <f t="shared" si="6"/>
        <v>640818740.19840658</v>
      </c>
      <c r="AQ10" s="9">
        <f t="shared" si="9"/>
        <v>556615512.49361944</v>
      </c>
      <c r="AR10" s="16">
        <f>AP10/AF41</f>
        <v>0.10103933176461724</v>
      </c>
      <c r="AS10" s="16">
        <f>AQ10/AF41</f>
        <v>8.7762819506125161E-2</v>
      </c>
      <c r="AU10" s="8">
        <v>11479064</v>
      </c>
      <c r="AW10" s="8">
        <f t="shared" si="4"/>
        <v>1.2265192424993455E-2</v>
      </c>
      <c r="BD10" s="13">
        <f t="shared" si="7"/>
        <v>1.5585340256804794E-2</v>
      </c>
      <c r="BE10" s="8">
        <f t="shared" si="8"/>
        <v>2021</v>
      </c>
      <c r="BF10" s="13">
        <f>SUM(T38:T41)/AVERAGE(AF38:AF41)</f>
        <v>4.3846692102106455E-2</v>
      </c>
      <c r="BG10" s="13">
        <f>SUM(P38:P41)/AVERAGE(AF38:AF41)</f>
        <v>1.2428590043080228E-2</v>
      </c>
      <c r="BH10" s="13">
        <f>SUM(D38:D41)/AVERAGE(AF38:AF41)</f>
        <v>7.1929071847827541E-2</v>
      </c>
      <c r="BI10" s="13">
        <f>(SUM(H38:H41)+SUM(J38:J41))/AVERAGE(AF38:AF41)</f>
        <v>1.9221764317565338E-3</v>
      </c>
      <c r="BJ10" s="14">
        <f t="shared" si="2"/>
        <v>-4.2433146220557855E-2</v>
      </c>
      <c r="BK10" s="15">
        <f t="shared" si="3"/>
        <v>7.3851248279584072E-2</v>
      </c>
    </row>
    <row r="11" spans="1:63">
      <c r="A11" s="8">
        <v>2016</v>
      </c>
      <c r="B11" s="8">
        <v>4</v>
      </c>
      <c r="C11" s="9">
        <v>108710229.285033</v>
      </c>
      <c r="D11" s="9"/>
      <c r="E11" s="9">
        <v>19759371.113000002</v>
      </c>
      <c r="F11" s="9"/>
      <c r="G11" s="9"/>
      <c r="H11" s="9"/>
      <c r="I11" s="9"/>
      <c r="J11" s="11"/>
      <c r="K11" s="11"/>
      <c r="L11" s="9"/>
      <c r="M11" s="9">
        <v>832906.25299999898</v>
      </c>
      <c r="N11" s="11"/>
      <c r="O11" s="11"/>
      <c r="P11" s="9"/>
      <c r="Q11" s="9"/>
      <c r="R11" s="9"/>
      <c r="S11" s="9"/>
      <c r="T11" s="11"/>
      <c r="U11" s="11"/>
      <c r="V11" s="11"/>
      <c r="W11" s="11"/>
      <c r="X11" s="9"/>
      <c r="Y11" s="9"/>
      <c r="Z11" s="9"/>
      <c r="AA11" s="9"/>
      <c r="AB11" s="9"/>
      <c r="AC11" s="12"/>
      <c r="AD11" s="9"/>
      <c r="AE11" s="9"/>
      <c r="AF11" s="9"/>
      <c r="AG11" s="9"/>
      <c r="AH11" s="9"/>
      <c r="AI11" s="13"/>
      <c r="AJ11" s="10">
        <f t="shared" si="5"/>
        <v>2022</v>
      </c>
      <c r="AK11" s="14">
        <f>SUM(AB42:AB45)/AVERAGE(AF42:AF45)</f>
        <v>-4.1221565534718826E-2</v>
      </c>
      <c r="AL11" s="9">
        <v>27946642.832039401</v>
      </c>
      <c r="AM11" s="14">
        <f>AL11/AVERAGE(AF42:AF45)</f>
        <v>4.3267585893156059E-3</v>
      </c>
      <c r="AN11" s="14">
        <f>(AF45-AF41)/AF41</f>
        <v>2.7673340887683088E-2</v>
      </c>
      <c r="AO11" s="14"/>
      <c r="AP11" s="9">
        <f t="shared" si="6"/>
        <v>658552335.64313269</v>
      </c>
      <c r="AQ11" s="9">
        <f t="shared" si="9"/>
        <v>543719563.05907249</v>
      </c>
      <c r="AR11" s="16">
        <f>AP11/AF45</f>
        <v>0.10103933176461724</v>
      </c>
      <c r="AS11" s="16">
        <f>AQ11/AF45</f>
        <v>8.3420949779469858E-2</v>
      </c>
      <c r="AU11" s="8">
        <v>11462881</v>
      </c>
      <c r="AW11" s="8">
        <f t="shared" si="4"/>
        <v>-1.4097839336029488E-3</v>
      </c>
      <c r="BD11" s="13">
        <f t="shared" si="7"/>
        <v>1.364893781379666E-2</v>
      </c>
      <c r="BE11" s="8">
        <f t="shared" si="8"/>
        <v>2022</v>
      </c>
      <c r="BF11" s="13">
        <f>SUM(T42:T45)/AVERAGE(AF42:AF45)</f>
        <v>4.1624665583624237E-2</v>
      </c>
      <c r="BG11" s="13">
        <f>SUM(P42:P45)/AVERAGE(AF42:AF45)</f>
        <v>1.1934137853711231E-2</v>
      </c>
      <c r="BH11" s="13">
        <f>SUM(D42:D45)/AVERAGE(AF42:AF45)</f>
        <v>7.091209326463184E-2</v>
      </c>
      <c r="BI11" s="13">
        <f>(SUM(H42:H45)+SUM(J42:J45))/AVERAGE(AF42:AF45)</f>
        <v>2.2764711150447003E-3</v>
      </c>
      <c r="BJ11" s="14">
        <f t="shared" si="2"/>
        <v>-4.3498036649763525E-2</v>
      </c>
      <c r="BK11" s="15">
        <f t="shared" si="3"/>
        <v>7.3188564379676538E-2</v>
      </c>
    </row>
    <row r="12" spans="1:63" ht="11.5" customHeight="1">
      <c r="A12" s="8">
        <v>2017</v>
      </c>
      <c r="B12" s="8">
        <v>1</v>
      </c>
      <c r="C12" s="9">
        <v>106787377.90249901</v>
      </c>
      <c r="D12" s="9"/>
      <c r="E12" s="9">
        <v>19409869.568</v>
      </c>
      <c r="F12" s="9"/>
      <c r="G12" s="9"/>
      <c r="H12" s="9"/>
      <c r="I12" s="9"/>
      <c r="J12" s="11"/>
      <c r="K12" s="11"/>
      <c r="L12" s="9"/>
      <c r="M12" s="9">
        <v>832988.16000000003</v>
      </c>
      <c r="N12" s="11"/>
      <c r="O12" s="11"/>
      <c r="P12" s="11"/>
      <c r="Q12" s="9"/>
      <c r="R12" s="9"/>
      <c r="S12" s="9"/>
      <c r="T12" s="11"/>
      <c r="U12" s="11"/>
      <c r="V12" s="11"/>
      <c r="W12" s="11"/>
      <c r="X12" s="9"/>
      <c r="Y12" s="9"/>
      <c r="Z12" s="9"/>
      <c r="AA12" s="9"/>
      <c r="AB12" s="9"/>
      <c r="AC12" s="12"/>
      <c r="AD12" s="9"/>
      <c r="AE12" s="9"/>
      <c r="AF12" s="9"/>
      <c r="AG12" s="9"/>
      <c r="AH12" s="9"/>
      <c r="AI12" s="13"/>
      <c r="AJ12" s="10">
        <f t="shared" si="5"/>
        <v>2023</v>
      </c>
      <c r="AK12" s="14">
        <f>SUM(AB46:AB49)/AVERAGE(AF46:AF49)</f>
        <v>-4.0014757888371701E-2</v>
      </c>
      <c r="AL12" s="9">
        <v>26311611.4111083</v>
      </c>
      <c r="AM12" s="14">
        <f>AL12/AVERAGE(AF46:AF49)</f>
        <v>3.9748552676780527E-3</v>
      </c>
      <c r="AN12" s="14">
        <f>(AF49-AF45)/AF45</f>
        <v>2.6950716178727841E-2</v>
      </c>
      <c r="AO12" s="14"/>
      <c r="AP12" s="9">
        <f t="shared" si="6"/>
        <v>676300792.72988915</v>
      </c>
      <c r="AQ12" s="9">
        <f t="shared" si="9"/>
        <v>531738132.00492257</v>
      </c>
      <c r="AR12" s="16">
        <f>AP12/AF49</f>
        <v>0.10103933176461725</v>
      </c>
      <c r="AS12" s="16">
        <f>AQ12/AF49</f>
        <v>7.9441671677887973E-2</v>
      </c>
      <c r="AU12" s="8">
        <v>11332510</v>
      </c>
      <c r="AW12" s="8">
        <f t="shared" si="4"/>
        <v>-1.1373318801791626E-2</v>
      </c>
      <c r="BD12" s="13">
        <f t="shared" si="7"/>
        <v>1.4371126013635348E-2</v>
      </c>
      <c r="BE12" s="8">
        <f t="shared" si="8"/>
        <v>2023</v>
      </c>
      <c r="BF12" s="13">
        <f>SUM(T46:T49)/AVERAGE(AF46:AF49)</f>
        <v>4.1800548122417472E-2</v>
      </c>
      <c r="BG12" s="13">
        <f>SUM(P46:P49)/AVERAGE(AF46:AF49)</f>
        <v>1.1541533567898415E-2</v>
      </c>
      <c r="BH12" s="13">
        <f>SUM(D46:D49)/AVERAGE(AF46:AF49)</f>
        <v>7.0273772442890764E-2</v>
      </c>
      <c r="BI12" s="13">
        <f>(SUM(H46:H49)+SUM(J46:J49))/AVERAGE(AF46:AF49)</f>
        <v>2.6348061903575764E-3</v>
      </c>
      <c r="BJ12" s="14">
        <f t="shared" si="2"/>
        <v>-4.2649564078729274E-2</v>
      </c>
      <c r="BK12" s="15">
        <f t="shared" si="3"/>
        <v>7.2908578633248344E-2</v>
      </c>
    </row>
    <row r="13" spans="1:63">
      <c r="C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7"/>
      <c r="P13" s="18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9"/>
      <c r="AD13" s="18"/>
      <c r="AE13" s="18"/>
      <c r="AF13" s="18"/>
      <c r="AG13" s="18"/>
      <c r="AH13" s="18"/>
      <c r="AI13" s="15"/>
      <c r="AJ13" s="20">
        <f t="shared" si="5"/>
        <v>2024</v>
      </c>
      <c r="AK13" s="21">
        <f>SUM(AB50:AB53)/AVERAGE(AF50:AF53)</f>
        <v>-3.8355211639808484E-2</v>
      </c>
      <c r="AL13" s="18">
        <v>24746870.944366999</v>
      </c>
      <c r="AM13" s="21">
        <f>AL13/AVERAGE(AF50:AF53)</f>
        <v>3.617119782807667E-3</v>
      </c>
      <c r="AN13" s="21">
        <f>(AF53-AF49)/AF49</f>
        <v>3.1611722778981166E-2</v>
      </c>
      <c r="AO13" s="21"/>
      <c r="AP13" s="18">
        <f t="shared" si="6"/>
        <v>697679825.90487158</v>
      </c>
      <c r="AQ13" s="18">
        <f t="shared" si="9"/>
        <v>523443884.10956913</v>
      </c>
      <c r="AR13" s="22">
        <f>AP13/AF53</f>
        <v>0.10103933176461725</v>
      </c>
      <c r="AS13" s="22">
        <f>AQ13/AF53</f>
        <v>7.5806148182816932E-2</v>
      </c>
      <c r="BD13" s="15">
        <f t="shared" si="7"/>
        <v>1.3371306482896885E-2</v>
      </c>
      <c r="BE13">
        <f t="shared" si="8"/>
        <v>2024</v>
      </c>
      <c r="BF13" s="15">
        <f>SUM(T50:T53)/AVERAGE(AF50:AF53)</f>
        <v>4.1925710859148618E-2</v>
      </c>
      <c r="BG13" s="15">
        <f>SUM(P50:P53)/AVERAGE(AF50:AF53)</f>
        <v>1.1122987243175368E-2</v>
      </c>
      <c r="BH13" s="15">
        <f>SUM(D50:D53)/AVERAGE(AF50:AF53)</f>
        <v>6.9157935255781733E-2</v>
      </c>
      <c r="BI13" s="15">
        <f>(SUM(H50:H53)+SUM(J50:J53))/AVERAGE(AF50:AF53)</f>
        <v>3.0048383450759467E-3</v>
      </c>
      <c r="BJ13" s="21">
        <f t="shared" si="2"/>
        <v>-4.1360049984884434E-2</v>
      </c>
      <c r="BK13" s="15">
        <f t="shared" si="3"/>
        <v>7.2162773600857683E-2</v>
      </c>
    </row>
    <row r="14" spans="1:63" s="23" customFormat="1">
      <c r="A14" s="23">
        <v>2015</v>
      </c>
      <c r="B14" s="23">
        <v>1</v>
      </c>
      <c r="C14" s="24"/>
      <c r="D14" s="41">
        <v>94935467.946458384</v>
      </c>
      <c r="E14" s="29"/>
      <c r="F14" s="41">
        <v>17255645.0717646</v>
      </c>
      <c r="G14" s="25">
        <v>0</v>
      </c>
      <c r="H14" s="25">
        <v>0</v>
      </c>
      <c r="I14" s="25">
        <v>0</v>
      </c>
      <c r="J14" s="24">
        <v>0</v>
      </c>
      <c r="K14" s="24"/>
      <c r="L14" s="41">
        <v>2539896.5458378801</v>
      </c>
      <c r="M14" s="25"/>
      <c r="N14" s="41">
        <v>705811.99727709964</v>
      </c>
      <c r="O14" s="24"/>
      <c r="P14" s="41">
        <v>17062704.611325134</v>
      </c>
      <c r="Q14" s="25"/>
      <c r="R14" s="41">
        <v>17864532.40085613</v>
      </c>
      <c r="S14" s="25"/>
      <c r="T14" s="41">
        <v>68306587.984066308</v>
      </c>
      <c r="U14" s="24"/>
      <c r="V14" s="41">
        <v>116424.766458671</v>
      </c>
      <c r="W14" s="25"/>
      <c r="X14" s="41">
        <v>292425.44715261337</v>
      </c>
      <c r="Y14" s="24"/>
      <c r="Z14" s="24">
        <f t="shared" ref="Z14:Z45" si="10">R14+V14-N14-L14-F14</f>
        <v>-2520396.447564777</v>
      </c>
      <c r="AA14" s="24"/>
      <c r="AB14" s="24">
        <f t="shared" ref="AB14:AB45" si="11">T14-P14-D14</f>
        <v>-43691584.573717207</v>
      </c>
      <c r="AC14" s="12"/>
      <c r="AD14" s="24">
        <v>5092693740.32864</v>
      </c>
      <c r="AE14" s="24">
        <v>103.09103866</v>
      </c>
      <c r="AF14" s="24">
        <f t="shared" ref="AF14:AF25" si="12">AD14*100/AE14</f>
        <v>4939996537.5502996</v>
      </c>
      <c r="AG14" s="24"/>
      <c r="AH14" s="24"/>
      <c r="AI14" s="26">
        <f t="shared" ref="AI14:AI45" si="13">AB14/AF14</f>
        <v>-8.8444565176524336E-3</v>
      </c>
      <c r="AJ14" s="27">
        <f t="shared" si="5"/>
        <v>2025</v>
      </c>
      <c r="AK14" s="28">
        <f>SUM(AB54:AB57)/AVERAGE(AF54:AF57)</f>
        <v>-3.6727143479308715E-2</v>
      </c>
      <c r="AL14" s="24">
        <v>23163060.017723002</v>
      </c>
      <c r="AM14" s="28">
        <f>AL14/AVERAGE(AF54:AF57)</f>
        <v>3.2783940792517094E-3</v>
      </c>
      <c r="AN14" s="28">
        <f>(AF57-AF53)/AF53</f>
        <v>4.2099839548452887E-2</v>
      </c>
      <c r="AO14" s="28"/>
      <c r="AP14" s="24">
        <f t="shared" si="6"/>
        <v>727052034.63165915</v>
      </c>
      <c r="AQ14" s="24">
        <f t="shared" si="9"/>
        <v>521874106.53782719</v>
      </c>
      <c r="AR14" s="29">
        <f>AP14/AF57</f>
        <v>0.10103933176461724</v>
      </c>
      <c r="AS14" s="29">
        <f>AQ14/AF57</f>
        <v>7.2525498146157899E-2</v>
      </c>
      <c r="AV14" s="23">
        <v>11004289</v>
      </c>
      <c r="AX14" s="23">
        <f>(AV14-AU6)/AU6</f>
        <v>-1.4268368331829186E-2</v>
      </c>
      <c r="AY14" s="43">
        <v>6368.9065332603996</v>
      </c>
      <c r="BD14" s="26">
        <f t="shared" si="7"/>
        <v>1.5435953799932024E-2</v>
      </c>
      <c r="BE14" s="23">
        <f t="shared" si="8"/>
        <v>2025</v>
      </c>
      <c r="BF14" s="26">
        <f>SUM(T54:T57)/AVERAGE(AF54:AF57)</f>
        <v>4.2123081351395648E-2</v>
      </c>
      <c r="BG14" s="26">
        <f>SUM(P54:P57)/AVERAGE(AF54:AF57)</f>
        <v>1.0697035494004191E-2</v>
      </c>
      <c r="BH14" s="26">
        <f>SUM(D54:D57)/AVERAGE(AF54:AF57)</f>
        <v>6.8153189336700171E-2</v>
      </c>
      <c r="BI14" s="26">
        <f>(SUM(H54:H57)+SUM(J54:J57))/AVERAGE(AF54:AF57)</f>
        <v>4.0043240740136148E-3</v>
      </c>
      <c r="BJ14" s="28">
        <f t="shared" si="2"/>
        <v>-4.0731467553322326E-2</v>
      </c>
      <c r="BK14" s="15">
        <f t="shared" si="3"/>
        <v>7.2157513410713789E-2</v>
      </c>
    </row>
    <row r="15" spans="1:63" s="31" customFormat="1">
      <c r="A15" s="31">
        <v>2015</v>
      </c>
      <c r="B15" s="31">
        <v>2</v>
      </c>
      <c r="C15" s="32"/>
      <c r="D15" s="44">
        <v>109339014.25973876</v>
      </c>
      <c r="E15" s="32"/>
      <c r="F15" s="44">
        <v>19873660.112222001</v>
      </c>
      <c r="G15" s="33">
        <v>0</v>
      </c>
      <c r="H15" s="33">
        <v>0</v>
      </c>
      <c r="I15" s="33">
        <v>0</v>
      </c>
      <c r="J15" s="32">
        <v>0</v>
      </c>
      <c r="K15" s="32"/>
      <c r="L15" s="44">
        <v>2236649.19177722</v>
      </c>
      <c r="M15" s="33"/>
      <c r="N15" s="44">
        <v>815524.15203280002</v>
      </c>
      <c r="O15" s="32"/>
      <c r="P15" s="44">
        <v>16092756.554674037</v>
      </c>
      <c r="Q15" s="33"/>
      <c r="R15" s="44">
        <v>21768919.327668261</v>
      </c>
      <c r="S15" s="33"/>
      <c r="T15" s="44">
        <v>83235349.798584893</v>
      </c>
      <c r="U15" s="32"/>
      <c r="V15" s="44">
        <v>117941.839121197</v>
      </c>
      <c r="W15" s="33"/>
      <c r="X15" s="44">
        <v>296235.89629669354</v>
      </c>
      <c r="Y15" s="32"/>
      <c r="Z15" s="32">
        <f t="shared" si="10"/>
        <v>-1038972.2892425656</v>
      </c>
      <c r="AA15" s="32"/>
      <c r="AB15" s="32">
        <f t="shared" si="11"/>
        <v>-42196421.015827909</v>
      </c>
      <c r="AC15" s="12"/>
      <c r="AD15" s="32">
        <v>5951478855.3666</v>
      </c>
      <c r="AE15" s="32">
        <v>106.73436665</v>
      </c>
      <c r="AF15" s="32">
        <f t="shared" si="12"/>
        <v>5575972427.7771788</v>
      </c>
      <c r="AG15" s="32"/>
      <c r="AH15" s="32"/>
      <c r="AI15" s="34">
        <f t="shared" si="13"/>
        <v>-7.5675447757996197E-3</v>
      </c>
      <c r="AJ15" s="35">
        <f t="shared" si="5"/>
        <v>2026</v>
      </c>
      <c r="AK15" s="36">
        <f>SUM(AB58:AB61)/AVERAGE(AF58:AF61)</f>
        <v>-3.4493323327815538E-2</v>
      </c>
      <c r="AL15" s="32">
        <v>21643708.631455299</v>
      </c>
      <c r="AM15" s="36">
        <f>AL15/AVERAGE(AF58:AF61)</f>
        <v>2.9606978381999339E-3</v>
      </c>
      <c r="AN15" s="36">
        <f>(AF61-AF57)/AF57</f>
        <v>2.475318003862469E-2</v>
      </c>
      <c r="AO15" s="36"/>
      <c r="AP15" s="32">
        <f t="shared" si="6"/>
        <v>745048884.54234505</v>
      </c>
      <c r="AQ15" s="32">
        <f t="shared" si="9"/>
        <v>512903973.33670515</v>
      </c>
      <c r="AR15" s="37">
        <f>AP15/AF61</f>
        <v>0.10103933176461724</v>
      </c>
      <c r="AS15" s="37">
        <f>AQ15/AF61</f>
        <v>6.9557146920890864E-2</v>
      </c>
      <c r="AV15" s="31">
        <v>11039157</v>
      </c>
      <c r="AX15" s="31">
        <f t="shared" ref="AX15:AX46" si="14">(AV15-AV14)/AV14</f>
        <v>3.1685827226093388E-3</v>
      </c>
      <c r="AY15" s="46">
        <v>6691.6267211455997</v>
      </c>
      <c r="AZ15" s="34">
        <f t="shared" ref="AZ15:AZ46" si="15">(AY15-AY14)/AY14</f>
        <v>5.06712080323138E-2</v>
      </c>
      <c r="BD15" s="34">
        <f t="shared" si="7"/>
        <v>1.3822787597134706E-2</v>
      </c>
      <c r="BE15" s="31">
        <f t="shared" si="8"/>
        <v>2026</v>
      </c>
      <c r="BF15" s="34">
        <f>SUM(T58:T61)/AVERAGE(AF58:AF61)</f>
        <v>4.2398583119463602E-2</v>
      </c>
      <c r="BG15" s="34">
        <f>SUM(P58:P61)/AVERAGE(AF58:AF61)</f>
        <v>1.0292451839165422E-2</v>
      </c>
      <c r="BH15" s="34">
        <f>SUM(D58:D61)/AVERAGE(AF58:AF61)</f>
        <v>6.6599454608113715E-2</v>
      </c>
      <c r="BI15" s="34">
        <f>(SUM(H58:H61)+SUM(J58:J61))/AVERAGE(AF58:AF61)</f>
        <v>4.9431743280278564E-3</v>
      </c>
      <c r="BJ15" s="36">
        <f t="shared" si="2"/>
        <v>-3.9436497655843394E-2</v>
      </c>
      <c r="BK15" s="15">
        <f t="shared" si="3"/>
        <v>7.1542628936141578E-2</v>
      </c>
    </row>
    <row r="16" spans="1:63" s="31" customFormat="1">
      <c r="A16" s="31">
        <v>2015</v>
      </c>
      <c r="B16" s="31">
        <v>3</v>
      </c>
      <c r="C16" s="32"/>
      <c r="D16" s="44">
        <v>106210928.69184949</v>
      </c>
      <c r="E16" s="32"/>
      <c r="F16" s="44">
        <v>19305093.532405399</v>
      </c>
      <c r="G16" s="33">
        <v>0</v>
      </c>
      <c r="H16" s="33">
        <v>0</v>
      </c>
      <c r="I16" s="33">
        <v>0</v>
      </c>
      <c r="J16" s="32">
        <v>0</v>
      </c>
      <c r="K16" s="32"/>
      <c r="L16" s="44">
        <v>2734803.8185367598</v>
      </c>
      <c r="M16" s="33"/>
      <c r="N16" s="44">
        <v>793894.77474950254</v>
      </c>
      <c r="O16" s="32"/>
      <c r="P16" s="44">
        <v>18558684.828942068</v>
      </c>
      <c r="Q16" s="33"/>
      <c r="R16" s="44">
        <v>20018134.006362755</v>
      </c>
      <c r="S16" s="33"/>
      <c r="T16" s="44">
        <v>76541070.379033163</v>
      </c>
      <c r="U16" s="32"/>
      <c r="V16" s="44">
        <v>123359.29092606</v>
      </c>
      <c r="W16" s="33"/>
      <c r="X16" s="44">
        <v>309842.97333581443</v>
      </c>
      <c r="Y16" s="32"/>
      <c r="Z16" s="32">
        <f t="shared" si="10"/>
        <v>-2692298.8284028452</v>
      </c>
      <c r="AA16" s="32"/>
      <c r="AB16" s="32">
        <f t="shared" si="11"/>
        <v>-48228543.14175839</v>
      </c>
      <c r="AC16" s="12"/>
      <c r="AD16" s="32">
        <v>6221730755.7715998</v>
      </c>
      <c r="AE16" s="32">
        <v>110.48458934999999</v>
      </c>
      <c r="AF16" s="32">
        <f t="shared" si="12"/>
        <v>5631310929.7641611</v>
      </c>
      <c r="AG16" s="32"/>
      <c r="AH16" s="32"/>
      <c r="AI16" s="34">
        <f t="shared" si="13"/>
        <v>-8.5643545070203039E-3</v>
      </c>
      <c r="AJ16" s="35">
        <f t="shared" si="5"/>
        <v>2027</v>
      </c>
      <c r="AK16" s="36">
        <f>SUM(AB62:AB65)/AVERAGE(AF62:AF65)</f>
        <v>-3.2262001391617563E-2</v>
      </c>
      <c r="AL16" s="32">
        <v>20162016.973115001</v>
      </c>
      <c r="AM16" s="36">
        <f>AL16/AVERAGE(AF62:AF65)</f>
        <v>2.6846999855825583E-3</v>
      </c>
      <c r="AN16" s="36">
        <f>(AF65-AF61)/AF61</f>
        <v>2.9597482845452838E-2</v>
      </c>
      <c r="AO16" s="36"/>
      <c r="AP16" s="32">
        <f t="shared" si="6"/>
        <v>767100456.12161088</v>
      </c>
      <c r="AQ16" s="32">
        <f t="shared" si="9"/>
        <v>507650555.20435148</v>
      </c>
      <c r="AR16" s="37">
        <f>AP16/AF65</f>
        <v>0.10103933176461724</v>
      </c>
      <c r="AS16" s="37">
        <f>AQ16/AF65</f>
        <v>6.6865652938228756E-2</v>
      </c>
      <c r="AV16" s="31">
        <v>11069835</v>
      </c>
      <c r="AX16" s="31">
        <f t="shared" si="14"/>
        <v>2.7790165499050334E-3</v>
      </c>
      <c r="AY16" s="46">
        <v>6984.1911310187998</v>
      </c>
      <c r="AZ16" s="34">
        <f t="shared" si="15"/>
        <v>4.372096981272041E-2</v>
      </c>
      <c r="BD16" s="34">
        <f t="shared" si="7"/>
        <v>1.4452308760858797E-2</v>
      </c>
      <c r="BE16" s="31">
        <f t="shared" si="8"/>
        <v>2027</v>
      </c>
      <c r="BF16" s="34">
        <f>SUM(T62:T65)/AVERAGE(AF62:AF65)</f>
        <v>4.2514131982887671E-2</v>
      </c>
      <c r="BG16" s="34">
        <f>SUM(P62:P65)/AVERAGE(AF62:AF65)</f>
        <v>9.7590150701294884E-3</v>
      </c>
      <c r="BH16" s="34">
        <f>SUM(D62:D65)/AVERAGE(AF62:AF65)</f>
        <v>6.5017118304375746E-2</v>
      </c>
      <c r="BI16" s="34">
        <f>(SUM(H62:H65)+SUM(J62:J65))/AVERAGE(AF62:AF65)</f>
        <v>5.8868738787126547E-3</v>
      </c>
      <c r="BJ16" s="36">
        <f t="shared" si="2"/>
        <v>-3.8148875270330215E-2</v>
      </c>
      <c r="BK16" s="15">
        <f t="shared" si="3"/>
        <v>7.0903992183088405E-2</v>
      </c>
    </row>
    <row r="17" spans="1:63" s="31" customFormat="1">
      <c r="A17" s="31">
        <v>2015</v>
      </c>
      <c r="B17" s="31">
        <v>4</v>
      </c>
      <c r="C17" s="32"/>
      <c r="D17" s="44">
        <v>114771012.9094142</v>
      </c>
      <c r="E17" s="32"/>
      <c r="F17" s="44">
        <v>20860990.166590799</v>
      </c>
      <c r="G17" s="33">
        <v>0</v>
      </c>
      <c r="H17" s="33">
        <v>0</v>
      </c>
      <c r="I17" s="33">
        <v>0</v>
      </c>
      <c r="J17" s="32">
        <v>0</v>
      </c>
      <c r="K17" s="32"/>
      <c r="L17" s="44">
        <v>2602828.7029223</v>
      </c>
      <c r="M17" s="33"/>
      <c r="N17" s="44">
        <v>858883.92638400197</v>
      </c>
      <c r="O17" s="32"/>
      <c r="P17" s="44">
        <v>18231416.464028634</v>
      </c>
      <c r="Q17" s="33"/>
      <c r="R17" s="44">
        <v>23064733.345551129</v>
      </c>
      <c r="S17" s="33"/>
      <c r="T17" s="44">
        <v>88190007.006363854</v>
      </c>
      <c r="U17" s="32"/>
      <c r="V17" s="44">
        <v>115904.1045511</v>
      </c>
      <c r="W17" s="33"/>
      <c r="X17" s="44">
        <v>291117.69455178827</v>
      </c>
      <c r="Y17" s="32"/>
      <c r="Z17" s="32">
        <f t="shared" si="10"/>
        <v>-1142065.3457948714</v>
      </c>
      <c r="AA17" s="32"/>
      <c r="AB17" s="32">
        <f t="shared" si="11"/>
        <v>-44812422.36707899</v>
      </c>
      <c r="AC17" s="12"/>
      <c r="AD17" s="32">
        <v>6552140231.3025303</v>
      </c>
      <c r="AE17" s="32">
        <v>115.79241048</v>
      </c>
      <c r="AF17" s="32">
        <f t="shared" si="12"/>
        <v>5658523044.9401817</v>
      </c>
      <c r="AG17" s="32"/>
      <c r="AH17" s="32"/>
      <c r="AI17" s="34">
        <f t="shared" si="13"/>
        <v>-7.9194556620477141E-3</v>
      </c>
      <c r="AJ17" s="35">
        <f t="shared" si="5"/>
        <v>2028</v>
      </c>
      <c r="AK17" s="36">
        <f>SUM(AB66:AB69)/AVERAGE(AF66:AF69)</f>
        <v>-3.0403169177268742E-2</v>
      </c>
      <c r="AL17" s="32">
        <v>18722311.653550498</v>
      </c>
      <c r="AM17" s="36">
        <f>AL17/AVERAGE(AF66:AF69)</f>
        <v>2.4223000508289865E-3</v>
      </c>
      <c r="AN17" s="36">
        <f>(AF69-AF65)/AF65</f>
        <v>2.8204457287153852E-2</v>
      </c>
      <c r="AO17" s="36"/>
      <c r="AP17" s="32">
        <f t="shared" si="6"/>
        <v>788736108.17124903</v>
      </c>
      <c r="AQ17" s="32">
        <f t="shared" si="9"/>
        <v>503005443.24971217</v>
      </c>
      <c r="AR17" s="37">
        <f>AP17/AF69</f>
        <v>0.10103933176461724</v>
      </c>
      <c r="AS17" s="37">
        <f>AQ17/AF69</f>
        <v>6.4436423454422784E-2</v>
      </c>
      <c r="AV17" s="31">
        <v>11079853</v>
      </c>
      <c r="AX17" s="31">
        <f t="shared" si="14"/>
        <v>9.0498187190685316E-4</v>
      </c>
      <c r="AY17" s="46">
        <v>6967.8308273950997</v>
      </c>
      <c r="AZ17" s="34">
        <f t="shared" si="15"/>
        <v>-2.3424765039775628E-3</v>
      </c>
      <c r="BD17" s="34">
        <f t="shared" si="7"/>
        <v>1.3109265162362008E-2</v>
      </c>
      <c r="BE17" s="31">
        <f t="shared" si="8"/>
        <v>2028</v>
      </c>
      <c r="BF17" s="34">
        <f>SUM(T66:T69)/AVERAGE(AF66:AF69)</f>
        <v>4.2649457239892073E-2</v>
      </c>
      <c r="BG17" s="34">
        <f>SUM(P66:P69)/AVERAGE(AF66:AF69)</f>
        <v>9.4644493459179052E-3</v>
      </c>
      <c r="BH17" s="34">
        <f>SUM(D66:D69)/AVERAGE(AF66:AF69)</f>
        <v>6.358817707124291E-2</v>
      </c>
      <c r="BI17" s="34">
        <f>(SUM(H66:H69)+SUM(J66:J69))/AVERAGE(AF66:AF69)</f>
        <v>6.8345402436729092E-3</v>
      </c>
      <c r="BJ17" s="36">
        <f t="shared" si="2"/>
        <v>-3.723770942094165E-2</v>
      </c>
      <c r="BK17" s="15">
        <f t="shared" si="3"/>
        <v>7.0422717314915825E-2</v>
      </c>
    </row>
    <row r="18" spans="1:63" s="23" customFormat="1">
      <c r="A18" s="23">
        <f t="shared" ref="A18:A49" si="16">A14+1</f>
        <v>2016</v>
      </c>
      <c r="B18" s="23">
        <f t="shared" ref="B18:B49" si="17">B14</f>
        <v>1</v>
      </c>
      <c r="C18" s="24"/>
      <c r="D18" s="41">
        <v>100240264.60724892</v>
      </c>
      <c r="E18" s="24"/>
      <c r="F18" s="41">
        <v>18219854.658934999</v>
      </c>
      <c r="G18" s="25">
        <v>0</v>
      </c>
      <c r="H18" s="25">
        <v>0</v>
      </c>
      <c r="I18" s="25">
        <v>0</v>
      </c>
      <c r="J18" s="24">
        <v>0</v>
      </c>
      <c r="K18" s="24"/>
      <c r="L18" s="41">
        <v>2640788.5999428201</v>
      </c>
      <c r="M18" s="25"/>
      <c r="N18" s="41">
        <v>746581.10840870067</v>
      </c>
      <c r="O18" s="24"/>
      <c r="P18" s="41">
        <v>17810533.580309913</v>
      </c>
      <c r="Q18" s="25"/>
      <c r="R18" s="41">
        <v>18956103.483738676</v>
      </c>
      <c r="S18" s="25"/>
      <c r="T18" s="41">
        <v>72480304.62778914</v>
      </c>
      <c r="U18" s="24"/>
      <c r="V18" s="41">
        <v>109424.910354893</v>
      </c>
      <c r="W18" s="25"/>
      <c r="X18" s="41">
        <v>274843.82673443662</v>
      </c>
      <c r="Y18" s="24"/>
      <c r="Z18" s="24">
        <f t="shared" si="10"/>
        <v>-2541695.9731929507</v>
      </c>
      <c r="AA18" s="24"/>
      <c r="AB18" s="24">
        <f t="shared" si="11"/>
        <v>-45570493.55976969</v>
      </c>
      <c r="AC18" s="12"/>
      <c r="AD18" s="24">
        <v>6962845278.2518702</v>
      </c>
      <c r="AE18" s="24">
        <v>131.11898839</v>
      </c>
      <c r="AF18" s="24">
        <f t="shared" si="12"/>
        <v>5310325654.3908043</v>
      </c>
      <c r="AG18" s="24"/>
      <c r="AH18" s="24"/>
      <c r="AI18" s="26">
        <f t="shared" si="13"/>
        <v>-8.581487563213766E-3</v>
      </c>
      <c r="AJ18" s="27">
        <f t="shared" si="5"/>
        <v>2029</v>
      </c>
      <c r="AK18" s="28">
        <f>SUM(AB70:AB73)/AVERAGE(AF70:AF73)</f>
        <v>-2.8188580323097876E-2</v>
      </c>
      <c r="AL18" s="24">
        <v>17359549.598177399</v>
      </c>
      <c r="AM18" s="28">
        <f>AL18/AVERAGE(AF70:AF73)</f>
        <v>2.1794079007283699E-3</v>
      </c>
      <c r="AN18" s="28">
        <f>(AF73-AF69)/AF69</f>
        <v>3.0981402400908322E-2</v>
      </c>
      <c r="AO18" s="28"/>
      <c r="AP18" s="24">
        <f t="shared" si="6"/>
        <v>813172258.92662883</v>
      </c>
      <c r="AQ18" s="24">
        <f t="shared" si="9"/>
        <v>500984563.35277671</v>
      </c>
      <c r="AR18" s="29">
        <f>AP18/AF73</f>
        <v>0.10103933176461724</v>
      </c>
      <c r="AS18" s="29">
        <f>AQ18/AF73</f>
        <v>6.2248982241929124E-2</v>
      </c>
      <c r="AV18" s="23">
        <v>11091626</v>
      </c>
      <c r="AX18" s="23">
        <f t="shared" si="14"/>
        <v>1.0625592234842828E-3</v>
      </c>
      <c r="AY18" s="43">
        <v>6546.8359095505002</v>
      </c>
      <c r="AZ18" s="26">
        <f t="shared" si="15"/>
        <v>-6.0419796099152288E-2</v>
      </c>
      <c r="BD18" s="26">
        <f t="shared" si="7"/>
        <v>1.4943352905037363E-2</v>
      </c>
      <c r="BE18" s="23">
        <f t="shared" si="8"/>
        <v>2029</v>
      </c>
      <c r="BF18" s="26">
        <f>SUM(T70:T73)/AVERAGE(AF70:AF73)</f>
        <v>4.3031615608543031E-2</v>
      </c>
      <c r="BG18" s="26">
        <f>SUM(P70:P73)/AVERAGE(AF70:AF73)</f>
        <v>9.0956237768443915E-3</v>
      </c>
      <c r="BH18" s="26">
        <f>SUM(D70:D73)/AVERAGE(AF70:AF73)</f>
        <v>6.2124572154796505E-2</v>
      </c>
      <c r="BI18" s="26">
        <f>(SUM(H70:H73)+SUM(J70:J73))/AVERAGE(AF70:AF73)</f>
        <v>7.7423030047474263E-3</v>
      </c>
      <c r="BJ18" s="28">
        <f t="shared" si="2"/>
        <v>-3.5930883327845303E-2</v>
      </c>
      <c r="BK18" s="15">
        <f t="shared" si="3"/>
        <v>6.9866875159543929E-2</v>
      </c>
    </row>
    <row r="19" spans="1:63" s="31" customFormat="1">
      <c r="A19" s="31">
        <f t="shared" si="16"/>
        <v>2016</v>
      </c>
      <c r="B19" s="31">
        <f t="shared" si="17"/>
        <v>2</v>
      </c>
      <c r="C19" s="32"/>
      <c r="D19" s="44">
        <v>103301064.50831549</v>
      </c>
      <c r="E19" s="32"/>
      <c r="F19" s="44">
        <v>18776191.272330999</v>
      </c>
      <c r="G19" s="33">
        <v>0</v>
      </c>
      <c r="H19" s="33">
        <v>0</v>
      </c>
      <c r="I19" s="33">
        <v>0</v>
      </c>
      <c r="J19" s="32">
        <v>0</v>
      </c>
      <c r="K19" s="32"/>
      <c r="L19" s="44">
        <v>2605355.52042699</v>
      </c>
      <c r="M19" s="33"/>
      <c r="N19" s="44">
        <v>770770.9933442995</v>
      </c>
      <c r="O19" s="32"/>
      <c r="P19" s="44">
        <v>17759756.772006247</v>
      </c>
      <c r="Q19" s="33"/>
      <c r="R19" s="44">
        <v>21350096.797455873</v>
      </c>
      <c r="S19" s="33"/>
      <c r="T19" s="44">
        <v>81633945.55425714</v>
      </c>
      <c r="U19" s="32"/>
      <c r="V19" s="44">
        <v>106122.576781039</v>
      </c>
      <c r="W19" s="33"/>
      <c r="X19" s="44">
        <v>266549.31688610336</v>
      </c>
      <c r="Y19" s="32"/>
      <c r="Z19" s="32">
        <f t="shared" si="10"/>
        <v>-696098.41186537594</v>
      </c>
      <c r="AA19" s="32"/>
      <c r="AB19" s="32">
        <f t="shared" si="11"/>
        <v>-39426875.726064593</v>
      </c>
      <c r="AC19" s="12"/>
      <c r="AD19" s="32">
        <v>8401125356.75455</v>
      </c>
      <c r="AE19" s="32">
        <v>147.89635652000001</v>
      </c>
      <c r="AF19" s="32">
        <f t="shared" si="12"/>
        <v>5680414010.4820404</v>
      </c>
      <c r="AG19" s="32"/>
      <c r="AH19" s="32"/>
      <c r="AI19" s="34">
        <f t="shared" si="13"/>
        <v>-6.9408454477632034E-3</v>
      </c>
      <c r="AJ19" s="35">
        <f t="shared" si="5"/>
        <v>2030</v>
      </c>
      <c r="AK19" s="36">
        <f>SUM(AB74:AB77)/AVERAGE(AF74:AF77)</f>
        <v>-2.6502707235117235E-2</v>
      </c>
      <c r="AL19" s="32">
        <v>16025265.547480499</v>
      </c>
      <c r="AM19" s="36">
        <f>AL19/AVERAGE(AF74:AF77)</f>
        <v>1.9548512882569219E-3</v>
      </c>
      <c r="AN19" s="36">
        <f>(AF77-AF73)/AF73</f>
        <v>2.5131247157169606E-2</v>
      </c>
      <c r="AO19" s="36"/>
      <c r="AP19" s="32">
        <f t="shared" si="6"/>
        <v>833608291.94706786</v>
      </c>
      <c r="AQ19" s="32">
        <f t="shared" si="9"/>
        <v>497365905.07395154</v>
      </c>
      <c r="AR19" s="37">
        <f>AP19/AF77</f>
        <v>0.10103933176461724</v>
      </c>
      <c r="AS19" s="37">
        <f>AQ19/AF77</f>
        <v>6.0284331593917363E-2</v>
      </c>
      <c r="AV19" s="31">
        <v>11171229</v>
      </c>
      <c r="AX19" s="31">
        <f t="shared" si="14"/>
        <v>7.1768557648806408E-3</v>
      </c>
      <c r="AY19" s="46">
        <v>6356.2046503346</v>
      </c>
      <c r="AZ19" s="34">
        <f t="shared" si="15"/>
        <v>-2.9118075028855998E-2</v>
      </c>
      <c r="BD19" s="34">
        <f t="shared" si="7"/>
        <v>1.2255051179107742E-2</v>
      </c>
      <c r="BE19" s="31">
        <f t="shared" si="8"/>
        <v>2030</v>
      </c>
      <c r="BF19" s="34">
        <f>SUM(T74:T77)/AVERAGE(AF74:AF77)</f>
        <v>4.3355935238798507E-2</v>
      </c>
      <c r="BG19" s="34">
        <f>SUM(P74:P77)/AVERAGE(AF74:AF77)</f>
        <v>8.7100783644412198E-3</v>
      </c>
      <c r="BH19" s="34">
        <f>SUM(D74:D77)/AVERAGE(AF74:AF77)</f>
        <v>6.1148564109474515E-2</v>
      </c>
      <c r="BI19" s="34">
        <f>(SUM(H74:H77)+SUM(J74:J77))/AVERAGE(AF74:AF77)</f>
        <v>8.4091392258393918E-3</v>
      </c>
      <c r="BJ19" s="36">
        <f t="shared" si="2"/>
        <v>-3.491184646095663E-2</v>
      </c>
      <c r="BK19" s="15">
        <f t="shared" si="3"/>
        <v>6.9557703335313914E-2</v>
      </c>
    </row>
    <row r="20" spans="1:63" s="31" customFormat="1">
      <c r="A20" s="31">
        <f t="shared" si="16"/>
        <v>2016</v>
      </c>
      <c r="B20" s="31">
        <f t="shared" si="17"/>
        <v>3</v>
      </c>
      <c r="C20" s="32"/>
      <c r="D20" s="44">
        <v>98292405.29868786</v>
      </c>
      <c r="E20" s="32"/>
      <c r="F20" s="44">
        <v>17865808.172355101</v>
      </c>
      <c r="G20" s="33">
        <v>0</v>
      </c>
      <c r="H20" s="33">
        <v>0</v>
      </c>
      <c r="I20" s="33">
        <v>0</v>
      </c>
      <c r="J20" s="32">
        <v>0</v>
      </c>
      <c r="K20" s="32"/>
      <c r="L20" s="44">
        <v>2268350.2564357999</v>
      </c>
      <c r="M20" s="33"/>
      <c r="N20" s="44">
        <v>735585.02939260006</v>
      </c>
      <c r="O20" s="32"/>
      <c r="P20" s="44">
        <v>15817452.062975822</v>
      </c>
      <c r="Q20" s="33"/>
      <c r="R20" s="44">
        <v>18954291.24004633</v>
      </c>
      <c r="S20" s="33"/>
      <c r="T20" s="44">
        <v>72473375.356961221</v>
      </c>
      <c r="U20" s="32"/>
      <c r="V20" s="44">
        <v>115976.965700388</v>
      </c>
      <c r="W20" s="33"/>
      <c r="X20" s="44">
        <v>291300.70075234747</v>
      </c>
      <c r="Y20" s="32"/>
      <c r="Z20" s="32">
        <f t="shared" si="10"/>
        <v>-1799475.2524367832</v>
      </c>
      <c r="AA20" s="32"/>
      <c r="AB20" s="32">
        <f t="shared" si="11"/>
        <v>-41636482.004702464</v>
      </c>
      <c r="AC20" s="12"/>
      <c r="AD20" s="32">
        <v>8448889759.2748203</v>
      </c>
      <c r="AE20" s="32">
        <v>155.88165151000001</v>
      </c>
      <c r="AF20" s="32">
        <f t="shared" si="12"/>
        <v>5420066876.0125456</v>
      </c>
      <c r="AG20" s="32"/>
      <c r="AH20" s="32"/>
      <c r="AI20" s="34">
        <f t="shared" si="13"/>
        <v>-7.6819129647591623E-3</v>
      </c>
      <c r="AJ20" s="35">
        <f t="shared" si="5"/>
        <v>2031</v>
      </c>
      <c r="AK20" s="36">
        <f>SUM(AB78:AB81)/AVERAGE(AF78:AF81)</f>
        <v>-2.541675645940631E-2</v>
      </c>
      <c r="AL20" s="32">
        <v>14737318.791476101</v>
      </c>
      <c r="AM20" s="36">
        <f>AL20/AVERAGE(AF78:AF81)</f>
        <v>1.767168924541534E-3</v>
      </c>
      <c r="AN20" s="36">
        <f>(AF81-AF77)/AF77</f>
        <v>2.1760368602143761E-2</v>
      </c>
      <c r="AO20" s="36"/>
      <c r="AP20" s="32">
        <f t="shared" si="6"/>
        <v>851747915.64963949</v>
      </c>
      <c r="AQ20" s="32">
        <f t="shared" si="9"/>
        <v>493305040.31498909</v>
      </c>
      <c r="AR20" s="37">
        <f>AP20/AF81</f>
        <v>0.10103933176461723</v>
      </c>
      <c r="AS20" s="37">
        <f>AQ20/AF81</f>
        <v>5.8518736252530748E-2</v>
      </c>
      <c r="AV20" s="31">
        <v>11262070</v>
      </c>
      <c r="AX20" s="31">
        <f t="shared" si="14"/>
        <v>8.1316925827946054E-3</v>
      </c>
      <c r="AY20" s="46">
        <v>6421.7509021330998</v>
      </c>
      <c r="AZ20" s="34">
        <f t="shared" si="15"/>
        <v>1.0312168252016441E-2</v>
      </c>
      <c r="BD20" s="34">
        <f t="shared" si="7"/>
        <v>1.4144878468138852E-2</v>
      </c>
      <c r="BE20" s="31">
        <f t="shared" si="8"/>
        <v>2031</v>
      </c>
      <c r="BF20" s="34">
        <f>SUM(T78:T81)/AVERAGE(AF78:AF81)</f>
        <v>4.359014778061205E-2</v>
      </c>
      <c r="BG20" s="34">
        <f>SUM(P78:P81)/AVERAGE(AF78:AF81)</f>
        <v>8.4523579697508445E-3</v>
      </c>
      <c r="BH20" s="34">
        <f>SUM(D78:D81)/AVERAGE(AF78:AF81)</f>
        <v>6.0554546270267517E-2</v>
      </c>
      <c r="BI20" s="34">
        <f>(SUM(H78:H81)+SUM(J78:J81))/AVERAGE(AF78:AF81)</f>
        <v>9.1442574378072811E-3</v>
      </c>
      <c r="BJ20" s="36">
        <f t="shared" si="2"/>
        <v>-3.456101389721359E-2</v>
      </c>
      <c r="BK20" s="15">
        <f t="shared" si="3"/>
        <v>6.9698803708074797E-2</v>
      </c>
    </row>
    <row r="21" spans="1:63">
      <c r="A21" s="31">
        <f t="shared" si="16"/>
        <v>2016</v>
      </c>
      <c r="B21" s="31">
        <f t="shared" si="17"/>
        <v>4</v>
      </c>
      <c r="C21" s="32"/>
      <c r="D21" s="44">
        <v>107380385.59189004</v>
      </c>
      <c r="E21" s="32"/>
      <c r="F21" s="44">
        <v>19517656.167112239</v>
      </c>
      <c r="G21" s="44">
        <v>22713.949177262301</v>
      </c>
      <c r="H21" s="44">
        <v>124965.4466748345</v>
      </c>
      <c r="I21" s="47">
        <v>702.49327352359978</v>
      </c>
      <c r="J21" s="44">
        <v>3864.9107219022271</v>
      </c>
      <c r="K21" s="32"/>
      <c r="L21" s="44">
        <v>3682918.2738983599</v>
      </c>
      <c r="M21" s="33"/>
      <c r="N21" s="44">
        <v>805276.03250077739</v>
      </c>
      <c r="O21" s="32"/>
      <c r="P21" s="44">
        <v>23541071.567093499</v>
      </c>
      <c r="Q21" s="33"/>
      <c r="R21" s="44">
        <v>22010676.469193127</v>
      </c>
      <c r="S21" s="33"/>
      <c r="T21" s="44">
        <v>84159729.182707667</v>
      </c>
      <c r="U21" s="32"/>
      <c r="V21" s="44">
        <v>116561.02930682201</v>
      </c>
      <c r="W21" s="33"/>
      <c r="X21" s="44">
        <v>292767.70014149946</v>
      </c>
      <c r="Y21" s="32"/>
      <c r="Z21" s="32">
        <f t="shared" si="10"/>
        <v>-1878612.975011427</v>
      </c>
      <c r="AA21" s="32"/>
      <c r="AB21" s="32">
        <f t="shared" si="11"/>
        <v>-46761727.976275869</v>
      </c>
      <c r="AC21" s="12"/>
      <c r="AD21" s="32">
        <v>8942134800.3519897</v>
      </c>
      <c r="AE21" s="32">
        <v>164.01000929</v>
      </c>
      <c r="AF21" s="32">
        <f t="shared" si="12"/>
        <v>5452188460.364418</v>
      </c>
      <c r="AG21" s="32"/>
      <c r="AH21" s="32"/>
      <c r="AI21" s="34">
        <f t="shared" si="13"/>
        <v>-8.5766895836814801E-3</v>
      </c>
      <c r="AJ21" s="35">
        <f t="shared" si="5"/>
        <v>2032</v>
      </c>
      <c r="AK21" s="36">
        <f>SUM(AB82:AB85)/AVERAGE(AF82:AF85)</f>
        <v>-2.4548196652480151E-2</v>
      </c>
      <c r="AL21" s="32">
        <v>13495739.4438584</v>
      </c>
      <c r="AM21" s="36">
        <f>AL21/AVERAGE(AF82:AF85)</f>
        <v>1.5801360571206066E-3</v>
      </c>
      <c r="AN21" s="36">
        <f>(AF85-AF81)/AF81</f>
        <v>2.5600892739613208E-2</v>
      </c>
      <c r="AO21" s="36"/>
      <c r="AP21" s="32">
        <f t="shared" si="6"/>
        <v>873553422.67937505</v>
      </c>
      <c r="AQ21" s="32">
        <f t="shared" si="9"/>
        <v>492280717.52405435</v>
      </c>
      <c r="AR21" s="37">
        <f>AP21/AF85</f>
        <v>0.10103933176461724</v>
      </c>
      <c r="AS21" s="37">
        <f>AQ21/AF85</f>
        <v>5.6939522469815769E-2</v>
      </c>
      <c r="AV21" s="31">
        <v>11267048</v>
      </c>
      <c r="AX21" s="31">
        <f t="shared" si="14"/>
        <v>4.4201465627544492E-4</v>
      </c>
      <c r="AY21" s="46">
        <v>6485.7556979743003</v>
      </c>
      <c r="AZ21" s="34">
        <f t="shared" si="15"/>
        <v>9.966876139642887E-3</v>
      </c>
      <c r="BD21" s="34">
        <f t="shared" si="7"/>
        <v>1.238315025379967E-2</v>
      </c>
      <c r="BE21" s="31">
        <f t="shared" si="8"/>
        <v>2032</v>
      </c>
      <c r="BF21" s="34">
        <f>SUM(T82:T85)/AVERAGE(AF82:AF85)</f>
        <v>4.3707292801564324E-2</v>
      </c>
      <c r="BG21" s="34">
        <f>SUM(P82:P85)/AVERAGE(AF82:AF85)</f>
        <v>8.2421375411514102E-3</v>
      </c>
      <c r="BH21" s="34">
        <f>SUM(D82:D85)/AVERAGE(AF82:AF85)</f>
        <v>6.0013351912893059E-2</v>
      </c>
      <c r="BI21" s="34">
        <f>(SUM(H82:H85)+SUM(J82:J85))/AVERAGE(AF82:AF85)</f>
        <v>9.8790772407985634E-3</v>
      </c>
      <c r="BJ21" s="36">
        <f t="shared" si="2"/>
        <v>-3.4427273893278716E-2</v>
      </c>
      <c r="BK21" s="15">
        <f t="shared" si="3"/>
        <v>6.9892429153691621E-2</v>
      </c>
    </row>
    <row r="22" spans="1:63" s="23" customFormat="1">
      <c r="A22" s="23">
        <f t="shared" si="16"/>
        <v>2017</v>
      </c>
      <c r="B22" s="23">
        <f t="shared" si="17"/>
        <v>1</v>
      </c>
      <c r="C22" s="24"/>
      <c r="D22" s="41">
        <v>102535854.50495079</v>
      </c>
      <c r="E22" s="24"/>
      <c r="F22" s="41">
        <v>18637105.296256471</v>
      </c>
      <c r="G22" s="41">
        <v>68797.311548627898</v>
      </c>
      <c r="H22" s="41">
        <v>378502.50965201209</v>
      </c>
      <c r="I22" s="41">
        <v>2127.7519035658042</v>
      </c>
      <c r="J22" s="41">
        <v>11706.263185113738</v>
      </c>
      <c r="K22" s="24"/>
      <c r="L22" s="41">
        <v>4044937.0903777201</v>
      </c>
      <c r="M22" s="25"/>
      <c r="N22" s="41">
        <v>770217.78778343275</v>
      </c>
      <c r="O22" s="24"/>
      <c r="P22" s="41">
        <v>25226708.808189593</v>
      </c>
      <c r="Q22" s="25"/>
      <c r="R22" s="41">
        <v>19236463.486876279</v>
      </c>
      <c r="S22" s="25"/>
      <c r="T22" s="41">
        <v>73552285.399063855</v>
      </c>
      <c r="U22" s="24"/>
      <c r="V22" s="41">
        <v>87135.567113885394</v>
      </c>
      <c r="W22" s="25"/>
      <c r="X22" s="41">
        <v>218859.42270899663</v>
      </c>
      <c r="Y22" s="24"/>
      <c r="Z22" s="24">
        <f t="shared" si="10"/>
        <v>-4128661.1204274613</v>
      </c>
      <c r="AA22" s="24"/>
      <c r="AB22" s="24">
        <f t="shared" si="11"/>
        <v>-54210277.914076529</v>
      </c>
      <c r="AC22" s="12"/>
      <c r="AD22" s="24">
        <v>9157377218.4824009</v>
      </c>
      <c r="AE22" s="24">
        <v>172.09591728000001</v>
      </c>
      <c r="AF22" s="24">
        <f t="shared" si="12"/>
        <v>5321089171.2110472</v>
      </c>
      <c r="AG22" s="24"/>
      <c r="AH22" s="24"/>
      <c r="AI22" s="26">
        <f t="shared" si="13"/>
        <v>-1.0187816097383425E-2</v>
      </c>
      <c r="AJ22" s="27">
        <f t="shared" si="5"/>
        <v>2033</v>
      </c>
      <c r="AK22" s="28">
        <f>SUM(AB86:AB89)/AVERAGE(AF86:AF89)</f>
        <v>-2.3494815264392985E-2</v>
      </c>
      <c r="AL22" s="24">
        <v>12301236.542933</v>
      </c>
      <c r="AM22" s="28">
        <f>AL22/AVERAGE(AF86:AF89)</f>
        <v>1.4076970661174827E-3</v>
      </c>
      <c r="AN22" s="28">
        <f>(AF89-AF85)/AF85</f>
        <v>1.7746366826217028E-2</v>
      </c>
      <c r="AO22" s="28"/>
      <c r="AP22" s="24">
        <f t="shared" si="6"/>
        <v>889055822.16054058</v>
      </c>
      <c r="AQ22" s="24">
        <f t="shared" si="9"/>
        <v>488615937.75929201</v>
      </c>
      <c r="AR22" s="29">
        <f>AP22/AF89</f>
        <v>0.10103933176461723</v>
      </c>
      <c r="AS22" s="29">
        <f>AQ22/AF89</f>
        <v>5.5530177757303768E-2</v>
      </c>
      <c r="AV22" s="23">
        <v>11118502</v>
      </c>
      <c r="AX22" s="23">
        <f t="shared" si="14"/>
        <v>-1.3184109981602989E-2</v>
      </c>
      <c r="AY22" s="43">
        <v>6583.2437564605998</v>
      </c>
      <c r="AZ22" s="26">
        <f t="shared" si="15"/>
        <v>1.5031102469176869E-2</v>
      </c>
      <c r="BD22" s="26">
        <f t="shared" si="7"/>
        <v>1.4258235158900512E-2</v>
      </c>
      <c r="BE22" s="23">
        <f t="shared" si="8"/>
        <v>2033</v>
      </c>
      <c r="BF22" s="26">
        <f>SUM(T86:T89)/AVERAGE(AF86:AF89)</f>
        <v>4.3907792961464083E-2</v>
      </c>
      <c r="BG22" s="26">
        <f>SUM(P86:P89)/AVERAGE(AF86:AF89)</f>
        <v>8.0844584149734004E-3</v>
      </c>
      <c r="BH22" s="26">
        <f>SUM(D86:D89)/AVERAGE(AF86:AF89)</f>
        <v>5.9318149810883659E-2</v>
      </c>
      <c r="BI22" s="26">
        <f>(SUM(H86:H89)+SUM(J86:J89))/AVERAGE(AF86:AF89)</f>
        <v>1.0468703135286674E-2</v>
      </c>
      <c r="BJ22" s="28">
        <f t="shared" si="2"/>
        <v>-3.3963518399679662E-2</v>
      </c>
      <c r="BK22" s="15">
        <f t="shared" si="3"/>
        <v>6.9786852946170333E-2</v>
      </c>
    </row>
    <row r="23" spans="1:63" s="31" customFormat="1">
      <c r="A23" s="31">
        <f t="shared" si="16"/>
        <v>2017</v>
      </c>
      <c r="B23" s="31">
        <f t="shared" si="17"/>
        <v>2</v>
      </c>
      <c r="C23" s="32"/>
      <c r="D23" s="44">
        <v>109518708.34428991</v>
      </c>
      <c r="E23" s="32"/>
      <c r="F23" s="44">
        <v>19906321.639168486</v>
      </c>
      <c r="G23" s="44">
        <v>101425.135145915</v>
      </c>
      <c r="H23" s="44">
        <v>558011.16831997735</v>
      </c>
      <c r="I23" s="44">
        <v>3136.859849874003</v>
      </c>
      <c r="J23" s="44">
        <v>17258.077370722836</v>
      </c>
      <c r="K23" s="32"/>
      <c r="L23" s="44">
        <v>3730411.4550264599</v>
      </c>
      <c r="M23" s="33"/>
      <c r="N23" s="44">
        <v>825178.86208182573</v>
      </c>
      <c r="O23" s="32"/>
      <c r="P23" s="44">
        <v>23897013.405811135</v>
      </c>
      <c r="Q23" s="33"/>
      <c r="R23" s="44">
        <v>21829419.896147445</v>
      </c>
      <c r="S23" s="33"/>
      <c r="T23" s="44">
        <v>83466678.965852171</v>
      </c>
      <c r="U23" s="32"/>
      <c r="V23" s="44">
        <v>96012.055103505103</v>
      </c>
      <c r="W23" s="33"/>
      <c r="X23" s="44">
        <v>241154.60137642204</v>
      </c>
      <c r="Y23" s="32"/>
      <c r="Z23" s="32">
        <f t="shared" si="10"/>
        <v>-2536480.0050258189</v>
      </c>
      <c r="AA23" s="32"/>
      <c r="AB23" s="32">
        <f t="shared" si="11"/>
        <v>-49949042.784248874</v>
      </c>
      <c r="AC23" s="12"/>
      <c r="AD23" s="32">
        <v>10595155405.883801</v>
      </c>
      <c r="AE23" s="32">
        <v>183.45579240999999</v>
      </c>
      <c r="AF23" s="32">
        <f t="shared" si="12"/>
        <v>5775318002.6090412</v>
      </c>
      <c r="AG23" s="32"/>
      <c r="AH23" s="32"/>
      <c r="AI23" s="34">
        <f t="shared" si="13"/>
        <v>-8.6487086532177158E-3</v>
      </c>
      <c r="AJ23" s="35">
        <f t="shared" si="5"/>
        <v>2034</v>
      </c>
      <c r="AK23" s="36">
        <f>SUM(AB90:AB93)/AVERAGE(AF90:AF93)</f>
        <v>-2.2390426702899553E-2</v>
      </c>
      <c r="AL23" s="32">
        <v>11191488.467635101</v>
      </c>
      <c r="AM23" s="36">
        <f>AL23/AVERAGE(AF90:AF93)</f>
        <v>1.2594594456277848E-3</v>
      </c>
      <c r="AN23" s="36">
        <f>(AF93-AF89)/AF89</f>
        <v>1.5768774527621737E-2</v>
      </c>
      <c r="AO23" s="36"/>
      <c r="AP23" s="32">
        <f t="shared" si="6"/>
        <v>903075142.9626596</v>
      </c>
      <c r="AQ23" s="32">
        <f t="shared" si="9"/>
        <v>485048667.47747785</v>
      </c>
      <c r="AR23" s="37">
        <f>AP23/AF93</f>
        <v>0.10103933176461724</v>
      </c>
      <c r="AS23" s="37">
        <f>AQ23/AF93</f>
        <v>5.4269009192814001E-2</v>
      </c>
      <c r="AV23" s="31">
        <v>11135499</v>
      </c>
      <c r="AX23" s="31">
        <f t="shared" si="14"/>
        <v>1.5287131305997876E-3</v>
      </c>
      <c r="AY23" s="46">
        <v>6550.8123021846995</v>
      </c>
      <c r="AZ23" s="34">
        <f t="shared" si="15"/>
        <v>-4.9263638831651925E-3</v>
      </c>
      <c r="BD23" s="34">
        <f t="shared" si="7"/>
        <v>1.1455783476837898E-2</v>
      </c>
      <c r="BE23" s="31">
        <f t="shared" si="8"/>
        <v>2034</v>
      </c>
      <c r="BF23" s="34">
        <f>SUM(T90:T93)/AVERAGE(AF90:AF93)</f>
        <v>4.426643471925247E-2</v>
      </c>
      <c r="BG23" s="34">
        <f>SUM(P90:P93)/AVERAGE(AF90:AF93)</f>
        <v>7.8126967977181321E-3</v>
      </c>
      <c r="BH23" s="34">
        <f>SUM(D90:D93)/AVERAGE(AF90:AF93)</f>
        <v>5.8844164624433898E-2</v>
      </c>
      <c r="BI23" s="34">
        <f>(SUM(H90:H93)+SUM(J90:J93))/AVERAGE(AF90:AF93)</f>
        <v>1.1166321355203263E-2</v>
      </c>
      <c r="BJ23" s="36">
        <f t="shared" si="2"/>
        <v>-3.3556748058102812E-2</v>
      </c>
      <c r="BK23" s="15">
        <f t="shared" si="3"/>
        <v>7.001048597963716E-2</v>
      </c>
    </row>
    <row r="24" spans="1:63" s="31" customFormat="1">
      <c r="A24" s="31">
        <f t="shared" si="16"/>
        <v>2017</v>
      </c>
      <c r="B24" s="31">
        <f t="shared" si="17"/>
        <v>3</v>
      </c>
      <c r="C24" s="32"/>
      <c r="D24" s="44">
        <v>104922235.93755201</v>
      </c>
      <c r="E24" s="32"/>
      <c r="F24" s="44">
        <v>19070858.369765729</v>
      </c>
      <c r="G24" s="44">
        <v>122030.702309969</v>
      </c>
      <c r="H24" s="44">
        <v>671376.9192314035</v>
      </c>
      <c r="I24" s="44">
        <v>3774.1454322670033</v>
      </c>
      <c r="J24" s="44">
        <v>20764.234615403795</v>
      </c>
      <c r="K24" s="32"/>
      <c r="L24" s="44">
        <v>3334119.1810467402</v>
      </c>
      <c r="M24" s="33"/>
      <c r="N24" s="44">
        <v>790802.2545061335</v>
      </c>
      <c r="O24" s="32"/>
      <c r="P24" s="44">
        <v>21651520.960093699</v>
      </c>
      <c r="Q24" s="33"/>
      <c r="R24" s="44">
        <v>19580626.611161686</v>
      </c>
      <c r="S24" s="33"/>
      <c r="T24" s="44">
        <v>74868222.933972165</v>
      </c>
      <c r="U24" s="32"/>
      <c r="V24" s="44">
        <v>104520.384366161</v>
      </c>
      <c r="W24" s="33"/>
      <c r="X24" s="44">
        <v>262525.07146482059</v>
      </c>
      <c r="Y24" s="32"/>
      <c r="Z24" s="32">
        <f t="shared" si="10"/>
        <v>-3510632.8097907528</v>
      </c>
      <c r="AA24" s="32"/>
      <c r="AB24" s="32">
        <f t="shared" si="11"/>
        <v>-51705533.963673539</v>
      </c>
      <c r="AC24" s="12"/>
      <c r="AD24" s="32">
        <v>10937239663.7218</v>
      </c>
      <c r="AE24" s="32">
        <v>191.50871928999999</v>
      </c>
      <c r="AF24" s="32">
        <f t="shared" si="12"/>
        <v>5711092269.986743</v>
      </c>
      <c r="AG24" s="32"/>
      <c r="AH24" s="32"/>
      <c r="AI24" s="34">
        <f t="shared" si="13"/>
        <v>-9.0535280327021517E-3</v>
      </c>
      <c r="AJ24" s="35">
        <f t="shared" si="5"/>
        <v>2035</v>
      </c>
      <c r="AK24" s="36">
        <f>SUM(AB94:AB97)/AVERAGE(AF94:AF97)</f>
        <v>-2.172359705264747E-2</v>
      </c>
      <c r="AL24" s="32">
        <v>10128304.234395901</v>
      </c>
      <c r="AM24" s="36">
        <f>AL24/AVERAGE(AF94:AF97)</f>
        <v>1.1152735835691758E-3</v>
      </c>
      <c r="AN24" s="36">
        <f>(AF97-AF93)/AF93</f>
        <v>3.0886263895307596E-2</v>
      </c>
      <c r="AO24" s="36"/>
      <c r="AP24" s="32">
        <f t="shared" si="6"/>
        <v>930967760.14549696</v>
      </c>
      <c r="AQ24" s="32">
        <f t="shared" si="9"/>
        <v>489759113.50945169</v>
      </c>
      <c r="AR24" s="37">
        <f>AP24/AF97</f>
        <v>0.10103933176461724</v>
      </c>
      <c r="AS24" s="37">
        <f>AQ24/AF97</f>
        <v>5.3154293492282199E-2</v>
      </c>
      <c r="AV24" s="31">
        <v>11142497</v>
      </c>
      <c r="AX24" s="31">
        <f t="shared" si="14"/>
        <v>6.2844062937817151E-4</v>
      </c>
      <c r="AY24" s="46">
        <v>6730.5417200480997</v>
      </c>
      <c r="AZ24" s="34">
        <f t="shared" si="15"/>
        <v>2.7436203263442656E-2</v>
      </c>
      <c r="BD24" s="34">
        <f t="shared" si="7"/>
        <v>1.3357452570812512E-2</v>
      </c>
      <c r="BE24" s="31">
        <f t="shared" si="8"/>
        <v>2035</v>
      </c>
      <c r="BF24" s="34">
        <f>SUM(T94:T97)/AVERAGE(AF94:AF97)</f>
        <v>4.420579633130068E-2</v>
      </c>
      <c r="BG24" s="34">
        <f>SUM(P94:P97)/AVERAGE(AF94:AF97)</f>
        <v>7.6551767568917529E-3</v>
      </c>
      <c r="BH24" s="34">
        <f>SUM(D94:D97)/AVERAGE(AF94:AF97)</f>
        <v>5.827421662705639E-2</v>
      </c>
      <c r="BI24" s="34">
        <f>(SUM(H94:H97)+SUM(J94:J97))/AVERAGE(AF94:AF97)</f>
        <v>1.1720467386728184E-2</v>
      </c>
      <c r="BJ24" s="36">
        <f t="shared" si="2"/>
        <v>-3.3444064439375656E-2</v>
      </c>
      <c r="BK24" s="15">
        <f t="shared" si="3"/>
        <v>6.9994684013784572E-2</v>
      </c>
    </row>
    <row r="25" spans="1:63">
      <c r="A25" s="31">
        <f t="shared" si="16"/>
        <v>2017</v>
      </c>
      <c r="B25" s="31">
        <f t="shared" si="17"/>
        <v>4</v>
      </c>
      <c r="C25" s="32"/>
      <c r="D25" s="44">
        <v>114172200.85362665</v>
      </c>
      <c r="E25" s="32"/>
      <c r="F25" s="44">
        <v>20752148.987178367</v>
      </c>
      <c r="G25" s="44">
        <v>169001.86399123599</v>
      </c>
      <c r="H25" s="44">
        <v>929798.39206851413</v>
      </c>
      <c r="I25" s="44">
        <v>5226.8617729250109</v>
      </c>
      <c r="J25" s="44">
        <v>28756.651301089089</v>
      </c>
      <c r="K25" s="32"/>
      <c r="L25" s="44">
        <v>3810173.3554979502</v>
      </c>
      <c r="M25" s="33"/>
      <c r="N25" s="44">
        <v>862026.55930786952</v>
      </c>
      <c r="O25" s="32"/>
      <c r="P25" s="44">
        <v>24513623.444839194</v>
      </c>
      <c r="Q25" s="33"/>
      <c r="R25" s="44">
        <v>22460538.586850993</v>
      </c>
      <c r="S25" s="33"/>
      <c r="T25" s="44">
        <v>85879815.979887009</v>
      </c>
      <c r="U25" s="32"/>
      <c r="V25" s="44">
        <v>107997.833010581</v>
      </c>
      <c r="W25" s="33"/>
      <c r="X25" s="44">
        <v>271259.41988333984</v>
      </c>
      <c r="Y25" s="32"/>
      <c r="Z25" s="32">
        <f t="shared" si="10"/>
        <v>-2855812.4821226113</v>
      </c>
      <c r="AA25" s="32"/>
      <c r="AB25" s="32">
        <f t="shared" si="11"/>
        <v>-52806008.318578839</v>
      </c>
      <c r="AC25" s="12"/>
      <c r="AD25" s="32">
        <v>11544217084.2855</v>
      </c>
      <c r="AE25" s="32">
        <v>200.87293846</v>
      </c>
      <c r="AF25" s="32">
        <f t="shared" si="12"/>
        <v>5747024548.3486614</v>
      </c>
      <c r="AG25" s="32"/>
      <c r="AH25" s="32"/>
      <c r="AI25" s="34">
        <f t="shared" si="13"/>
        <v>-9.1884083449325117E-3</v>
      </c>
      <c r="AJ25" s="35">
        <f t="shared" si="5"/>
        <v>2036</v>
      </c>
      <c r="AK25" s="36">
        <f>SUM(AB98:AB101)/AVERAGE(AF98:AF101)</f>
        <v>-2.0528562664702436E-2</v>
      </c>
      <c r="AL25" s="32">
        <v>9122999.6081742309</v>
      </c>
      <c r="AM25" s="36">
        <f>AL25/AVERAGE(AF98:AF101)</f>
        <v>9.7987824430186108E-4</v>
      </c>
      <c r="AN25" s="36">
        <f>(AF101-AF97)/AF97</f>
        <v>1.9239006658237464E-2</v>
      </c>
      <c r="AO25" s="36"/>
      <c r="AP25" s="32">
        <f t="shared" si="6"/>
        <v>948878655.0815407</v>
      </c>
      <c r="AQ25" s="32">
        <f t="shared" si="9"/>
        <v>489978424.03748631</v>
      </c>
      <c r="AR25" s="37">
        <f>AP25/AF101</f>
        <v>0.10103933176461725</v>
      </c>
      <c r="AS25" s="37">
        <f>AQ25/AF101</f>
        <v>5.2174313626618105E-2</v>
      </c>
      <c r="AT25" s="31"/>
      <c r="AU25" s="31"/>
      <c r="AV25" s="31">
        <v>11181611</v>
      </c>
      <c r="AW25" s="31"/>
      <c r="AX25" s="31">
        <f t="shared" si="14"/>
        <v>3.5103442253563094E-3</v>
      </c>
      <c r="AY25" s="46">
        <v>6722.1339140824002</v>
      </c>
      <c r="AZ25" s="34">
        <f t="shared" si="15"/>
        <v>-1.2492019684916826E-3</v>
      </c>
      <c r="BA25" s="31">
        <v>100</v>
      </c>
      <c r="BB25">
        <v>100</v>
      </c>
      <c r="BD25" s="34">
        <f t="shared" si="7"/>
        <v>1.1451538844294225E-2</v>
      </c>
      <c r="BE25" s="31">
        <f t="shared" si="8"/>
        <v>2036</v>
      </c>
      <c r="BF25" s="34">
        <f>SUM(T98:T101)/AVERAGE(AF98:AF101)</f>
        <v>4.4542473242642419E-2</v>
      </c>
      <c r="BG25" s="34">
        <f>SUM(P98:P101)/AVERAGE(AF98:AF101)</f>
        <v>7.3519632018009158E-3</v>
      </c>
      <c r="BH25" s="34">
        <f>SUM(D98:D101)/AVERAGE(AF98:AF101)</f>
        <v>5.7719072705543932E-2</v>
      </c>
      <c r="BI25" s="34">
        <f>(SUM(H98:H101)+SUM(J98:J101))/AVERAGE(AF98:AF101)</f>
        <v>1.2315069337178861E-2</v>
      </c>
      <c r="BJ25" s="36">
        <f t="shared" si="2"/>
        <v>-3.2843632001881298E-2</v>
      </c>
      <c r="BK25" s="15">
        <f t="shared" si="3"/>
        <v>7.0034142042722791E-2</v>
      </c>
    </row>
    <row r="26" spans="1:63" s="23" customFormat="1">
      <c r="A26" s="23">
        <f t="shared" si="16"/>
        <v>2018</v>
      </c>
      <c r="B26" s="23">
        <f t="shared" si="17"/>
        <v>1</v>
      </c>
      <c r="C26" s="24">
        <f>D26*0.081</f>
        <v>8665935.1456223018</v>
      </c>
      <c r="D26" s="41">
        <v>106986853.64965804</v>
      </c>
      <c r="E26" s="24"/>
      <c r="F26" s="41">
        <v>19446127.078285422</v>
      </c>
      <c r="G26" s="41">
        <v>181129.380965877</v>
      </c>
      <c r="H26" s="41">
        <v>996520.4122669989</v>
      </c>
      <c r="I26" s="41">
        <v>5601.9396175020083</v>
      </c>
      <c r="J26" s="41">
        <v>30820.218936096368</v>
      </c>
      <c r="K26" s="24"/>
      <c r="L26" s="41">
        <v>4075268.3892818098</v>
      </c>
      <c r="M26" s="25"/>
      <c r="N26" s="41">
        <v>810490.33981269598</v>
      </c>
      <c r="O26" s="24"/>
      <c r="P26" s="41">
        <v>25605665.761332996</v>
      </c>
      <c r="Q26" s="25"/>
      <c r="R26" s="41">
        <v>18228221.900902398</v>
      </c>
      <c r="S26" s="25"/>
      <c r="T26" s="41">
        <v>69697186.309080452</v>
      </c>
      <c r="U26" s="24"/>
      <c r="V26" s="41">
        <v>93350.920900574594</v>
      </c>
      <c r="W26" s="25"/>
      <c r="X26" s="41">
        <v>234470.59948494038</v>
      </c>
      <c r="Y26" s="24"/>
      <c r="Z26" s="24">
        <f t="shared" si="10"/>
        <v>-6010312.9855769537</v>
      </c>
      <c r="AA26" s="24"/>
      <c r="AB26" s="24">
        <f t="shared" si="11"/>
        <v>-62895333.101910584</v>
      </c>
      <c r="AC26" s="12"/>
      <c r="AD26" s="24"/>
      <c r="AE26" s="24"/>
      <c r="AF26" s="24">
        <f>BB26/100*AF25</f>
        <v>5687221153.9923506</v>
      </c>
      <c r="AG26" s="26">
        <f t="shared" ref="AG26:AG89" si="18">(AF26-AF25)/AF25</f>
        <v>-1.0405975101236453E-2</v>
      </c>
      <c r="AH26" s="26"/>
      <c r="AI26" s="26">
        <f t="shared" si="13"/>
        <v>-1.1059062308093809E-2</v>
      </c>
      <c r="AJ26" s="27">
        <f t="shared" si="5"/>
        <v>2037</v>
      </c>
      <c r="AK26" s="28">
        <f>SUM(AB102:AB105)/AVERAGE(AF102:AF105)</f>
        <v>-1.9368733924983665E-2</v>
      </c>
      <c r="AL26" s="24">
        <v>8172071.9826219603</v>
      </c>
      <c r="AM26" s="28">
        <f>AL26/AVERAGE(AF102:AF105)</f>
        <v>8.5869004846164806E-4</v>
      </c>
      <c r="AN26" s="28">
        <f>(AF105-AF101)/AF101</f>
        <v>1.9997184275029854E-2</v>
      </c>
      <c r="AO26" s="28"/>
      <c r="AP26" s="24">
        <f t="shared" si="6"/>
        <v>967853556.40184879</v>
      </c>
      <c r="AQ26" s="24">
        <f t="shared" si="9"/>
        <v>491529908.54202247</v>
      </c>
      <c r="AR26" s="29">
        <f>AP26/AF105</f>
        <v>0.10103933176461725</v>
      </c>
      <c r="AS26" s="29">
        <f>AQ26/AF105</f>
        <v>5.1313396714728975E-2</v>
      </c>
      <c r="AV26" s="23">
        <v>11195427</v>
      </c>
      <c r="AX26" s="23">
        <f>(AV26-AV25)/AV25</f>
        <v>1.2356001295341073E-3</v>
      </c>
      <c r="AY26" s="43">
        <v>6643.9742604884004</v>
      </c>
      <c r="AZ26" s="26">
        <f>(AY26-AY25)/AY25</f>
        <v>-1.162720865025625E-2</v>
      </c>
      <c r="BA26" s="23">
        <f>BA25*((1+AZ26))</f>
        <v>98.837279134974381</v>
      </c>
      <c r="BB26" s="23">
        <f>BB25*(1+AX26)*(1+AZ26)</f>
        <v>98.959402489876354</v>
      </c>
      <c r="BD26" s="26">
        <f t="shared" si="7"/>
        <v>1.3409555234103868E-2</v>
      </c>
      <c r="BE26" s="23">
        <f t="shared" si="8"/>
        <v>2037</v>
      </c>
      <c r="BF26" s="26">
        <f>SUM(T102:T105)/AVERAGE(AF102:AF105)</f>
        <v>4.4845850730842851E-2</v>
      </c>
      <c r="BG26" s="26">
        <f>SUM(P102:P105)/AVERAGE(AF102:AF105)</f>
        <v>7.107811629594769E-3</v>
      </c>
      <c r="BH26" s="26">
        <f>SUM(D102:D105)/AVERAGE(AF102:AF105)</f>
        <v>5.7106773026231766E-2</v>
      </c>
      <c r="BI26" s="26">
        <f>(SUM(H102:H105)+SUM(J102:J105))/AVERAGE(AF102:AF105)</f>
        <v>1.3017962705012476E-2</v>
      </c>
      <c r="BJ26" s="28">
        <f t="shared" si="2"/>
        <v>-3.2386696629996145E-2</v>
      </c>
      <c r="BK26" s="15">
        <f t="shared" si="3"/>
        <v>7.0124735731244239E-2</v>
      </c>
    </row>
    <row r="27" spans="1:63" s="31" customFormat="1">
      <c r="A27" s="31">
        <f t="shared" si="16"/>
        <v>2018</v>
      </c>
      <c r="B27" s="31">
        <f t="shared" si="17"/>
        <v>2</v>
      </c>
      <c r="C27" s="32">
        <f>D27*0.081</f>
        <v>8566029.0756317098</v>
      </c>
      <c r="D27" s="44">
        <v>105753445.37816925</v>
      </c>
      <c r="E27" s="32"/>
      <c r="F27" s="44">
        <v>19221940.524811093</v>
      </c>
      <c r="G27" s="44">
        <v>211644.66520650801</v>
      </c>
      <c r="H27" s="44">
        <v>1164406.5026945206</v>
      </c>
      <c r="I27" s="44">
        <v>6545.7112950469891</v>
      </c>
      <c r="J27" s="44">
        <v>36012.572248286066</v>
      </c>
      <c r="K27" s="32"/>
      <c r="L27" s="44">
        <v>3035742.35236284</v>
      </c>
      <c r="M27" s="33"/>
      <c r="N27" s="44">
        <v>802459.23277335241</v>
      </c>
      <c r="O27" s="32"/>
      <c r="P27" s="44">
        <v>20167375.432690784</v>
      </c>
      <c r="Q27" s="33"/>
      <c r="R27" s="44">
        <v>21082768.712142572</v>
      </c>
      <c r="S27" s="33"/>
      <c r="T27" s="44">
        <v>80611793.450282112</v>
      </c>
      <c r="U27" s="32"/>
      <c r="V27" s="44">
        <v>96330.000568898206</v>
      </c>
      <c r="W27" s="33"/>
      <c r="X27" s="44">
        <v>241953.18871926828</v>
      </c>
      <c r="Y27" s="32"/>
      <c r="Z27" s="32">
        <f t="shared" si="10"/>
        <v>-1881043.3972358182</v>
      </c>
      <c r="AA27" s="32"/>
      <c r="AB27" s="32">
        <f t="shared" si="11"/>
        <v>-45309027.360577926</v>
      </c>
      <c r="AC27" s="12"/>
      <c r="AD27" s="32"/>
      <c r="AE27" s="32"/>
      <c r="AF27" s="32">
        <f>BB27/100*AF25</f>
        <v>5699009265.5698023</v>
      </c>
      <c r="AG27" s="34">
        <f t="shared" si="18"/>
        <v>2.0727366244895568E-3</v>
      </c>
      <c r="AH27" s="34"/>
      <c r="AI27" s="34">
        <f t="shared" si="13"/>
        <v>-7.9503340403935651E-3</v>
      </c>
      <c r="AJ27" s="35">
        <f t="shared" si="5"/>
        <v>2038</v>
      </c>
      <c r="AK27" s="36">
        <f>SUM(AB106:AB109)/AVERAGE(AF106:AF109)</f>
        <v>-1.7633116608815221E-2</v>
      </c>
      <c r="AL27" s="32">
        <v>7273150.4858141895</v>
      </c>
      <c r="AM27" s="36">
        <f>AL27/AVERAGE(AF106:AF109)</f>
        <v>7.4459461799685107E-4</v>
      </c>
      <c r="AN27" s="36">
        <f>(AF109-AF105)/AF105</f>
        <v>3.125327922529935E-2</v>
      </c>
      <c r="AO27" s="36"/>
      <c r="AP27" s="32">
        <f t="shared" si="6"/>
        <v>998102153.84927475</v>
      </c>
      <c r="AQ27" s="32">
        <f t="shared" si="9"/>
        <v>499515074.77015382</v>
      </c>
      <c r="AR27" s="37">
        <f>AP27/AF109</f>
        <v>0.10103933176461725</v>
      </c>
      <c r="AS27" s="37">
        <f>AQ27/AF109</f>
        <v>5.0566637058625998E-2</v>
      </c>
      <c r="AV27" s="31">
        <v>11278619</v>
      </c>
      <c r="AX27" s="31">
        <f t="shared" si="14"/>
        <v>7.4308912022739287E-3</v>
      </c>
      <c r="AY27" s="46">
        <v>6608.6374037279002</v>
      </c>
      <c r="AZ27" s="34">
        <f t="shared" si="15"/>
        <v>-5.3186323990819682E-3</v>
      </c>
      <c r="BA27" s="31">
        <f t="shared" ref="BA27:BA57" si="19">BA26*((1+AZ27))</f>
        <v>98.311599979930008</v>
      </c>
      <c r="BB27" s="31">
        <f t="shared" ref="BB27:BB90" si="20">BB26*(1+AX27)*(1+AZ27)</f>
        <v>99.164519267754727</v>
      </c>
      <c r="BD27" s="34">
        <f t="shared" si="7"/>
        <v>1.0768900541586524E-2</v>
      </c>
      <c r="BE27" s="31">
        <f t="shared" si="8"/>
        <v>2038</v>
      </c>
      <c r="BF27" s="34">
        <f>SUM(T106:T109)/AVERAGE(AF106:AF109)</f>
        <v>4.5144812647157376E-2</v>
      </c>
      <c r="BG27" s="34">
        <f>SUM(P106:P109)/AVERAGE(AF106:AF109)</f>
        <v>6.882809410053323E-3</v>
      </c>
      <c r="BH27" s="34">
        <f>SUM(D106:D109)/AVERAGE(AF106:AF109)</f>
        <v>5.5895119845919279E-2</v>
      </c>
      <c r="BI27" s="34">
        <f>(SUM(H106:H109)+SUM(J106:J109))/AVERAGE(AF106:AF109)</f>
        <v>1.3626422924590631E-2</v>
      </c>
      <c r="BJ27" s="36">
        <f t="shared" si="2"/>
        <v>-3.125953953340585E-2</v>
      </c>
      <c r="BK27" s="15">
        <f t="shared" si="3"/>
        <v>6.9521542770509911E-2</v>
      </c>
    </row>
    <row r="28" spans="1:63" s="31" customFormat="1">
      <c r="A28" s="31">
        <f t="shared" si="16"/>
        <v>2018</v>
      </c>
      <c r="B28" s="31">
        <f t="shared" si="17"/>
        <v>3</v>
      </c>
      <c r="C28" s="32">
        <f>D28*0.081</f>
        <v>8497868.0866525788</v>
      </c>
      <c r="D28" s="44">
        <v>104911951.68706888</v>
      </c>
      <c r="E28" s="32"/>
      <c r="F28" s="44">
        <v>19068989.085503433</v>
      </c>
      <c r="G28" s="44">
        <v>236532.20226296899</v>
      </c>
      <c r="H28" s="44">
        <v>1301330.3885686018</v>
      </c>
      <c r="I28" s="44">
        <v>7315.4289359679969</v>
      </c>
      <c r="J28" s="44">
        <v>40247.331605213847</v>
      </c>
      <c r="K28" s="32"/>
      <c r="L28" s="44">
        <v>2894836.52334709</v>
      </c>
      <c r="M28" s="33"/>
      <c r="N28" s="44">
        <v>797806.30737803131</v>
      </c>
      <c r="O28" s="32"/>
      <c r="P28" s="44">
        <v>19410615.393399805</v>
      </c>
      <c r="Q28" s="33"/>
      <c r="R28" s="44">
        <v>18683030.741520975</v>
      </c>
      <c r="S28" s="33"/>
      <c r="T28" s="44">
        <v>71436187.330240965</v>
      </c>
      <c r="U28" s="32"/>
      <c r="V28" s="44">
        <v>96581.086778893397</v>
      </c>
      <c r="W28" s="33"/>
      <c r="X28" s="44">
        <v>242583.84488861315</v>
      </c>
      <c r="Y28" s="32"/>
      <c r="Z28" s="32">
        <f t="shared" si="10"/>
        <v>-3982020.0879286863</v>
      </c>
      <c r="AA28" s="32"/>
      <c r="AB28" s="32">
        <f t="shared" si="11"/>
        <v>-52886379.75022772</v>
      </c>
      <c r="AC28" s="12"/>
      <c r="AD28" s="32"/>
      <c r="AE28" s="32"/>
      <c r="AF28" s="32">
        <f>BB28/100*AF25</f>
        <v>5768821815.6217031</v>
      </c>
      <c r="AG28" s="34">
        <f t="shared" si="18"/>
        <v>1.2249944998978839E-2</v>
      </c>
      <c r="AH28" s="34"/>
      <c r="AI28" s="34">
        <f t="shared" si="13"/>
        <v>-9.1676223396281453E-3</v>
      </c>
      <c r="AJ28" s="35">
        <f t="shared" si="5"/>
        <v>2039</v>
      </c>
      <c r="AK28" s="36">
        <f>SUM(AB110:AB113)/AVERAGE(AF110:AF113)</f>
        <v>-1.7351818937668195E-2</v>
      </c>
      <c r="AL28" s="32">
        <v>6456774.8117327299</v>
      </c>
      <c r="AM28" s="36">
        <f>AL28/AVERAGE(AF110:AF113)</f>
        <v>6.4865240085845331E-4</v>
      </c>
      <c r="AN28" s="36">
        <f>(AF113-AF109)/AF109</f>
        <v>1.5606028855375449E-2</v>
      </c>
      <c r="AO28" s="36"/>
      <c r="AP28" s="32">
        <f t="shared" si="6"/>
        <v>1013678564.8628589</v>
      </c>
      <c r="AQ28" s="32">
        <f t="shared" si="9"/>
        <v>500807691.97662294</v>
      </c>
      <c r="AR28" s="37">
        <f>AP28/AF113</f>
        <v>0.10103933176461724</v>
      </c>
      <c r="AS28" s="37">
        <f>AQ28/AF113</f>
        <v>4.991846162471051E-2</v>
      </c>
      <c r="AV28" s="31">
        <v>11305467</v>
      </c>
      <c r="AX28" s="31">
        <f t="shared" si="14"/>
        <v>2.3804332782231584E-3</v>
      </c>
      <c r="AY28" s="46">
        <v>6673.7065353159996</v>
      </c>
      <c r="AZ28" s="34">
        <f t="shared" si="15"/>
        <v>9.8460737990246367E-3</v>
      </c>
      <c r="BA28" s="31">
        <f t="shared" si="19"/>
        <v>99.279583248632591</v>
      </c>
      <c r="BB28" s="31">
        <f t="shared" si="20"/>
        <v>100.3792791746349</v>
      </c>
      <c r="BD28" s="34">
        <f t="shared" si="7"/>
        <v>1.261172436335512E-2</v>
      </c>
      <c r="BE28" s="31">
        <f t="shared" si="8"/>
        <v>2039</v>
      </c>
      <c r="BF28" s="34">
        <f>SUM(T110:T113)/AVERAGE(AF110:AF113)</f>
        <v>4.5262574707699586E-2</v>
      </c>
      <c r="BG28" s="34">
        <f>SUM(P110:P113)/AVERAGE(AF110:AF113)</f>
        <v>6.7122975193998277E-3</v>
      </c>
      <c r="BH28" s="34">
        <f>SUM(D110:D113)/AVERAGE(AF110:AF113)</f>
        <v>5.5902096125967964E-2</v>
      </c>
      <c r="BI28" s="34">
        <f>(SUM(H110:H113)+SUM(J110:J113))/AVERAGE(AF110:AF113)</f>
        <v>1.4316207731516309E-2</v>
      </c>
      <c r="BJ28" s="36">
        <f t="shared" si="2"/>
        <v>-3.1668026669184501E-2</v>
      </c>
      <c r="BK28" s="15">
        <f t="shared" si="3"/>
        <v>7.0218303857484274E-2</v>
      </c>
    </row>
    <row r="29" spans="1:63" s="31" customFormat="1">
      <c r="A29" s="31">
        <f t="shared" si="16"/>
        <v>2018</v>
      </c>
      <c r="B29" s="31">
        <f t="shared" si="17"/>
        <v>4</v>
      </c>
      <c r="C29" s="32">
        <f>D29*0.081</f>
        <v>8556399.0403828137</v>
      </c>
      <c r="D29" s="44">
        <v>105634556.0541088</v>
      </c>
      <c r="E29" s="32"/>
      <c r="F29" s="44">
        <v>19200330.982843425</v>
      </c>
      <c r="G29" s="44">
        <v>250323.649637475</v>
      </c>
      <c r="H29" s="44">
        <v>1377206.8628883064</v>
      </c>
      <c r="I29" s="44">
        <v>7741.9685454890132</v>
      </c>
      <c r="J29" s="44">
        <v>42594.026687267731</v>
      </c>
      <c r="K29" s="32"/>
      <c r="L29" s="44">
        <v>2961723.2741804998</v>
      </c>
      <c r="M29" s="33"/>
      <c r="N29" s="44">
        <v>805360.65534051135</v>
      </c>
      <c r="O29" s="32"/>
      <c r="P29" s="44">
        <v>19799252.855037179</v>
      </c>
      <c r="Q29" s="33"/>
      <c r="R29" s="44">
        <v>21606878.076166525</v>
      </c>
      <c r="S29" s="33"/>
      <c r="T29" s="44">
        <v>82615771.029077262</v>
      </c>
      <c r="U29" s="32"/>
      <c r="V29" s="44">
        <v>104939.61607396499</v>
      </c>
      <c r="W29" s="33"/>
      <c r="X29" s="44">
        <v>263578.06064696901</v>
      </c>
      <c r="Y29" s="32"/>
      <c r="Z29" s="32">
        <f t="shared" si="10"/>
        <v>-1255597.2201239429</v>
      </c>
      <c r="AA29" s="32"/>
      <c r="AB29" s="32">
        <f t="shared" si="11"/>
        <v>-42818037.880068719</v>
      </c>
      <c r="AC29" s="12"/>
      <c r="AD29" s="32"/>
      <c r="AE29" s="32"/>
      <c r="AF29" s="32">
        <f>BB29/100*AF25</f>
        <v>5794249436.0885525</v>
      </c>
      <c r="AG29" s="34">
        <f t="shared" si="18"/>
        <v>4.4077666600817007E-3</v>
      </c>
      <c r="AH29" s="34"/>
      <c r="AI29" s="34">
        <f t="shared" si="13"/>
        <v>-7.3897470849948995E-3</v>
      </c>
      <c r="AJ29" s="35">
        <f t="shared" si="5"/>
        <v>2040</v>
      </c>
      <c r="AK29" s="36">
        <f>SUM(AB114:AB117)/AVERAGE(AF114:AF117)</f>
        <v>-1.7064532888900662E-2</v>
      </c>
      <c r="AL29" s="32">
        <v>5692365.8427485302</v>
      </c>
      <c r="AM29" s="36">
        <f>AL29/AVERAGE(AF114:AF117)</f>
        <v>5.5926387762549198E-4</v>
      </c>
      <c r="AN29" s="36">
        <f>(AF117-AF113)/AF113</f>
        <v>2.3091621077921624E-2</v>
      </c>
      <c r="AO29" s="36"/>
      <c r="AP29" s="32">
        <f t="shared" si="6"/>
        <v>1037086046.1774836</v>
      </c>
      <c r="AQ29" s="32">
        <f t="shared" si="9"/>
        <v>506619789.8538841</v>
      </c>
      <c r="AR29" s="37">
        <f>AP29/AF117</f>
        <v>0.10103933176461725</v>
      </c>
      <c r="AS29" s="37">
        <f>AQ29/AF117</f>
        <v>4.935803081551348E-2</v>
      </c>
      <c r="AV29" s="31">
        <v>11298518</v>
      </c>
      <c r="AX29" s="31">
        <f t="shared" si="14"/>
        <v>-6.1465837722581474E-4</v>
      </c>
      <c r="AY29" s="46">
        <v>6707.2453410184999</v>
      </c>
      <c r="AZ29" s="34">
        <f t="shared" si="15"/>
        <v>5.0255140115944806E-3</v>
      </c>
      <c r="BA29" s="31">
        <f t="shared" si="19"/>
        <v>99.778514185313853</v>
      </c>
      <c r="BB29" s="31">
        <f t="shared" si="20"/>
        <v>100.82172761474388</v>
      </c>
      <c r="BD29" s="34">
        <f t="shared" si="7"/>
        <v>1.0747670044745521E-2</v>
      </c>
      <c r="BE29" s="31">
        <f t="shared" si="8"/>
        <v>2040</v>
      </c>
      <c r="BF29" s="34">
        <f>SUM(T114:T117)/AVERAGE(AF114:AF117)</f>
        <v>4.5398766064321833E-2</v>
      </c>
      <c r="BG29" s="34">
        <f>SUM(P114:P117)/AVERAGE(AF114:AF117)</f>
        <v>6.6501239328357704E-3</v>
      </c>
      <c r="BH29" s="34">
        <f>SUM(D114:D117)/AVERAGE(AF114:AF117)</f>
        <v>5.581317502038672E-2</v>
      </c>
      <c r="BI29" s="34">
        <f>(SUM(H114:H117)+SUM(J114:J117))/AVERAGE(AF114:AF117)</f>
        <v>1.484612770671391E-2</v>
      </c>
      <c r="BJ29" s="36">
        <f t="shared" si="2"/>
        <v>-3.1910660595614572E-2</v>
      </c>
      <c r="BK29" s="15">
        <f t="shared" si="3"/>
        <v>7.0659302727100637E-2</v>
      </c>
    </row>
    <row r="30" spans="1:63" s="23" customFormat="1">
      <c r="A30" s="23">
        <f t="shared" si="16"/>
        <v>2019</v>
      </c>
      <c r="B30" s="23">
        <f t="shared" si="17"/>
        <v>1</v>
      </c>
      <c r="C30" s="24"/>
      <c r="D30" s="41">
        <v>106500668.1975913</v>
      </c>
      <c r="E30" s="24"/>
      <c r="F30" s="41">
        <v>19357757.117285699</v>
      </c>
      <c r="G30" s="41">
        <v>280982.74634380301</v>
      </c>
      <c r="H30" s="41">
        <v>1545884.1670705557</v>
      </c>
      <c r="I30" s="41">
        <v>8690.1880312520079</v>
      </c>
      <c r="J30" s="41">
        <v>47810.850527957358</v>
      </c>
      <c r="K30" s="24"/>
      <c r="L30" s="41">
        <v>3390201.77187591</v>
      </c>
      <c r="M30" s="25"/>
      <c r="N30" s="41">
        <v>813411.98701644689</v>
      </c>
      <c r="O30" s="24"/>
      <c r="P30" s="41">
        <v>22066925.867833849</v>
      </c>
      <c r="Q30" s="25"/>
      <c r="R30" s="41">
        <v>17585069.449433349</v>
      </c>
      <c r="S30" s="25"/>
      <c r="T30" s="41">
        <v>67238037.167772219</v>
      </c>
      <c r="U30" s="24"/>
      <c r="V30" s="41">
        <v>103952.969146786</v>
      </c>
      <c r="W30" s="25"/>
      <c r="X30" s="41">
        <v>261099.88802409766</v>
      </c>
      <c r="Y30" s="24"/>
      <c r="Z30" s="24">
        <f t="shared" si="10"/>
        <v>-5872348.4575979225</v>
      </c>
      <c r="AA30" s="24"/>
      <c r="AB30" s="24">
        <f t="shared" si="11"/>
        <v>-61329556.897652939</v>
      </c>
      <c r="AC30" s="12"/>
      <c r="AD30" s="24"/>
      <c r="AE30" s="24"/>
      <c r="AF30" s="24">
        <f>BB30/100*AF25</f>
        <v>5869353004.4207602</v>
      </c>
      <c r="AG30" s="26">
        <f t="shared" si="18"/>
        <v>1.2961742355176697E-2</v>
      </c>
      <c r="AH30" s="26"/>
      <c r="AI30" s="26">
        <f t="shared" si="13"/>
        <v>-1.0449117109068052E-2</v>
      </c>
      <c r="AL30" s="24"/>
      <c r="AQ30" s="39">
        <f>(AQ29-AQ6)/AQ6</f>
        <v>-0.12753375610894688</v>
      </c>
      <c r="AV30" s="23">
        <v>11397825</v>
      </c>
      <c r="AX30" s="23">
        <f t="shared" si="14"/>
        <v>8.7893828199415176E-3</v>
      </c>
      <c r="AY30" s="43">
        <v>6734.9865519494997</v>
      </c>
      <c r="AZ30" s="26">
        <f t="shared" si="15"/>
        <v>4.1360065899702604E-3</v>
      </c>
      <c r="BA30" s="23">
        <f t="shared" si="19"/>
        <v>100.19119877752175</v>
      </c>
      <c r="BB30" s="23">
        <f t="shared" si="20"/>
        <v>102.12855287188999</v>
      </c>
      <c r="BD30" s="26">
        <f t="shared" si="7"/>
        <v>1.2638174408553209E-2</v>
      </c>
    </row>
    <row r="31" spans="1:63" s="31" customFormat="1">
      <c r="A31" s="31">
        <f t="shared" si="16"/>
        <v>2019</v>
      </c>
      <c r="B31" s="31">
        <f t="shared" si="17"/>
        <v>2</v>
      </c>
      <c r="C31" s="32"/>
      <c r="D31" s="44">
        <v>107547374.12967417</v>
      </c>
      <c r="E31" s="32"/>
      <c r="F31" s="44">
        <v>19548008.310535401</v>
      </c>
      <c r="G31" s="44">
        <v>302515.78407509997</v>
      </c>
      <c r="H31" s="44">
        <v>1664352.587394895</v>
      </c>
      <c r="I31" s="44">
        <v>9356.1582703629974</v>
      </c>
      <c r="J31" s="44">
        <v>51474.822290558703</v>
      </c>
      <c r="K31" s="32"/>
      <c r="L31" s="44">
        <v>2837152.0743790902</v>
      </c>
      <c r="M31" s="33"/>
      <c r="N31" s="44">
        <v>821951.27956443653</v>
      </c>
      <c r="O31" s="32"/>
      <c r="P31" s="44">
        <v>19244129.026535612</v>
      </c>
      <c r="Q31" s="33"/>
      <c r="R31" s="44">
        <v>20646502.927275967</v>
      </c>
      <c r="S31" s="33"/>
      <c r="T31" s="44">
        <v>78943693.409947425</v>
      </c>
      <c r="U31" s="32"/>
      <c r="V31" s="44">
        <v>104929.54347447401</v>
      </c>
      <c r="W31" s="33"/>
      <c r="X31" s="44">
        <v>263552.76118105865</v>
      </c>
      <c r="Y31" s="32"/>
      <c r="Z31" s="32">
        <f t="shared" si="10"/>
        <v>-2455679.1937284879</v>
      </c>
      <c r="AA31" s="32"/>
      <c r="AB31" s="32">
        <f t="shared" si="11"/>
        <v>-47847809.746262357</v>
      </c>
      <c r="AC31" s="12"/>
      <c r="AD31" s="32"/>
      <c r="AE31" s="32"/>
      <c r="AF31" s="32">
        <f>BB31/100*AF25</f>
        <v>5910085998.1676435</v>
      </c>
      <c r="AG31" s="34">
        <f t="shared" si="18"/>
        <v>6.939946143331906E-3</v>
      </c>
      <c r="AH31" s="34"/>
      <c r="AI31" s="34">
        <f t="shared" si="13"/>
        <v>-8.0959582925015025E-3</v>
      </c>
      <c r="AL31" s="32"/>
      <c r="AV31" s="31">
        <v>11404929</v>
      </c>
      <c r="AX31" s="31">
        <f t="shared" si="14"/>
        <v>6.2327680939126546E-4</v>
      </c>
      <c r="AY31" s="46">
        <v>6777.5027356153996</v>
      </c>
      <c r="AZ31" s="34">
        <f t="shared" si="15"/>
        <v>6.312734752765504E-3</v>
      </c>
      <c r="BA31" s="31">
        <f t="shared" si="19"/>
        <v>100.82367923996586</v>
      </c>
      <c r="BB31" s="31">
        <f t="shared" si="20"/>
        <v>102.83731952851734</v>
      </c>
      <c r="BD31" s="34">
        <f t="shared" si="7"/>
        <v>1.0061819115553563E-2</v>
      </c>
    </row>
    <row r="32" spans="1:63" s="31" customFormat="1">
      <c r="A32" s="31">
        <f t="shared" si="16"/>
        <v>2019</v>
      </c>
      <c r="B32" s="31">
        <f t="shared" si="17"/>
        <v>3</v>
      </c>
      <c r="C32" s="32">
        <f>SUM(C26:C29)</f>
        <v>34286231.3482894</v>
      </c>
      <c r="D32" s="44">
        <v>108332420.04518762</v>
      </c>
      <c r="E32" s="32"/>
      <c r="F32" s="44">
        <v>19690699.698445119</v>
      </c>
      <c r="G32" s="44">
        <v>332891.44921107899</v>
      </c>
      <c r="H32" s="44">
        <v>1831470.5347029171</v>
      </c>
      <c r="I32" s="44">
        <v>10295.611831270042</v>
      </c>
      <c r="J32" s="44">
        <v>56643.418599056859</v>
      </c>
      <c r="K32" s="32"/>
      <c r="L32" s="44">
        <v>2777767.3726838599</v>
      </c>
      <c r="M32" s="33"/>
      <c r="N32" s="44">
        <v>829326.23937083036</v>
      </c>
      <c r="O32" s="32"/>
      <c r="P32" s="44">
        <v>18976556.38002592</v>
      </c>
      <c r="Q32" s="33"/>
      <c r="R32" s="44">
        <v>17766189.870657183</v>
      </c>
      <c r="S32" s="33"/>
      <c r="T32" s="44">
        <v>67930566.796336353</v>
      </c>
      <c r="U32" s="32"/>
      <c r="V32" s="44">
        <v>106962.809281166</v>
      </c>
      <c r="W32" s="33"/>
      <c r="X32" s="44">
        <v>268659.73868067074</v>
      </c>
      <c r="Y32" s="32"/>
      <c r="Z32" s="32">
        <f t="shared" si="10"/>
        <v>-5424640.6305614598</v>
      </c>
      <c r="AA32" s="32"/>
      <c r="AB32" s="32">
        <f t="shared" si="11"/>
        <v>-59378409.628877193</v>
      </c>
      <c r="AC32" s="12"/>
      <c r="AD32" s="32"/>
      <c r="AE32" s="32"/>
      <c r="AF32" s="32">
        <f>BB32/100*AF25</f>
        <v>5932003350.8145523</v>
      </c>
      <c r="AG32" s="34">
        <f t="shared" si="18"/>
        <v>3.7084659434234953E-3</v>
      </c>
      <c r="AH32" s="34"/>
      <c r="AI32" s="34">
        <f t="shared" si="13"/>
        <v>-1.0009840877909088E-2</v>
      </c>
      <c r="AL32" s="32"/>
      <c r="AV32" s="31">
        <v>11415016</v>
      </c>
      <c r="AX32" s="31">
        <f t="shared" si="14"/>
        <v>8.8444215654477111E-4</v>
      </c>
      <c r="AY32" s="46">
        <v>6796.6256514434999</v>
      </c>
      <c r="AZ32" s="34">
        <f t="shared" si="15"/>
        <v>2.8215283082971615E-3</v>
      </c>
      <c r="BA32" s="31">
        <f t="shared" si="19"/>
        <v>101.10815610508809</v>
      </c>
      <c r="BB32" s="31">
        <f t="shared" si="20"/>
        <v>103.21868822570183</v>
      </c>
      <c r="BD32" s="34">
        <f t="shared" si="7"/>
        <v>1.1817016935551363E-2</v>
      </c>
    </row>
    <row r="33" spans="1:56" s="31" customFormat="1">
      <c r="A33" s="31">
        <f t="shared" si="16"/>
        <v>2019</v>
      </c>
      <c r="B33" s="31">
        <f t="shared" si="17"/>
        <v>4</v>
      </c>
      <c r="C33" s="32"/>
      <c r="D33" s="44">
        <v>108607880.16270173</v>
      </c>
      <c r="E33" s="32"/>
      <c r="F33" s="44">
        <v>19740767.835486699</v>
      </c>
      <c r="G33" s="44">
        <v>367944.71194600099</v>
      </c>
      <c r="H33" s="44">
        <v>2024323.2438859106</v>
      </c>
      <c r="I33" s="44">
        <v>11379.733359154023</v>
      </c>
      <c r="J33" s="44">
        <v>62607.935377911199</v>
      </c>
      <c r="K33" s="32"/>
      <c r="L33" s="44">
        <v>2822032.3554390101</v>
      </c>
      <c r="M33" s="33"/>
      <c r="N33" s="44">
        <v>832707.5073765479</v>
      </c>
      <c r="O33" s="32"/>
      <c r="P33" s="44">
        <v>19224850.324901376</v>
      </c>
      <c r="Q33" s="33"/>
      <c r="R33" s="44">
        <v>21091722.232338592</v>
      </c>
      <c r="S33" s="33"/>
      <c r="T33" s="44">
        <v>80646028.010768414</v>
      </c>
      <c r="U33" s="32"/>
      <c r="V33" s="44">
        <v>105935.12293186699</v>
      </c>
      <c r="W33" s="33"/>
      <c r="X33" s="44">
        <v>266078.48686142766</v>
      </c>
      <c r="Y33" s="32"/>
      <c r="Z33" s="32">
        <f t="shared" si="10"/>
        <v>-2197850.3430317976</v>
      </c>
      <c r="AA33" s="32"/>
      <c r="AB33" s="32">
        <f t="shared" si="11"/>
        <v>-47186702.476834685</v>
      </c>
      <c r="AC33" s="12"/>
      <c r="AD33" s="32"/>
      <c r="AE33" s="32"/>
      <c r="AF33" s="32">
        <f>BB33/100*AF25</f>
        <v>6014071801.9987192</v>
      </c>
      <c r="AG33" s="34">
        <f t="shared" si="18"/>
        <v>1.3834862580260966E-2</v>
      </c>
      <c r="AH33" s="34">
        <f>(AF33-AF29)/AF29</f>
        <v>3.7938022574768429E-2</v>
      </c>
      <c r="AI33" s="34">
        <f t="shared" si="13"/>
        <v>-7.8460490713051743E-3</v>
      </c>
      <c r="AL33" s="32"/>
      <c r="AV33" s="31">
        <v>11496650</v>
      </c>
      <c r="AX33" s="31">
        <f t="shared" si="14"/>
        <v>7.1514573435551912E-3</v>
      </c>
      <c r="AY33" s="46">
        <v>6841.7277094702004</v>
      </c>
      <c r="AZ33" s="34">
        <f t="shared" si="15"/>
        <v>6.6359485338318494E-3</v>
      </c>
      <c r="BA33" s="31">
        <f t="shared" si="19"/>
        <v>101.77910462535209</v>
      </c>
      <c r="BB33" s="31">
        <f t="shared" si="20"/>
        <v>104.64670459301919</v>
      </c>
      <c r="BD33" s="34">
        <f t="shared" si="7"/>
        <v>1.0087278240409316E-2</v>
      </c>
    </row>
    <row r="34" spans="1:56" s="23" customFormat="1">
      <c r="A34" s="23">
        <f t="shared" si="16"/>
        <v>2020</v>
      </c>
      <c r="B34" s="23">
        <f t="shared" si="17"/>
        <v>1</v>
      </c>
      <c r="C34" s="24"/>
      <c r="D34" s="41">
        <v>110564179.77031764</v>
      </c>
      <c r="E34" s="24"/>
      <c r="F34" s="41">
        <v>20096348.446329542</v>
      </c>
      <c r="G34" s="41">
        <v>413411.00817305897</v>
      </c>
      <c r="H34" s="41">
        <v>2274465.3910010541</v>
      </c>
      <c r="I34" s="41">
        <v>12785.907469270052</v>
      </c>
      <c r="J34" s="41">
        <v>70344.290443332604</v>
      </c>
      <c r="K34" s="24"/>
      <c r="L34" s="41">
        <v>3331692.1799628302</v>
      </c>
      <c r="M34" s="25"/>
      <c r="N34" s="41">
        <v>848881.89622412995</v>
      </c>
      <c r="O34" s="24"/>
      <c r="P34" s="41">
        <v>21958464.292399518</v>
      </c>
      <c r="Q34" s="25"/>
      <c r="R34" s="41">
        <v>16965838.669164803</v>
      </c>
      <c r="S34" s="25"/>
      <c r="T34" s="41">
        <v>64870354.609631009</v>
      </c>
      <c r="U34" s="24"/>
      <c r="V34" s="41">
        <v>107048.095459142</v>
      </c>
      <c r="W34" s="25"/>
      <c r="X34" s="41">
        <v>268873.95297105907</v>
      </c>
      <c r="Y34" s="24"/>
      <c r="Z34" s="24">
        <f t="shared" si="10"/>
        <v>-7204035.7578925584</v>
      </c>
      <c r="AA34" s="24"/>
      <c r="AB34" s="24">
        <f t="shared" si="11"/>
        <v>-67652289.453086153</v>
      </c>
      <c r="AC34" s="12"/>
      <c r="AD34" s="24"/>
      <c r="AE34" s="24"/>
      <c r="AF34" s="24">
        <f>BB34/100*AF25</f>
        <v>6023860500.8115349</v>
      </c>
      <c r="AG34" s="26">
        <f t="shared" si="18"/>
        <v>1.6276325150561865E-3</v>
      </c>
      <c r="AH34" s="26"/>
      <c r="AI34" s="26">
        <f t="shared" si="13"/>
        <v>-1.1230719808994918E-2</v>
      </c>
      <c r="AL34" s="24"/>
      <c r="AV34" s="23">
        <v>11529198</v>
      </c>
      <c r="AX34" s="23">
        <f t="shared" si="14"/>
        <v>2.8310855771028951E-3</v>
      </c>
      <c r="AY34" s="43">
        <v>6833.5172558055001</v>
      </c>
      <c r="AZ34" s="26">
        <f t="shared" si="15"/>
        <v>-1.2000556019403528E-3</v>
      </c>
      <c r="BA34" s="23">
        <f t="shared" si="19"/>
        <v>101.65696404068596</v>
      </c>
      <c r="BB34" s="23">
        <f t="shared" si="20"/>
        <v>104.81703097200827</v>
      </c>
      <c r="BD34" s="26">
        <f t="shared" si="7"/>
        <v>1.1867459691163344E-2</v>
      </c>
    </row>
    <row r="35" spans="1:56" s="31" customFormat="1">
      <c r="A35" s="31">
        <f t="shared" si="16"/>
        <v>2020</v>
      </c>
      <c r="B35" s="31">
        <f t="shared" si="17"/>
        <v>2</v>
      </c>
      <c r="C35" s="32"/>
      <c r="D35" s="44">
        <v>110713569.57813571</v>
      </c>
      <c r="E35" s="32"/>
      <c r="F35" s="44">
        <v>20123501.812261246</v>
      </c>
      <c r="G35" s="44">
        <v>428786.78107655299</v>
      </c>
      <c r="H35" s="44">
        <v>2359058.3569296473</v>
      </c>
      <c r="I35" s="44">
        <v>13261.446837419004</v>
      </c>
      <c r="J35" s="44">
        <v>72960.567740091297</v>
      </c>
      <c r="K35" s="32"/>
      <c r="L35" s="44">
        <v>2766365.3367872499</v>
      </c>
      <c r="M35" s="33"/>
      <c r="N35" s="44">
        <v>851454.85106628016</v>
      </c>
      <c r="O35" s="32"/>
      <c r="P35" s="44">
        <v>19039136.254107788</v>
      </c>
      <c r="Q35" s="33"/>
      <c r="R35" s="44">
        <v>20089092.667967014</v>
      </c>
      <c r="S35" s="33"/>
      <c r="T35" s="44">
        <v>76812386.971784875</v>
      </c>
      <c r="U35" s="32"/>
      <c r="V35" s="44">
        <v>108759.692888265</v>
      </c>
      <c r="W35" s="33"/>
      <c r="X35" s="44">
        <v>273172.99224578444</v>
      </c>
      <c r="Y35" s="32"/>
      <c r="Z35" s="32">
        <f t="shared" si="10"/>
        <v>-3543469.6392594986</v>
      </c>
      <c r="AA35" s="32"/>
      <c r="AB35" s="32">
        <f t="shared" si="11"/>
        <v>-52940318.860458627</v>
      </c>
      <c r="AC35" s="12"/>
      <c r="AD35" s="32"/>
      <c r="AE35" s="32"/>
      <c r="AF35" s="32">
        <f>BB35/100*AF25</f>
        <v>6090553897.2111139</v>
      </c>
      <c r="AG35" s="34">
        <f t="shared" si="18"/>
        <v>1.1071537329025815E-2</v>
      </c>
      <c r="AH35" s="34"/>
      <c r="AI35" s="34">
        <f t="shared" si="13"/>
        <v>-8.6922010303036954E-3</v>
      </c>
      <c r="AL35" s="48"/>
      <c r="AV35" s="31">
        <v>11571754</v>
      </c>
      <c r="AX35" s="31">
        <f t="shared" si="14"/>
        <v>3.6911500695885353E-3</v>
      </c>
      <c r="AY35" s="46">
        <v>6883.7657846367001</v>
      </c>
      <c r="AZ35" s="34">
        <f t="shared" si="15"/>
        <v>7.3532453274352608E-3</v>
      </c>
      <c r="BA35" s="31">
        <f t="shared" si="19"/>
        <v>102.40447263651939</v>
      </c>
      <c r="BB35" s="31">
        <f t="shared" si="20"/>
        <v>105.97751664313252</v>
      </c>
      <c r="BD35" s="34">
        <f t="shared" si="7"/>
        <v>9.5012293320595916E-3</v>
      </c>
    </row>
    <row r="36" spans="1:56">
      <c r="A36" s="31">
        <f t="shared" si="16"/>
        <v>2020</v>
      </c>
      <c r="B36" s="31">
        <f t="shared" si="17"/>
        <v>3</v>
      </c>
      <c r="C36" s="32"/>
      <c r="D36" s="44">
        <v>111222072.3054965</v>
      </c>
      <c r="E36" s="32"/>
      <c r="F36" s="44">
        <v>20215928.202220272</v>
      </c>
      <c r="G36" s="44">
        <v>435037.48608162598</v>
      </c>
      <c r="H36" s="44">
        <v>2393447.8916114238</v>
      </c>
      <c r="I36" s="44">
        <v>13454.767610772047</v>
      </c>
      <c r="J36" s="44">
        <v>74024.161596230217</v>
      </c>
      <c r="K36" s="32"/>
      <c r="L36" s="44">
        <v>2695630.9187467801</v>
      </c>
      <c r="M36" s="33"/>
      <c r="N36" s="44">
        <v>857681.02348042652</v>
      </c>
      <c r="O36" s="32"/>
      <c r="P36" s="44">
        <v>18706349.586243298</v>
      </c>
      <c r="Q36" s="33"/>
      <c r="R36" s="44">
        <v>17236363.922471546</v>
      </c>
      <c r="S36" s="33"/>
      <c r="T36" s="44">
        <v>65904731.362532936</v>
      </c>
      <c r="U36" s="32"/>
      <c r="V36" s="44">
        <v>109582.191624933</v>
      </c>
      <c r="W36" s="33"/>
      <c r="X36" s="44">
        <v>275238.87193932867</v>
      </c>
      <c r="Y36" s="32"/>
      <c r="Z36" s="32">
        <f t="shared" si="10"/>
        <v>-6423294.0303510018</v>
      </c>
      <c r="AA36" s="32"/>
      <c r="AB36" s="32">
        <f t="shared" si="11"/>
        <v>-64023690.529206857</v>
      </c>
      <c r="AC36" s="12"/>
      <c r="AD36" s="32"/>
      <c r="AE36" s="32"/>
      <c r="AF36" s="32">
        <f>BB36/100*AF25</f>
        <v>6132001735.0880079</v>
      </c>
      <c r="AG36" s="34">
        <f t="shared" si="18"/>
        <v>6.8052657568424295E-3</v>
      </c>
      <c r="AH36" s="34"/>
      <c r="AI36" s="34">
        <f t="shared" si="13"/>
        <v>-1.0440912004779134E-2</v>
      </c>
      <c r="AJ36" s="31"/>
      <c r="AK36" s="31"/>
      <c r="AV36" s="31">
        <v>11638399</v>
      </c>
      <c r="AX36" s="31">
        <f t="shared" si="14"/>
        <v>5.7592824735126589E-3</v>
      </c>
      <c r="AY36" s="46">
        <v>6890.9248574512003</v>
      </c>
      <c r="AZ36" s="34">
        <f t="shared" si="15"/>
        <v>1.0399936660363885E-3</v>
      </c>
      <c r="BA36" s="31">
        <f t="shared" si="19"/>
        <v>102.51097263943517</v>
      </c>
      <c r="BB36" s="31">
        <f>BB35*(1+AX36)*(1+AZ36)</f>
        <v>106.69872180813923</v>
      </c>
      <c r="BD36" s="34">
        <f t="shared" si="7"/>
        <v>1.1257337959596129E-2</v>
      </c>
    </row>
    <row r="37" spans="1:56">
      <c r="A37" s="31">
        <f t="shared" si="16"/>
        <v>2020</v>
      </c>
      <c r="B37" s="31">
        <f t="shared" si="17"/>
        <v>4</v>
      </c>
      <c r="C37" s="32"/>
      <c r="D37" s="44">
        <v>111438785.31925689</v>
      </c>
      <c r="E37" s="32"/>
      <c r="F37" s="44">
        <v>20255318.357751928</v>
      </c>
      <c r="G37" s="44">
        <v>445527.86797967099</v>
      </c>
      <c r="H37" s="44">
        <v>2451162.8776514162</v>
      </c>
      <c r="I37" s="44">
        <v>13779.212411743007</v>
      </c>
      <c r="J37" s="44">
        <v>75809.161164480131</v>
      </c>
      <c r="K37" s="32"/>
      <c r="L37" s="44">
        <v>2747129.9693292701</v>
      </c>
      <c r="M37" s="33"/>
      <c r="N37" s="44">
        <v>861189.0876269564</v>
      </c>
      <c r="O37" s="32"/>
      <c r="P37" s="44">
        <v>18992878.738419976</v>
      </c>
      <c r="Q37" s="33"/>
      <c r="R37" s="44">
        <v>20439378.407411397</v>
      </c>
      <c r="S37" s="33"/>
      <c r="T37" s="44">
        <v>78151734.856410995</v>
      </c>
      <c r="U37" s="32"/>
      <c r="V37" s="44">
        <v>108693.97671057899</v>
      </c>
      <c r="W37" s="33"/>
      <c r="X37" s="44">
        <v>273007.93215393694</v>
      </c>
      <c r="Y37" s="32"/>
      <c r="Z37" s="32">
        <f t="shared" si="10"/>
        <v>-3315565.0305861793</v>
      </c>
      <c r="AA37" s="32"/>
      <c r="AB37" s="32">
        <f t="shared" si="11"/>
        <v>-52279929.201265872</v>
      </c>
      <c r="AC37" s="12"/>
      <c r="AD37" s="32"/>
      <c r="AE37" s="32"/>
      <c r="AF37" s="32">
        <f>BB37/100*AF25</f>
        <v>6183783537.8755178</v>
      </c>
      <c r="AG37" s="34">
        <f t="shared" si="18"/>
        <v>8.4445186130996316E-3</v>
      </c>
      <c r="AH37" s="34">
        <f>(AF37-AF33)/AF33</f>
        <v>2.8219107031678032E-2</v>
      </c>
      <c r="AI37" s="34">
        <f t="shared" si="13"/>
        <v>-8.4543595164760579E-3</v>
      </c>
      <c r="AJ37" s="31"/>
      <c r="AK37" s="31"/>
      <c r="AV37" s="31">
        <v>11652733</v>
      </c>
      <c r="AX37" s="31">
        <f t="shared" si="14"/>
        <v>1.2316126986194578E-3</v>
      </c>
      <c r="AY37" s="46">
        <v>6940.5673098369998</v>
      </c>
      <c r="AZ37" s="34">
        <f t="shared" si="15"/>
        <v>7.2040333355428803E-3</v>
      </c>
      <c r="BA37" s="31">
        <f t="shared" si="19"/>
        <v>103.24946510358859</v>
      </c>
      <c r="BB37" s="31">
        <f t="shared" si="20"/>
        <v>107.599741150442</v>
      </c>
      <c r="BD37" s="34">
        <f t="shared" si="7"/>
        <v>9.5695224021256093E-3</v>
      </c>
    </row>
    <row r="38" spans="1:56" s="23" customFormat="1">
      <c r="A38" s="23">
        <f t="shared" si="16"/>
        <v>2021</v>
      </c>
      <c r="B38" s="23">
        <f t="shared" si="17"/>
        <v>1</v>
      </c>
      <c r="C38" s="24"/>
      <c r="D38" s="41">
        <v>111962918.11573064</v>
      </c>
      <c r="E38" s="24"/>
      <c r="F38" s="41">
        <v>20350585.697788883</v>
      </c>
      <c r="G38" s="41">
        <v>480819.561364719</v>
      </c>
      <c r="H38" s="41">
        <v>2645327.3619229882</v>
      </c>
      <c r="I38" s="41">
        <v>14870.708083444973</v>
      </c>
      <c r="J38" s="41">
        <v>81814.248306896858</v>
      </c>
      <c r="K38" s="24"/>
      <c r="L38" s="41">
        <v>3308388.7959269001</v>
      </c>
      <c r="M38" s="25"/>
      <c r="N38" s="41">
        <v>867359.19078015164</v>
      </c>
      <c r="O38" s="24"/>
      <c r="P38" s="41">
        <v>21939199.544821423</v>
      </c>
      <c r="Q38" s="25"/>
      <c r="R38" s="41">
        <v>16308576.058894882</v>
      </c>
      <c r="S38" s="25"/>
      <c r="T38" s="41">
        <v>62357254.053196192</v>
      </c>
      <c r="U38" s="24"/>
      <c r="V38" s="41">
        <v>111746.27930702599</v>
      </c>
      <c r="W38" s="25"/>
      <c r="X38" s="41">
        <v>280674.43627295486</v>
      </c>
      <c r="Y38" s="24"/>
      <c r="Z38" s="24">
        <f t="shared" si="10"/>
        <v>-8106011.3462940268</v>
      </c>
      <c r="AA38" s="24"/>
      <c r="AB38" s="24">
        <f t="shared" si="11"/>
        <v>-71544863.607355878</v>
      </c>
      <c r="AC38" s="12"/>
      <c r="AD38" s="24"/>
      <c r="AE38" s="24"/>
      <c r="AF38" s="24">
        <f>BB38/100*AF25</f>
        <v>6197413542.9252882</v>
      </c>
      <c r="AG38" s="26">
        <f t="shared" si="18"/>
        <v>2.2041530021688046E-3</v>
      </c>
      <c r="AH38" s="26"/>
      <c r="AI38" s="26">
        <f t="shared" si="13"/>
        <v>-1.1544310075778072E-2</v>
      </c>
      <c r="AV38" s="23">
        <v>11693969</v>
      </c>
      <c r="AX38" s="23">
        <f t="shared" si="14"/>
        <v>3.5387406542310719E-3</v>
      </c>
      <c r="AY38" s="43">
        <v>6931.3371774517</v>
      </c>
      <c r="AZ38" s="26">
        <f t="shared" si="15"/>
        <v>-1.3298815461695464E-3</v>
      </c>
      <c r="BA38" s="23">
        <f t="shared" si="19"/>
        <v>103.11215554529545</v>
      </c>
      <c r="BB38" s="23">
        <f t="shared" si="20"/>
        <v>107.83690744293133</v>
      </c>
      <c r="BD38" s="26">
        <f t="shared" si="7"/>
        <v>1.1285771181094095E-2</v>
      </c>
    </row>
    <row r="39" spans="1:56" s="31" customFormat="1">
      <c r="A39" s="31">
        <f t="shared" si="16"/>
        <v>2021</v>
      </c>
      <c r="B39" s="31">
        <f t="shared" si="17"/>
        <v>2</v>
      </c>
      <c r="C39" s="32"/>
      <c r="D39" s="44">
        <v>112312359.24033821</v>
      </c>
      <c r="E39" s="32"/>
      <c r="F39" s="44">
        <v>20414100.758599527</v>
      </c>
      <c r="G39" s="44">
        <v>509237.07580067398</v>
      </c>
      <c r="H39" s="44">
        <v>2801672.1418273384</v>
      </c>
      <c r="I39" s="44">
        <v>15749.600282494968</v>
      </c>
      <c r="J39" s="44">
        <v>86649.653870948037</v>
      </c>
      <c r="K39" s="32"/>
      <c r="L39" s="44">
        <v>2702346.4328337</v>
      </c>
      <c r="M39" s="33"/>
      <c r="N39" s="44">
        <v>871971.84008680284</v>
      </c>
      <c r="O39" s="32"/>
      <c r="P39" s="44">
        <v>18819820.277260248</v>
      </c>
      <c r="Q39" s="33"/>
      <c r="R39" s="44">
        <v>19279327.582219366</v>
      </c>
      <c r="S39" s="33"/>
      <c r="T39" s="44">
        <v>73716179.982712165</v>
      </c>
      <c r="U39" s="32"/>
      <c r="V39" s="44">
        <v>115508.856578191</v>
      </c>
      <c r="W39" s="33"/>
      <c r="X39" s="44">
        <v>290124.94559699344</v>
      </c>
      <c r="Y39" s="32"/>
      <c r="Z39" s="32">
        <f t="shared" si="10"/>
        <v>-4593582.5927224737</v>
      </c>
      <c r="AA39" s="32"/>
      <c r="AB39" s="32">
        <f t="shared" si="11"/>
        <v>-57415999.534886286</v>
      </c>
      <c r="AC39" s="12"/>
      <c r="AD39" s="32"/>
      <c r="AE39" s="32"/>
      <c r="AF39" s="32">
        <f>BB39/100*AF25</f>
        <v>6238137796.0911493</v>
      </c>
      <c r="AG39" s="34">
        <f t="shared" si="18"/>
        <v>6.5711692279031885E-3</v>
      </c>
      <c r="AH39" s="34"/>
      <c r="AI39" s="34">
        <f t="shared" si="13"/>
        <v>-9.2040287360858654E-3</v>
      </c>
      <c r="AV39" s="31">
        <v>11758139</v>
      </c>
      <c r="AX39" s="31">
        <f t="shared" si="14"/>
        <v>5.4874439978419643E-3</v>
      </c>
      <c r="AY39" s="46">
        <v>6938.8078475452003</v>
      </c>
      <c r="AZ39" s="34">
        <f t="shared" si="15"/>
        <v>1.077810803635856E-3</v>
      </c>
      <c r="BA39" s="31">
        <f t="shared" si="19"/>
        <v>103.22329094052834</v>
      </c>
      <c r="BB39" s="31">
        <f t="shared" si="20"/>
        <v>108.54552201075256</v>
      </c>
      <c r="BD39" s="34">
        <f t="shared" ref="BD39:BD70" si="21">T46/AF46</f>
        <v>9.595518913874581E-3</v>
      </c>
    </row>
    <row r="40" spans="1:56" s="31" customFormat="1">
      <c r="A40" s="31">
        <f t="shared" si="16"/>
        <v>2021</v>
      </c>
      <c r="B40" s="31">
        <f t="shared" si="17"/>
        <v>3</v>
      </c>
      <c r="C40" s="32"/>
      <c r="D40" s="44">
        <v>112819987.24187079</v>
      </c>
      <c r="E40" s="32"/>
      <c r="F40" s="44">
        <v>20506368.156784952</v>
      </c>
      <c r="G40" s="44">
        <v>549578.44067164697</v>
      </c>
      <c r="H40" s="44">
        <v>3023618.428720512</v>
      </c>
      <c r="I40" s="44">
        <v>16997.271360979066</v>
      </c>
      <c r="J40" s="44">
        <v>93513.972022285481</v>
      </c>
      <c r="K40" s="32"/>
      <c r="L40" s="44">
        <v>2615884.9967258601</v>
      </c>
      <c r="M40" s="33"/>
      <c r="N40" s="44">
        <v>879173.58595982194</v>
      </c>
      <c r="O40" s="32"/>
      <c r="P40" s="44">
        <v>18410793.355211087</v>
      </c>
      <c r="Q40" s="33"/>
      <c r="R40" s="44">
        <v>16605525.811164256</v>
      </c>
      <c r="S40" s="33"/>
      <c r="T40" s="44">
        <v>63492667.168137982</v>
      </c>
      <c r="U40" s="32"/>
      <c r="V40" s="44">
        <v>117127.60442592</v>
      </c>
      <c r="W40" s="33"/>
      <c r="X40" s="44">
        <v>294190.77349253424</v>
      </c>
      <c r="Y40" s="32"/>
      <c r="Z40" s="32">
        <f t="shared" si="10"/>
        <v>-7278773.3238804564</v>
      </c>
      <c r="AA40" s="32"/>
      <c r="AB40" s="32">
        <f t="shared" si="11"/>
        <v>-67738113.428943902</v>
      </c>
      <c r="AC40" s="12"/>
      <c r="AD40" s="32"/>
      <c r="AE40" s="32"/>
      <c r="AF40" s="32">
        <f>BB40/100*AF25</f>
        <v>6294330904.2263136</v>
      </c>
      <c r="AG40" s="34">
        <f t="shared" si="18"/>
        <v>9.0079940475786165E-3</v>
      </c>
      <c r="AH40" s="34"/>
      <c r="AI40" s="34">
        <f t="shared" si="13"/>
        <v>-1.0761765541030152E-2</v>
      </c>
      <c r="AV40" s="31">
        <v>11749339</v>
      </c>
      <c r="AX40" s="31">
        <f t="shared" si="14"/>
        <v>-7.4841775556488998E-4</v>
      </c>
      <c r="AY40" s="46">
        <v>7006.5564185621997</v>
      </c>
      <c r="AZ40" s="34">
        <f t="shared" si="15"/>
        <v>9.7637191439113591E-3</v>
      </c>
      <c r="BA40" s="31">
        <f t="shared" si="19"/>
        <v>104.23113416238191</v>
      </c>
      <c r="BB40" s="31">
        <f t="shared" si="20"/>
        <v>109.52329942691675</v>
      </c>
      <c r="BD40" s="34">
        <f t="shared" si="21"/>
        <v>1.1282390682999239E-2</v>
      </c>
    </row>
    <row r="41" spans="1:56" s="31" customFormat="1">
      <c r="A41" s="31">
        <f t="shared" si="16"/>
        <v>2021</v>
      </c>
      <c r="B41" s="31">
        <f t="shared" si="17"/>
        <v>4</v>
      </c>
      <c r="C41" s="32"/>
      <c r="D41" s="44">
        <v>113758898.54247363</v>
      </c>
      <c r="E41" s="32"/>
      <c r="F41" s="44">
        <v>20677026.399773851</v>
      </c>
      <c r="G41" s="44">
        <v>584584.04423764697</v>
      </c>
      <c r="H41" s="44">
        <v>3216208.9312178246</v>
      </c>
      <c r="I41" s="44">
        <v>18079.918893948081</v>
      </c>
      <c r="J41" s="44">
        <v>99470.379316016493</v>
      </c>
      <c r="K41" s="32"/>
      <c r="L41" s="44">
        <v>2666907.1624659402</v>
      </c>
      <c r="M41" s="33"/>
      <c r="N41" s="44">
        <v>889627.65041205287</v>
      </c>
      <c r="O41" s="32"/>
      <c r="P41" s="44">
        <v>18733062.793954037</v>
      </c>
      <c r="Q41" s="33"/>
      <c r="R41" s="44">
        <v>19684825.295381073</v>
      </c>
      <c r="S41" s="33"/>
      <c r="T41" s="44">
        <v>75266635.634162083</v>
      </c>
      <c r="U41" s="32"/>
      <c r="V41" s="44">
        <v>116078.119983896</v>
      </c>
      <c r="W41" s="33"/>
      <c r="X41" s="44">
        <v>291554.77114893042</v>
      </c>
      <c r="Y41" s="32"/>
      <c r="Z41" s="32">
        <f t="shared" si="10"/>
        <v>-4432657.7972868755</v>
      </c>
      <c r="AA41" s="32"/>
      <c r="AB41" s="32">
        <f t="shared" si="11"/>
        <v>-57225325.702265583</v>
      </c>
      <c r="AC41" s="12"/>
      <c r="AD41" s="32"/>
      <c r="AE41" s="32"/>
      <c r="AF41" s="32">
        <f>BB41/100*AF25</f>
        <v>6342270173.4733124</v>
      </c>
      <c r="AG41" s="34">
        <f t="shared" si="18"/>
        <v>7.6162613590604333E-3</v>
      </c>
      <c r="AH41" s="34">
        <f>(AF41-AF37)/AF37</f>
        <v>2.5629395761845138E-2</v>
      </c>
      <c r="AI41" s="34">
        <f t="shared" si="13"/>
        <v>-9.0228457850332188E-3</v>
      </c>
      <c r="AV41" s="31">
        <v>11759353</v>
      </c>
      <c r="AX41" s="31">
        <f t="shared" si="14"/>
        <v>8.5230326574116215E-4</v>
      </c>
      <c r="AY41" s="46">
        <v>7053.9081145506998</v>
      </c>
      <c r="AZ41" s="34">
        <f t="shared" si="15"/>
        <v>6.758198059042677E-3</v>
      </c>
      <c r="BA41" s="31">
        <f t="shared" si="19"/>
        <v>104.93554881096995</v>
      </c>
      <c r="BB41" s="31">
        <f t="shared" si="20"/>
        <v>110.35745750025876</v>
      </c>
      <c r="BD41" s="34">
        <f t="shared" si="21"/>
        <v>9.5656491003949448E-3</v>
      </c>
    </row>
    <row r="42" spans="1:56" s="23" customFormat="1">
      <c r="A42" s="23">
        <f t="shared" si="16"/>
        <v>2022</v>
      </c>
      <c r="B42" s="23">
        <f t="shared" si="17"/>
        <v>1</v>
      </c>
      <c r="C42" s="24"/>
      <c r="D42" s="41">
        <v>113905220.9708616</v>
      </c>
      <c r="E42" s="24"/>
      <c r="F42" s="41">
        <v>20703622.233184874</v>
      </c>
      <c r="G42" s="41">
        <v>614766.10276262404</v>
      </c>
      <c r="H42" s="41">
        <v>3382261.7120752991</v>
      </c>
      <c r="I42" s="41">
        <v>19013.38462152495</v>
      </c>
      <c r="J42" s="41">
        <v>104606.03233222848</v>
      </c>
      <c r="K42" s="24"/>
      <c r="L42" s="41">
        <v>3222680.7592955101</v>
      </c>
      <c r="M42" s="25"/>
      <c r="N42" s="41">
        <v>892663.35622327775</v>
      </c>
      <c r="O42" s="24"/>
      <c r="P42" s="41">
        <v>21633676.187634543</v>
      </c>
      <c r="Q42" s="25"/>
      <c r="R42" s="41">
        <v>15868945.205812654</v>
      </c>
      <c r="S42" s="25"/>
      <c r="T42" s="41">
        <v>60676287.382882878</v>
      </c>
      <c r="U42" s="24"/>
      <c r="V42" s="41">
        <v>118437.423088065</v>
      </c>
      <c r="W42" s="25"/>
      <c r="X42" s="41">
        <v>297480.6603406436</v>
      </c>
      <c r="Y42" s="24"/>
      <c r="Z42" s="24">
        <f t="shared" si="10"/>
        <v>-8831583.719802944</v>
      </c>
      <c r="AA42" s="24"/>
      <c r="AB42" s="24">
        <f t="shared" si="11"/>
        <v>-74862609.775613263</v>
      </c>
      <c r="AC42" s="12"/>
      <c r="AD42" s="24"/>
      <c r="AE42" s="24"/>
      <c r="AF42" s="24">
        <f>BB42/100*AF25</f>
        <v>6386151229.7303972</v>
      </c>
      <c r="AG42" s="26">
        <f t="shared" si="18"/>
        <v>6.9188248145937315E-3</v>
      </c>
      <c r="AH42" s="26"/>
      <c r="AI42" s="26">
        <f t="shared" si="13"/>
        <v>-1.1722649070240343E-2</v>
      </c>
      <c r="AV42" s="23">
        <v>11857690</v>
      </c>
      <c r="AX42" s="23">
        <f t="shared" si="14"/>
        <v>8.3624498728799117E-3</v>
      </c>
      <c r="AY42" s="43">
        <v>7043.8093663135996</v>
      </c>
      <c r="AZ42" s="26">
        <f t="shared" si="15"/>
        <v>-1.4316529324033299E-3</v>
      </c>
      <c r="BA42" s="23">
        <f t="shared" si="19"/>
        <v>104.78531752480137</v>
      </c>
      <c r="BB42" s="23">
        <f t="shared" si="20"/>
        <v>111.12100141568703</v>
      </c>
      <c r="BD42" s="26">
        <f t="shared" si="21"/>
        <v>1.1341293969487734E-2</v>
      </c>
    </row>
    <row r="43" spans="1:56" s="31" customFormat="1">
      <c r="A43" s="31">
        <f t="shared" si="16"/>
        <v>2022</v>
      </c>
      <c r="B43" s="31">
        <f t="shared" si="17"/>
        <v>2</v>
      </c>
      <c r="C43" s="32"/>
      <c r="D43" s="44">
        <v>114190383.62316702</v>
      </c>
      <c r="E43" s="32"/>
      <c r="F43" s="44">
        <v>20755453.920775864</v>
      </c>
      <c r="G43" s="44">
        <v>628179.22847073397</v>
      </c>
      <c r="H43" s="44">
        <v>3456056.7722094301</v>
      </c>
      <c r="I43" s="44">
        <v>19428.22356095002</v>
      </c>
      <c r="J43" s="44">
        <v>106888.35377967026</v>
      </c>
      <c r="K43" s="32"/>
      <c r="L43" s="44">
        <v>2611280.2867049202</v>
      </c>
      <c r="M43" s="33"/>
      <c r="N43" s="44">
        <v>896938.62461525202</v>
      </c>
      <c r="O43" s="32"/>
      <c r="P43" s="44">
        <v>18484637.494170941</v>
      </c>
      <c r="Q43" s="33"/>
      <c r="R43" s="44">
        <v>18953700.651426766</v>
      </c>
      <c r="S43" s="33"/>
      <c r="T43" s="44">
        <v>72471117.190186992</v>
      </c>
      <c r="U43" s="32"/>
      <c r="V43" s="44">
        <v>116755.702917616</v>
      </c>
      <c r="W43" s="33"/>
      <c r="X43" s="44">
        <v>293256.66412585462</v>
      </c>
      <c r="Y43" s="32"/>
      <c r="Z43" s="32">
        <f t="shared" si="10"/>
        <v>-5193216.4777516536</v>
      </c>
      <c r="AA43" s="32"/>
      <c r="AB43" s="32">
        <f t="shared" si="11"/>
        <v>-60203903.927150972</v>
      </c>
      <c r="AC43" s="12"/>
      <c r="AD43" s="32"/>
      <c r="AE43" s="32"/>
      <c r="AF43" s="32">
        <f>BB43/100*AF25</f>
        <v>6437678023.9070816</v>
      </c>
      <c r="AG43" s="34">
        <f t="shared" si="18"/>
        <v>8.0685208231217661E-3</v>
      </c>
      <c r="AH43" s="34"/>
      <c r="AI43" s="34">
        <f t="shared" si="13"/>
        <v>-9.3518041293113186E-3</v>
      </c>
      <c r="AV43" s="31">
        <v>11867550</v>
      </c>
      <c r="AX43" s="31">
        <f t="shared" si="14"/>
        <v>8.3152789455619093E-4</v>
      </c>
      <c r="AY43" s="46">
        <v>7094.7430121404996</v>
      </c>
      <c r="AZ43" s="34">
        <f t="shared" si="15"/>
        <v>7.2309801668519894E-3</v>
      </c>
      <c r="BA43" s="31">
        <f t="shared" si="19"/>
        <v>105.54301807760049</v>
      </c>
      <c r="BB43" s="31">
        <f t="shared" si="20"/>
        <v>112.01758352949565</v>
      </c>
      <c r="BD43" s="34">
        <f t="shared" si="21"/>
        <v>9.6141033509197209E-3</v>
      </c>
    </row>
    <row r="44" spans="1:56" s="31" customFormat="1">
      <c r="A44" s="31">
        <f t="shared" si="16"/>
        <v>2022</v>
      </c>
      <c r="B44" s="31">
        <f t="shared" si="17"/>
        <v>3</v>
      </c>
      <c r="C44" s="32"/>
      <c r="D44" s="44">
        <v>114629047.08856124</v>
      </c>
      <c r="E44" s="32"/>
      <c r="F44" s="44">
        <v>20835186.198169407</v>
      </c>
      <c r="G44" s="44">
        <v>654959.74233089294</v>
      </c>
      <c r="H44" s="44">
        <v>3603395.2579390057</v>
      </c>
      <c r="I44" s="44">
        <v>20256.486876213108</v>
      </c>
      <c r="J44" s="44">
        <v>111445.21416306161</v>
      </c>
      <c r="K44" s="32"/>
      <c r="L44" s="44">
        <v>2584296.0993746901</v>
      </c>
      <c r="M44" s="33"/>
      <c r="N44" s="44">
        <v>903049.69321608916</v>
      </c>
      <c r="O44" s="32"/>
      <c r="P44" s="44">
        <v>18378237.714222018</v>
      </c>
      <c r="Q44" s="33"/>
      <c r="R44" s="44">
        <v>16254153.328948306</v>
      </c>
      <c r="S44" s="33"/>
      <c r="T44" s="44">
        <v>62149164.028334931</v>
      </c>
      <c r="U44" s="32"/>
      <c r="V44" s="44">
        <v>121803.058504706</v>
      </c>
      <c r="W44" s="33"/>
      <c r="X44" s="44">
        <v>305934.16616763012</v>
      </c>
      <c r="Y44" s="32"/>
      <c r="Z44" s="32">
        <f t="shared" si="10"/>
        <v>-7946575.6033071727</v>
      </c>
      <c r="AA44" s="32"/>
      <c r="AB44" s="32">
        <f t="shared" si="11"/>
        <v>-70858120.77444832</v>
      </c>
      <c r="AC44" s="12"/>
      <c r="AD44" s="32"/>
      <c r="AE44" s="32"/>
      <c r="AF44" s="32">
        <f>BB44/100*AF25</f>
        <v>6494489632.4742584</v>
      </c>
      <c r="AG44" s="34">
        <f t="shared" si="18"/>
        <v>8.8248601990034547E-3</v>
      </c>
      <c r="AH44" s="34"/>
      <c r="AI44" s="34">
        <f t="shared" si="13"/>
        <v>-1.0910498712652948E-2</v>
      </c>
      <c r="AV44" s="31">
        <v>11906136</v>
      </c>
      <c r="AX44" s="31">
        <f t="shared" si="14"/>
        <v>3.251387186066206E-3</v>
      </c>
      <c r="AY44" s="46">
        <v>7134.157220002</v>
      </c>
      <c r="AZ44" s="34">
        <f t="shared" si="15"/>
        <v>5.5554102233238067E-3</v>
      </c>
      <c r="BA44" s="31">
        <f t="shared" si="19"/>
        <v>106.12935283922924</v>
      </c>
      <c r="BB44" s="31">
        <f t="shared" si="20"/>
        <v>113.00612304397364</v>
      </c>
      <c r="BD44" s="34">
        <f t="shared" si="21"/>
        <v>1.134704984654171E-2</v>
      </c>
    </row>
    <row r="45" spans="1:56" s="31" customFormat="1">
      <c r="A45" s="31">
        <f t="shared" si="16"/>
        <v>2022</v>
      </c>
      <c r="B45" s="31">
        <f t="shared" si="17"/>
        <v>4</v>
      </c>
      <c r="C45" s="32"/>
      <c r="D45" s="44">
        <v>115298346.83473691</v>
      </c>
      <c r="E45" s="32"/>
      <c r="F45" s="44">
        <v>20956839.349688534</v>
      </c>
      <c r="G45" s="44">
        <v>694504.17578916601</v>
      </c>
      <c r="H45" s="44">
        <v>3820957.0633322843</v>
      </c>
      <c r="I45" s="44">
        <v>21479.510591418017</v>
      </c>
      <c r="J45" s="44">
        <v>118173.9297937848</v>
      </c>
      <c r="K45" s="32"/>
      <c r="L45" s="44">
        <v>2616662.99352253</v>
      </c>
      <c r="M45" s="33"/>
      <c r="N45" s="44">
        <v>910348.56713448092</v>
      </c>
      <c r="O45" s="32"/>
      <c r="P45" s="44">
        <v>18586345.932603929</v>
      </c>
      <c r="Q45" s="33"/>
      <c r="R45" s="44">
        <v>19238009.31628941</v>
      </c>
      <c r="S45" s="33"/>
      <c r="T45" s="44">
        <v>73558196.011804625</v>
      </c>
      <c r="U45" s="32"/>
      <c r="V45" s="44">
        <v>116502.053258414</v>
      </c>
      <c r="W45" s="33"/>
      <c r="X45" s="44">
        <v>292619.56931116513</v>
      </c>
      <c r="Y45" s="32"/>
      <c r="Z45" s="32">
        <f t="shared" si="10"/>
        <v>-5129339.5407977197</v>
      </c>
      <c r="AA45" s="32"/>
      <c r="AB45" s="32">
        <f t="shared" si="11"/>
        <v>-60326496.755536214</v>
      </c>
      <c r="AC45" s="12"/>
      <c r="AD45" s="32"/>
      <c r="AE45" s="32"/>
      <c r="AF45" s="32">
        <f>BB45/100*AF25</f>
        <v>6517781977.9856243</v>
      </c>
      <c r="AG45" s="34">
        <f t="shared" si="18"/>
        <v>3.5864782037525584E-3</v>
      </c>
      <c r="AH45" s="34">
        <f>(AF45-AF41)/AF41</f>
        <v>2.7673340887683088E-2</v>
      </c>
      <c r="AI45" s="34">
        <f t="shared" si="13"/>
        <v>-9.2556788427864273E-3</v>
      </c>
      <c r="AV45" s="31">
        <v>11880720</v>
      </c>
      <c r="AX45" s="31">
        <f t="shared" si="14"/>
        <v>-2.1346976046636794E-3</v>
      </c>
      <c r="AY45" s="46">
        <v>7175.0603034166998</v>
      </c>
      <c r="AZ45" s="34">
        <f t="shared" si="15"/>
        <v>5.7334149155025566E-3</v>
      </c>
      <c r="BA45" s="31">
        <f t="shared" si="19"/>
        <v>106.73783645377031</v>
      </c>
      <c r="BB45" s="31">
        <f t="shared" si="20"/>
        <v>113.41141704116141</v>
      </c>
      <c r="BD45" s="34">
        <f t="shared" si="21"/>
        <v>9.6007883690993126E-3</v>
      </c>
    </row>
    <row r="46" spans="1:56" s="23" customFormat="1">
      <c r="A46" s="23">
        <f t="shared" si="16"/>
        <v>2023</v>
      </c>
      <c r="B46" s="23">
        <f t="shared" si="17"/>
        <v>1</v>
      </c>
      <c r="C46" s="24"/>
      <c r="D46" s="41">
        <v>115690782.57446569</v>
      </c>
      <c r="E46" s="24"/>
      <c r="F46" s="41">
        <v>21028169.190734394</v>
      </c>
      <c r="G46" s="41">
        <v>726218.89197940601</v>
      </c>
      <c r="H46" s="41">
        <v>3995442.0744569167</v>
      </c>
      <c r="I46" s="41">
        <v>22460.378102455987</v>
      </c>
      <c r="J46" s="41">
        <v>123570.37343681257</v>
      </c>
      <c r="K46" s="24"/>
      <c r="L46" s="41">
        <v>3161159.7117467402</v>
      </c>
      <c r="M46" s="25"/>
      <c r="N46" s="41">
        <v>916763.85197184235</v>
      </c>
      <c r="O46" s="24"/>
      <c r="P46" s="41">
        <v>21447036.996257979</v>
      </c>
      <c r="Q46" s="25"/>
      <c r="R46" s="41">
        <v>16418238.498386178</v>
      </c>
      <c r="S46" s="25"/>
      <c r="T46" s="41">
        <v>62776557.895221218</v>
      </c>
      <c r="U46" s="24"/>
      <c r="V46" s="41">
        <v>114124.923627604</v>
      </c>
      <c r="W46" s="25"/>
      <c r="X46" s="41">
        <v>286648.90502406005</v>
      </c>
      <c r="Y46" s="24"/>
      <c r="Z46" s="24">
        <f t="shared" ref="Z46:Z77" si="22">R46+V46-N46-L46-F46</f>
        <v>-8573729.3324391954</v>
      </c>
      <c r="AA46" s="24"/>
      <c r="AB46" s="24">
        <f t="shared" ref="AB46:AB77" si="23">T46-P46-D46</f>
        <v>-74361261.675502449</v>
      </c>
      <c r="AC46" s="12"/>
      <c r="AD46" s="24"/>
      <c r="AE46" s="24"/>
      <c r="AF46" s="24">
        <f>BB46/100*AF25</f>
        <v>6542278584.2722731</v>
      </c>
      <c r="AG46" s="26">
        <f t="shared" si="18"/>
        <v>3.7584267730016393E-3</v>
      </c>
      <c r="AH46" s="26"/>
      <c r="AI46" s="26">
        <f t="shared" ref="AI46:AI77" si="24">AB46/AF46</f>
        <v>-1.1366263407716685E-2</v>
      </c>
      <c r="AV46" s="23">
        <v>11914866</v>
      </c>
      <c r="AX46" s="23">
        <f t="shared" si="14"/>
        <v>2.8740682382885885E-3</v>
      </c>
      <c r="AY46" s="43">
        <v>7181.3874445975998</v>
      </c>
      <c r="AZ46" s="26">
        <f t="shared" si="15"/>
        <v>8.8182411204086228E-4</v>
      </c>
      <c r="BA46" s="23">
        <f t="shared" si="19"/>
        <v>106.83196045162234</v>
      </c>
      <c r="BB46" s="23">
        <f t="shared" si="20"/>
        <v>113.83766554733299</v>
      </c>
      <c r="BD46" s="26">
        <f t="shared" si="21"/>
        <v>1.1350992319003782E-2</v>
      </c>
    </row>
    <row r="47" spans="1:56" s="31" customFormat="1">
      <c r="A47" s="31">
        <f t="shared" si="16"/>
        <v>2023</v>
      </c>
      <c r="B47" s="31">
        <f t="shared" si="17"/>
        <v>2</v>
      </c>
      <c r="C47" s="32"/>
      <c r="D47" s="44">
        <v>116046869.53978659</v>
      </c>
      <c r="E47" s="32"/>
      <c r="F47" s="44">
        <v>21092892.211762998</v>
      </c>
      <c r="G47" s="44">
        <v>751221.61802210205</v>
      </c>
      <c r="H47" s="44">
        <v>4132999.6961470176</v>
      </c>
      <c r="I47" s="44">
        <v>23233.658289343934</v>
      </c>
      <c r="J47" s="44">
        <v>127824.73287052946</v>
      </c>
      <c r="K47" s="32"/>
      <c r="L47" s="44">
        <v>2555038.8477878598</v>
      </c>
      <c r="M47" s="33"/>
      <c r="N47" s="44">
        <v>921795.10952805728</v>
      </c>
      <c r="O47" s="32"/>
      <c r="P47" s="44">
        <v>18329553.446411312</v>
      </c>
      <c r="Q47" s="33"/>
      <c r="R47" s="44">
        <v>19489352.102409028</v>
      </c>
      <c r="S47" s="33"/>
      <c r="T47" s="44">
        <v>74519226.93883954</v>
      </c>
      <c r="U47" s="32"/>
      <c r="V47" s="44">
        <v>117587.339699958</v>
      </c>
      <c r="W47" s="33"/>
      <c r="X47" s="44">
        <v>295345.4959555603</v>
      </c>
      <c r="Y47" s="32"/>
      <c r="Z47" s="32">
        <f t="shared" si="22"/>
        <v>-4962786.7269699313</v>
      </c>
      <c r="AA47" s="32"/>
      <c r="AB47" s="32">
        <f t="shared" si="23"/>
        <v>-59857196.047358364</v>
      </c>
      <c r="AC47" s="12"/>
      <c r="AD47" s="32"/>
      <c r="AE47" s="32"/>
      <c r="AF47" s="32">
        <f>BB47/100*AF25</f>
        <v>6604914599.4499302</v>
      </c>
      <c r="AG47" s="34">
        <f t="shared" si="18"/>
        <v>9.5740366862754767E-3</v>
      </c>
      <c r="AH47" s="34"/>
      <c r="AI47" s="34">
        <f t="shared" si="24"/>
        <v>-9.0625238443421182E-3</v>
      </c>
      <c r="AV47" s="31">
        <v>12020203</v>
      </c>
      <c r="AX47" s="31">
        <f t="shared" ref="AX47:AX78" si="25">(AV47-AV46)/AV46</f>
        <v>8.8408044202931031E-3</v>
      </c>
      <c r="AY47" s="46">
        <v>7186.6069251794997</v>
      </c>
      <c r="AZ47" s="34">
        <f t="shared" ref="AZ47:AZ78" si="26">(AY47-AY46)/AY46</f>
        <v>7.2680671000788526E-4</v>
      </c>
      <c r="BA47" s="31">
        <f t="shared" si="19"/>
        <v>106.90960663732187</v>
      </c>
      <c r="BB47" s="31">
        <f t="shared" si="20"/>
        <v>114.9275515335631</v>
      </c>
      <c r="BD47" s="34">
        <f t="shared" si="21"/>
        <v>9.6407886844210311E-3</v>
      </c>
    </row>
    <row r="48" spans="1:56" s="31" customFormat="1">
      <c r="A48" s="31">
        <f t="shared" si="16"/>
        <v>2023</v>
      </c>
      <c r="B48" s="31">
        <f t="shared" si="17"/>
        <v>3</v>
      </c>
      <c r="C48" s="32"/>
      <c r="D48" s="44">
        <v>116609383.62174964</v>
      </c>
      <c r="E48" s="32"/>
      <c r="F48" s="44">
        <v>21195135.804765545</v>
      </c>
      <c r="G48" s="44">
        <v>783237.492006858</v>
      </c>
      <c r="H48" s="44">
        <v>4309141.5886011627</v>
      </c>
      <c r="I48" s="44">
        <v>24223.839958976023</v>
      </c>
      <c r="J48" s="44">
        <v>133272.42026602101</v>
      </c>
      <c r="K48" s="32"/>
      <c r="L48" s="44">
        <v>2546583.0266748602</v>
      </c>
      <c r="M48" s="33"/>
      <c r="N48" s="44">
        <v>928188.05524872243</v>
      </c>
      <c r="O48" s="32"/>
      <c r="P48" s="44">
        <v>18320848.251589842</v>
      </c>
      <c r="Q48" s="33"/>
      <c r="R48" s="44">
        <v>16605158.301202102</v>
      </c>
      <c r="S48" s="33"/>
      <c r="T48" s="44">
        <v>63491261.961944975</v>
      </c>
      <c r="U48" s="32"/>
      <c r="V48" s="44">
        <v>117594.769274711</v>
      </c>
      <c r="W48" s="33"/>
      <c r="X48" s="44">
        <v>295364.15690533398</v>
      </c>
      <c r="Y48" s="32"/>
      <c r="Z48" s="32">
        <f t="shared" si="22"/>
        <v>-7947153.8162123151</v>
      </c>
      <c r="AA48" s="32"/>
      <c r="AB48" s="32">
        <f t="shared" si="23"/>
        <v>-71438969.911394507</v>
      </c>
      <c r="AC48" s="12"/>
      <c r="AD48" s="32"/>
      <c r="AE48" s="32"/>
      <c r="AF48" s="32">
        <f>BB48/100*AF25</f>
        <v>6637423273.1706161</v>
      </c>
      <c r="AG48" s="34">
        <f t="shared" si="18"/>
        <v>4.9218916052893918E-3</v>
      </c>
      <c r="AH48" s="34"/>
      <c r="AI48" s="34">
        <f t="shared" si="24"/>
        <v>-1.0763057736600997E-2</v>
      </c>
      <c r="AV48" s="31">
        <v>12067978</v>
      </c>
      <c r="AX48" s="31">
        <f t="shared" si="25"/>
        <v>3.9745584995527945E-3</v>
      </c>
      <c r="AY48" s="46">
        <v>7193.3880837262996</v>
      </c>
      <c r="AZ48" s="34">
        <f t="shared" si="26"/>
        <v>9.4358278077528817E-4</v>
      </c>
      <c r="BA48" s="31">
        <f t="shared" si="19"/>
        <v>107.01048470124431</v>
      </c>
      <c r="BB48" s="31">
        <f t="shared" si="20"/>
        <v>115.49321248467261</v>
      </c>
      <c r="BD48" s="34">
        <f t="shared" si="21"/>
        <v>1.1381481564452107E-2</v>
      </c>
    </row>
    <row r="49" spans="1:56" s="31" customFormat="1">
      <c r="A49" s="31">
        <f t="shared" si="16"/>
        <v>2023</v>
      </c>
      <c r="B49" s="31">
        <f t="shared" si="17"/>
        <v>4</v>
      </c>
      <c r="C49" s="32"/>
      <c r="D49" s="44">
        <v>116831208.09729163</v>
      </c>
      <c r="E49" s="32"/>
      <c r="F49" s="44">
        <v>21235455.028981533</v>
      </c>
      <c r="G49" s="44">
        <v>814351.16895466798</v>
      </c>
      <c r="H49" s="44">
        <v>4480319.8591491906</v>
      </c>
      <c r="I49" s="44">
        <v>25186.118627464049</v>
      </c>
      <c r="J49" s="44">
        <v>138566.59358193423</v>
      </c>
      <c r="K49" s="32"/>
      <c r="L49" s="44">
        <v>2538753.7564929998</v>
      </c>
      <c r="M49" s="33"/>
      <c r="N49" s="44">
        <v>932129.74929543585</v>
      </c>
      <c r="O49" s="32"/>
      <c r="P49" s="44">
        <v>18301908.169054642</v>
      </c>
      <c r="Q49" s="33"/>
      <c r="R49" s="44">
        <v>19853683.751452032</v>
      </c>
      <c r="S49" s="33"/>
      <c r="T49" s="44">
        <v>75912280.576198846</v>
      </c>
      <c r="U49" s="32"/>
      <c r="V49" s="44">
        <v>119072.80717166699</v>
      </c>
      <c r="W49" s="33"/>
      <c r="X49" s="44">
        <v>299076.56197233743</v>
      </c>
      <c r="Y49" s="32"/>
      <c r="Z49" s="32">
        <f t="shared" si="22"/>
        <v>-4733581.9761462677</v>
      </c>
      <c r="AA49" s="32"/>
      <c r="AB49" s="32">
        <f t="shared" si="23"/>
        <v>-59220835.69014743</v>
      </c>
      <c r="AC49" s="12"/>
      <c r="AD49" s="32"/>
      <c r="AE49" s="32"/>
      <c r="AF49" s="32">
        <f>BB49/100*AF25</f>
        <v>6693440870.1891422</v>
      </c>
      <c r="AG49" s="34">
        <f t="shared" si="18"/>
        <v>8.4396601984021366E-3</v>
      </c>
      <c r="AH49" s="34">
        <f>(AF49-AF45)/AF45</f>
        <v>2.6950716178727841E-2</v>
      </c>
      <c r="AI49" s="34">
        <f t="shared" si="24"/>
        <v>-8.847592268111569E-3</v>
      </c>
      <c r="AV49" s="31">
        <v>12049445</v>
      </c>
      <c r="AX49" s="31">
        <f t="shared" si="25"/>
        <v>-1.5357170853311135E-3</v>
      </c>
      <c r="AY49" s="46">
        <v>7265.2552113856</v>
      </c>
      <c r="AZ49" s="34">
        <f t="shared" si="26"/>
        <v>9.9907202034443844E-3</v>
      </c>
      <c r="BA49" s="31">
        <f t="shared" si="19"/>
        <v>108.07959651272941</v>
      </c>
      <c r="BB49" s="31">
        <f t="shared" si="20"/>
        <v>116.4679359532651</v>
      </c>
      <c r="BD49" s="34">
        <f t="shared" si="21"/>
        <v>9.6551078388680458E-3</v>
      </c>
    </row>
    <row r="50" spans="1:56" s="23" customFormat="1">
      <c r="A50" s="23">
        <f t="shared" ref="A50:A81" si="27">A46+1</f>
        <v>2024</v>
      </c>
      <c r="B50" s="23">
        <f t="shared" ref="B50:B81" si="28">B46</f>
        <v>1</v>
      </c>
      <c r="C50" s="24"/>
      <c r="D50" s="41">
        <v>117523671.19133256</v>
      </c>
      <c r="E50" s="24"/>
      <c r="F50" s="41">
        <v>21361318.393164929</v>
      </c>
      <c r="G50" s="41">
        <v>843632.27350836899</v>
      </c>
      <c r="H50" s="41">
        <v>4641415.8570811013</v>
      </c>
      <c r="I50" s="41">
        <v>26091.719799228013</v>
      </c>
      <c r="J50" s="41">
        <v>143548.94403343671</v>
      </c>
      <c r="K50" s="24"/>
      <c r="L50" s="41">
        <v>3115346.29246723</v>
      </c>
      <c r="M50" s="25"/>
      <c r="N50" s="41">
        <v>940292.13881507143</v>
      </c>
      <c r="O50" s="24"/>
      <c r="P50" s="41">
        <v>21338756.638073299</v>
      </c>
      <c r="Q50" s="25"/>
      <c r="R50" s="41">
        <v>17020278.888091855</v>
      </c>
      <c r="S50" s="25"/>
      <c r="T50" s="41">
        <v>65078511.505124912</v>
      </c>
      <c r="U50" s="24"/>
      <c r="V50" s="41">
        <v>123755.78460091801</v>
      </c>
      <c r="W50" s="25"/>
      <c r="X50" s="41">
        <v>310838.85113475932</v>
      </c>
      <c r="Y50" s="24"/>
      <c r="Z50" s="24">
        <f t="shared" si="22"/>
        <v>-8272922.1517544575</v>
      </c>
      <c r="AA50" s="24"/>
      <c r="AB50" s="24">
        <f t="shared" si="23"/>
        <v>-73783916.324280947</v>
      </c>
      <c r="AC50" s="12"/>
      <c r="AD50" s="24"/>
      <c r="AE50" s="24"/>
      <c r="AF50" s="24">
        <f>BB50/100*AF25</f>
        <v>6769067184.9184208</v>
      </c>
      <c r="AG50" s="26">
        <f t="shared" si="18"/>
        <v>1.1298570674777849E-2</v>
      </c>
      <c r="AH50" s="26"/>
      <c r="AI50" s="26">
        <f t="shared" si="24"/>
        <v>-1.0900160141514414E-2</v>
      </c>
      <c r="AV50" s="23">
        <v>12162033</v>
      </c>
      <c r="AX50" s="23">
        <f t="shared" si="25"/>
        <v>9.3438328487328668E-3</v>
      </c>
      <c r="AY50" s="43">
        <v>7279.3254109701002</v>
      </c>
      <c r="AZ50" s="26">
        <f t="shared" si="26"/>
        <v>1.9366421653640403E-3</v>
      </c>
      <c r="BA50" s="23">
        <f t="shared" si="19"/>
        <v>108.28890801655149</v>
      </c>
      <c r="BB50" s="23">
        <f t="shared" si="20"/>
        <v>117.78385715897858</v>
      </c>
      <c r="BD50" s="26">
        <f t="shared" si="21"/>
        <v>1.1425415052458003E-2</v>
      </c>
    </row>
    <row r="51" spans="1:56" s="31" customFormat="1">
      <c r="A51" s="31">
        <f t="shared" si="27"/>
        <v>2024</v>
      </c>
      <c r="B51" s="31">
        <f t="shared" si="28"/>
        <v>2</v>
      </c>
      <c r="C51" s="32"/>
      <c r="D51" s="44">
        <v>118052954.12105305</v>
      </c>
      <c r="E51" s="32"/>
      <c r="F51" s="44">
        <v>21457521.830882762</v>
      </c>
      <c r="G51" s="44">
        <v>876677.93536843802</v>
      </c>
      <c r="H51" s="44">
        <v>4823223.3385886746</v>
      </c>
      <c r="I51" s="44">
        <v>27113.750578404986</v>
      </c>
      <c r="J51" s="44">
        <v>149171.8558326377</v>
      </c>
      <c r="K51" s="32"/>
      <c r="L51" s="44">
        <v>2551665.4365745001</v>
      </c>
      <c r="M51" s="33"/>
      <c r="N51" s="44">
        <v>946413.50180189312</v>
      </c>
      <c r="O51" s="32"/>
      <c r="P51" s="44">
        <v>18447491.930279292</v>
      </c>
      <c r="Q51" s="33"/>
      <c r="R51" s="44">
        <v>20264945.259987444</v>
      </c>
      <c r="S51" s="33"/>
      <c r="T51" s="44">
        <v>77484774.598818079</v>
      </c>
      <c r="U51" s="32"/>
      <c r="V51" s="44">
        <v>120974.491198366</v>
      </c>
      <c r="W51" s="33"/>
      <c r="X51" s="44">
        <v>303853.04397668695</v>
      </c>
      <c r="Y51" s="32"/>
      <c r="Z51" s="32">
        <f t="shared" si="22"/>
        <v>-4569681.0180733465</v>
      </c>
      <c r="AA51" s="32"/>
      <c r="AB51" s="32">
        <f t="shared" si="23"/>
        <v>-59015671.452514268</v>
      </c>
      <c r="AC51" s="12"/>
      <c r="AD51" s="32"/>
      <c r="AE51" s="32"/>
      <c r="AF51" s="32">
        <f>BB51/100*AF25</f>
        <v>6828627321.3502674</v>
      </c>
      <c r="AG51" s="34">
        <f t="shared" si="18"/>
        <v>8.7988691506190788E-3</v>
      </c>
      <c r="AH51" s="34"/>
      <c r="AI51" s="34">
        <f t="shared" si="24"/>
        <v>-8.6423916074606817E-3</v>
      </c>
      <c r="AV51" s="31">
        <v>12217730</v>
      </c>
      <c r="AX51" s="31">
        <f t="shared" si="25"/>
        <v>4.5795797462480159E-3</v>
      </c>
      <c r="AY51" s="46">
        <v>7309.8989774617003</v>
      </c>
      <c r="AZ51" s="34">
        <f t="shared" si="26"/>
        <v>4.2000549179358132E-3</v>
      </c>
      <c r="BA51" s="31">
        <f t="shared" si="19"/>
        <v>108.74372737722429</v>
      </c>
      <c r="BB51" s="31">
        <f t="shared" si="20"/>
        <v>118.82022190617563</v>
      </c>
      <c r="BD51" s="34">
        <f t="shared" si="21"/>
        <v>9.7165290976886556E-3</v>
      </c>
    </row>
    <row r="52" spans="1:56" s="31" customFormat="1">
      <c r="A52" s="31">
        <f t="shared" si="27"/>
        <v>2024</v>
      </c>
      <c r="B52" s="31">
        <f t="shared" si="28"/>
        <v>3</v>
      </c>
      <c r="C52" s="32"/>
      <c r="D52" s="44">
        <v>118731555.62499672</v>
      </c>
      <c r="E52" s="32"/>
      <c r="F52" s="44">
        <v>21580865.68698322</v>
      </c>
      <c r="G52" s="44">
        <v>902257.92336148105</v>
      </c>
      <c r="H52" s="44">
        <v>4963956.8852097737</v>
      </c>
      <c r="I52" s="44">
        <v>27904.88422767492</v>
      </c>
      <c r="J52" s="44">
        <v>153524.43974875726</v>
      </c>
      <c r="K52" s="32"/>
      <c r="L52" s="44">
        <v>2480421.7268558601</v>
      </c>
      <c r="M52" s="33"/>
      <c r="N52" s="44">
        <v>953551.82643472403</v>
      </c>
      <c r="O52" s="32"/>
      <c r="P52" s="44">
        <v>18117080.937854495</v>
      </c>
      <c r="Q52" s="33"/>
      <c r="R52" s="44">
        <v>17234213.401176278</v>
      </c>
      <c r="S52" s="33"/>
      <c r="T52" s="44">
        <v>65896508.657971144</v>
      </c>
      <c r="U52" s="32"/>
      <c r="V52" s="44">
        <v>122477.890102748</v>
      </c>
      <c r="W52" s="33"/>
      <c r="X52" s="44">
        <v>307629.14858256321</v>
      </c>
      <c r="Y52" s="32"/>
      <c r="Z52" s="32">
        <f t="shared" si="22"/>
        <v>-7658147.9489947781</v>
      </c>
      <c r="AA52" s="32"/>
      <c r="AB52" s="32">
        <f t="shared" si="23"/>
        <v>-70952127.904880077</v>
      </c>
      <c r="AC52" s="12"/>
      <c r="AD52" s="32"/>
      <c r="AE52" s="32"/>
      <c r="AF52" s="32">
        <f>BB52/100*AF25</f>
        <v>6863655996.2161894</v>
      </c>
      <c r="AG52" s="34">
        <f t="shared" si="18"/>
        <v>5.1296802735744454E-3</v>
      </c>
      <c r="AH52" s="34"/>
      <c r="AI52" s="34">
        <f t="shared" si="24"/>
        <v>-1.0337366549837974E-2</v>
      </c>
      <c r="AV52" s="31">
        <v>12252663</v>
      </c>
      <c r="AX52" s="31">
        <f t="shared" si="25"/>
        <v>2.8592054334152088E-3</v>
      </c>
      <c r="AY52" s="46">
        <v>7326.4486004023001</v>
      </c>
      <c r="AZ52" s="34">
        <f t="shared" si="26"/>
        <v>2.2640015944989968E-3</v>
      </c>
      <c r="BA52" s="31">
        <f t="shared" si="19"/>
        <v>108.9899233493981</v>
      </c>
      <c r="BB52" s="31">
        <f t="shared" si="20"/>
        <v>119.42973165458947</v>
      </c>
      <c r="BD52" s="34">
        <f t="shared" si="21"/>
        <v>1.14599484648316E-2</v>
      </c>
    </row>
    <row r="53" spans="1:56" s="31" customFormat="1">
      <c r="A53" s="31">
        <f t="shared" si="27"/>
        <v>2024</v>
      </c>
      <c r="B53" s="31">
        <f t="shared" si="28"/>
        <v>4</v>
      </c>
      <c r="C53" s="32"/>
      <c r="D53" s="44">
        <v>118842447.55114108</v>
      </c>
      <c r="E53" s="32"/>
      <c r="F53" s="44">
        <v>21601021.60721264</v>
      </c>
      <c r="G53" s="44">
        <v>1001972.33895446</v>
      </c>
      <c r="H53" s="44">
        <v>5512556.1792933671</v>
      </c>
      <c r="I53" s="44">
        <v>30988.835225400049</v>
      </c>
      <c r="J53" s="44">
        <v>170491.42822559213</v>
      </c>
      <c r="K53" s="32"/>
      <c r="L53" s="44">
        <v>2491934.77217517</v>
      </c>
      <c r="M53" s="33"/>
      <c r="N53" s="44">
        <v>956974.28609450161</v>
      </c>
      <c r="O53" s="32"/>
      <c r="P53" s="44">
        <v>18195651.548006356</v>
      </c>
      <c r="Q53" s="33"/>
      <c r="R53" s="44">
        <v>20498807.190593962</v>
      </c>
      <c r="S53" s="33"/>
      <c r="T53" s="44">
        <v>78378965.959703192</v>
      </c>
      <c r="U53" s="32"/>
      <c r="V53" s="44">
        <v>123059.67103105399</v>
      </c>
      <c r="W53" s="33"/>
      <c r="X53" s="44">
        <v>309090.41454237199</v>
      </c>
      <c r="Y53" s="32"/>
      <c r="Z53" s="32">
        <f t="shared" si="22"/>
        <v>-4428063.8038572967</v>
      </c>
      <c r="AA53" s="32"/>
      <c r="AB53" s="32">
        <f t="shared" si="23"/>
        <v>-58659133.139444247</v>
      </c>
      <c r="AC53" s="12"/>
      <c r="AD53" s="32"/>
      <c r="AE53" s="32"/>
      <c r="AF53" s="32">
        <f>BB53/100*AF25</f>
        <v>6905032067.4150639</v>
      </c>
      <c r="AG53" s="34">
        <f t="shared" si="18"/>
        <v>6.0282845209148539E-3</v>
      </c>
      <c r="AH53" s="34">
        <f>(AF53-AF49)/AF49</f>
        <v>3.1611722778981166E-2</v>
      </c>
      <c r="AI53" s="34">
        <f t="shared" si="24"/>
        <v>-8.4951282726487918E-3</v>
      </c>
      <c r="AV53" s="31">
        <v>12245450</v>
      </c>
      <c r="AX53" s="31">
        <f t="shared" si="25"/>
        <v>-5.8868835289112255E-4</v>
      </c>
      <c r="AY53" s="46">
        <v>7374.9560678336002</v>
      </c>
      <c r="AZ53" s="34">
        <f t="shared" si="26"/>
        <v>6.620870503157076E-3</v>
      </c>
      <c r="BA53" s="31">
        <f t="shared" si="19"/>
        <v>109.71153151804349</v>
      </c>
      <c r="BB53" s="31">
        <f t="shared" si="20"/>
        <v>120.14968805725985</v>
      </c>
      <c r="BD53" s="34">
        <f t="shared" si="21"/>
        <v>9.7050075961086415E-3</v>
      </c>
    </row>
    <row r="54" spans="1:56" s="23" customFormat="1">
      <c r="A54" s="23">
        <f t="shared" si="27"/>
        <v>2025</v>
      </c>
      <c r="B54" s="23">
        <f t="shared" si="28"/>
        <v>1</v>
      </c>
      <c r="C54" s="24"/>
      <c r="D54" s="41">
        <v>119560772.89300141</v>
      </c>
      <c r="E54" s="24"/>
      <c r="F54" s="41">
        <v>21731585.741074458</v>
      </c>
      <c r="G54" s="41">
        <v>1111572.17191094</v>
      </c>
      <c r="H54" s="41">
        <v>6115542.1230412852</v>
      </c>
      <c r="I54" s="41">
        <v>34378.520780760096</v>
      </c>
      <c r="J54" s="41">
        <v>189140.47803225627</v>
      </c>
      <c r="K54" s="24"/>
      <c r="L54" s="41">
        <v>3021605.8547534798</v>
      </c>
      <c r="M54" s="25"/>
      <c r="N54" s="41">
        <v>966247.18748314306</v>
      </c>
      <c r="O54" s="24"/>
      <c r="P54" s="41">
        <v>20995134.080947675</v>
      </c>
      <c r="Q54" s="25"/>
      <c r="R54" s="41">
        <v>17530444.898667727</v>
      </c>
      <c r="S54" s="25"/>
      <c r="T54" s="41">
        <v>67029175.463517182</v>
      </c>
      <c r="U54" s="24"/>
      <c r="V54" s="41">
        <v>124622.358505248</v>
      </c>
      <c r="W54" s="25"/>
      <c r="X54" s="41">
        <v>313015.43494224706</v>
      </c>
      <c r="Y54" s="24"/>
      <c r="Z54" s="24">
        <f t="shared" si="22"/>
        <v>-8064371.5261381045</v>
      </c>
      <c r="AA54" s="24"/>
      <c r="AB54" s="24">
        <f t="shared" si="23"/>
        <v>-73526731.510431901</v>
      </c>
      <c r="AC54" s="12"/>
      <c r="AD54" s="24"/>
      <c r="AE54" s="24"/>
      <c r="AF54" s="24">
        <f>BB54/100*AF25</f>
        <v>6952665145.7294703</v>
      </c>
      <c r="AG54" s="26">
        <f t="shared" si="18"/>
        <v>6.898313845519634E-3</v>
      </c>
      <c r="AH54" s="26"/>
      <c r="AI54" s="26">
        <f t="shared" si="24"/>
        <v>-1.0575330462390262E-2</v>
      </c>
      <c r="AV54" s="23">
        <v>12251579</v>
      </c>
      <c r="AX54" s="23">
        <f t="shared" si="25"/>
        <v>5.0051243523104505E-4</v>
      </c>
      <c r="AY54" s="43">
        <v>7422.1159680486999</v>
      </c>
      <c r="AZ54" s="26">
        <f t="shared" si="26"/>
        <v>6.3946008330532274E-3</v>
      </c>
      <c r="BA54" s="23">
        <f t="shared" si="19"/>
        <v>110.41309296888433</v>
      </c>
      <c r="BB54" s="23">
        <f t="shared" si="20"/>
        <v>120.97851831392012</v>
      </c>
      <c r="BD54" s="26">
        <f t="shared" si="21"/>
        <v>1.1507946039971753E-2</v>
      </c>
    </row>
    <row r="55" spans="1:56" s="31" customFormat="1">
      <c r="A55" s="31">
        <f t="shared" si="27"/>
        <v>2025</v>
      </c>
      <c r="B55" s="31">
        <f t="shared" si="28"/>
        <v>2</v>
      </c>
      <c r="C55" s="32"/>
      <c r="D55" s="44">
        <v>119877243.08144581</v>
      </c>
      <c r="E55" s="32"/>
      <c r="F55" s="44">
        <v>21789107.94395306</v>
      </c>
      <c r="G55" s="44">
        <v>1202683.8673696399</v>
      </c>
      <c r="H55" s="44">
        <v>6616811.7891588639</v>
      </c>
      <c r="I55" s="44">
        <v>37196.408269169973</v>
      </c>
      <c r="J55" s="44">
        <v>204643.66358226512</v>
      </c>
      <c r="K55" s="32"/>
      <c r="L55" s="44">
        <v>2476390.0074937399</v>
      </c>
      <c r="M55" s="33"/>
      <c r="N55" s="44">
        <v>971219.19982462749</v>
      </c>
      <c r="O55" s="32"/>
      <c r="P55" s="44">
        <v>18193361.00259183</v>
      </c>
      <c r="Q55" s="33"/>
      <c r="R55" s="44">
        <v>20877578.713736355</v>
      </c>
      <c r="S55" s="33"/>
      <c r="T55" s="44">
        <v>79827231.70720996</v>
      </c>
      <c r="U55" s="32"/>
      <c r="V55" s="44">
        <v>124318.096612775</v>
      </c>
      <c r="W55" s="33"/>
      <c r="X55" s="44">
        <v>312251.21678949258</v>
      </c>
      <c r="Y55" s="32"/>
      <c r="Z55" s="32">
        <f t="shared" si="22"/>
        <v>-4234820.340922296</v>
      </c>
      <c r="AA55" s="32"/>
      <c r="AB55" s="32">
        <f t="shared" si="23"/>
        <v>-58243372.376827687</v>
      </c>
      <c r="AC55" s="12"/>
      <c r="AD55" s="32"/>
      <c r="AE55" s="32"/>
      <c r="AF55" s="32">
        <f>BB55/100*AF25</f>
        <v>7013782103.42449</v>
      </c>
      <c r="AG55" s="34">
        <f t="shared" si="18"/>
        <v>8.7904359571465262E-3</v>
      </c>
      <c r="AH55" s="34"/>
      <c r="AI55" s="34">
        <f t="shared" si="24"/>
        <v>-8.3041319958300774E-3</v>
      </c>
      <c r="AV55" s="31">
        <v>12327032</v>
      </c>
      <c r="AX55" s="31">
        <f t="shared" si="25"/>
        <v>6.1586347359797455E-3</v>
      </c>
      <c r="AY55" s="46">
        <v>7441.5299383651</v>
      </c>
      <c r="AZ55" s="34">
        <f t="shared" si="26"/>
        <v>2.6156921287642022E-3</v>
      </c>
      <c r="BA55" s="31">
        <f t="shared" si="19"/>
        <v>110.70189962707553</v>
      </c>
      <c r="BB55" s="31">
        <f t="shared" si="20"/>
        <v>122.04197223134912</v>
      </c>
      <c r="BD55" s="34">
        <f t="shared" si="21"/>
        <v>9.7352436858873792E-3</v>
      </c>
    </row>
    <row r="56" spans="1:56" s="31" customFormat="1">
      <c r="A56" s="31">
        <f t="shared" si="27"/>
        <v>2025</v>
      </c>
      <c r="B56" s="31">
        <f t="shared" si="28"/>
        <v>3</v>
      </c>
      <c r="C56" s="32"/>
      <c r="D56" s="44">
        <v>120716249.19980666</v>
      </c>
      <c r="E56" s="32"/>
      <c r="F56" s="44">
        <v>21941607.237469353</v>
      </c>
      <c r="G56" s="44">
        <v>1299345.21554535</v>
      </c>
      <c r="H56" s="44">
        <v>7148614.0071131624</v>
      </c>
      <c r="I56" s="44">
        <v>40185.934501399985</v>
      </c>
      <c r="J56" s="44">
        <v>221091.15485915574</v>
      </c>
      <c r="K56" s="32"/>
      <c r="L56" s="44">
        <v>2448243.63556235</v>
      </c>
      <c r="M56" s="33"/>
      <c r="N56" s="44">
        <v>981394.84929599613</v>
      </c>
      <c r="O56" s="32"/>
      <c r="P56" s="44">
        <v>18103292.765927121</v>
      </c>
      <c r="Q56" s="33"/>
      <c r="R56" s="44">
        <v>17926734.261810478</v>
      </c>
      <c r="S56" s="33"/>
      <c r="T56" s="44">
        <v>68544422.190566286</v>
      </c>
      <c r="U56" s="32"/>
      <c r="V56" s="44">
        <v>127498.81174232</v>
      </c>
      <c r="W56" s="33"/>
      <c r="X56" s="44">
        <v>320240.25616929203</v>
      </c>
      <c r="Y56" s="32"/>
      <c r="Z56" s="32">
        <f t="shared" si="22"/>
        <v>-7317012.6487748995</v>
      </c>
      <c r="AA56" s="32"/>
      <c r="AB56" s="32">
        <f t="shared" si="23"/>
        <v>-70275119.775167495</v>
      </c>
      <c r="AC56" s="12"/>
      <c r="AD56" s="32"/>
      <c r="AE56" s="32"/>
      <c r="AF56" s="32">
        <f>BB56/100*AF25</f>
        <v>7099291207.7719851</v>
      </c>
      <c r="AG56" s="34">
        <f t="shared" si="18"/>
        <v>1.2191582670602944E-2</v>
      </c>
      <c r="AH56" s="34"/>
      <c r="AI56" s="34">
        <f t="shared" si="24"/>
        <v>-9.8988923990374483E-3</v>
      </c>
      <c r="AV56" s="31">
        <v>12417548</v>
      </c>
      <c r="AX56" s="31">
        <f t="shared" si="25"/>
        <v>7.3428867548976911E-3</v>
      </c>
      <c r="AY56" s="46">
        <v>7477.3486415030002</v>
      </c>
      <c r="AZ56" s="34">
        <f t="shared" si="26"/>
        <v>4.8133520169334398E-3</v>
      </c>
      <c r="BA56" s="31">
        <f t="shared" si="19"/>
        <v>111.23474683892387</v>
      </c>
      <c r="BB56" s="31">
        <f t="shared" si="20"/>
        <v>123.52985702509103</v>
      </c>
      <c r="BD56" s="34">
        <f t="shared" si="21"/>
        <v>1.1511244826762622E-2</v>
      </c>
    </row>
    <row r="57" spans="1:56" s="31" customFormat="1">
      <c r="A57" s="31">
        <f t="shared" si="27"/>
        <v>2025</v>
      </c>
      <c r="B57" s="31">
        <f t="shared" si="28"/>
        <v>4</v>
      </c>
      <c r="C57" s="32"/>
      <c r="D57" s="44">
        <v>121373085.36486973</v>
      </c>
      <c r="E57" s="32"/>
      <c r="F57" s="44">
        <v>22060994.985587049</v>
      </c>
      <c r="G57" s="44">
        <v>1374536.42332435</v>
      </c>
      <c r="H57" s="44">
        <v>7562293.8473203061</v>
      </c>
      <c r="I57" s="44">
        <v>42511.435772920027</v>
      </c>
      <c r="J57" s="44">
        <v>233885.37672125749</v>
      </c>
      <c r="K57" s="32"/>
      <c r="L57" s="44">
        <v>2475197.4087567702</v>
      </c>
      <c r="M57" s="33"/>
      <c r="N57" s="44">
        <v>989309.93021368235</v>
      </c>
      <c r="O57" s="32"/>
      <c r="P57" s="44">
        <v>18286702.463048507</v>
      </c>
      <c r="Q57" s="33"/>
      <c r="R57" s="44">
        <v>21501862.260367863</v>
      </c>
      <c r="S57" s="33"/>
      <c r="T57" s="44">
        <v>82214233.955471799</v>
      </c>
      <c r="U57" s="32"/>
      <c r="V57" s="44">
        <v>126746.329794053</v>
      </c>
      <c r="W57" s="33"/>
      <c r="X57" s="44">
        <v>318350.23846181086</v>
      </c>
      <c r="Y57" s="32"/>
      <c r="Z57" s="32">
        <f t="shared" si="22"/>
        <v>-3896893.734395586</v>
      </c>
      <c r="AA57" s="32"/>
      <c r="AB57" s="32">
        <f t="shared" si="23"/>
        <v>-57445553.872446433</v>
      </c>
      <c r="AC57" s="12"/>
      <c r="AD57" s="32"/>
      <c r="AE57" s="32"/>
      <c r="AF57" s="32">
        <f>BB57/100*AF25</f>
        <v>7195732809.53016</v>
      </c>
      <c r="AG57" s="34">
        <f t="shared" si="18"/>
        <v>1.3584680348454359E-2</v>
      </c>
      <c r="AH57" s="34">
        <f>(AF57-AF53)/AF53</f>
        <v>4.2099839548452887E-2</v>
      </c>
      <c r="AI57" s="34">
        <f t="shared" si="24"/>
        <v>-7.9832805626640965E-3</v>
      </c>
      <c r="AV57" s="31">
        <v>12512543</v>
      </c>
      <c r="AX57" s="31">
        <f t="shared" si="25"/>
        <v>7.6500610265408274E-3</v>
      </c>
      <c r="AY57" s="46">
        <v>7521.3869633777003</v>
      </c>
      <c r="AZ57" s="34">
        <f t="shared" si="26"/>
        <v>5.8895637994282619E-3</v>
      </c>
      <c r="BA57" s="31">
        <f t="shared" si="19"/>
        <v>111.88987097714497</v>
      </c>
      <c r="BB57" s="31">
        <f t="shared" si="20"/>
        <v>125.20797064626717</v>
      </c>
      <c r="BD57" s="34">
        <f t="shared" si="21"/>
        <v>9.747158326935507E-3</v>
      </c>
    </row>
    <row r="58" spans="1:56" s="23" customFormat="1">
      <c r="A58" s="23">
        <f t="shared" si="27"/>
        <v>2026</v>
      </c>
      <c r="B58" s="23">
        <f t="shared" si="28"/>
        <v>1</v>
      </c>
      <c r="C58" s="24"/>
      <c r="D58" s="41">
        <v>121460173.15802465</v>
      </c>
      <c r="E58" s="24"/>
      <c r="F58" s="41">
        <v>22076824.22287076</v>
      </c>
      <c r="G58" s="41">
        <v>1452320.9306900401</v>
      </c>
      <c r="H58" s="41">
        <v>7990241.2567063384</v>
      </c>
      <c r="I58" s="41">
        <v>44917.142186289886</v>
      </c>
      <c r="J58" s="41">
        <v>247120.8636094743</v>
      </c>
      <c r="K58" s="24"/>
      <c r="L58" s="41">
        <v>3016515.3628561902</v>
      </c>
      <c r="M58" s="25"/>
      <c r="N58" s="41">
        <v>992048.83965890855</v>
      </c>
      <c r="O58" s="24"/>
      <c r="P58" s="41">
        <v>21110672.571846388</v>
      </c>
      <c r="Q58" s="25"/>
      <c r="R58" s="41">
        <v>18386598.474957038</v>
      </c>
      <c r="S58" s="25"/>
      <c r="T58" s="41">
        <v>70302752.866745278</v>
      </c>
      <c r="U58" s="24"/>
      <c r="V58" s="41">
        <v>123548.778980374</v>
      </c>
      <c r="W58" s="25"/>
      <c r="X58" s="41">
        <v>310318.91269732924</v>
      </c>
      <c r="Y58" s="24"/>
      <c r="Z58" s="24">
        <f t="shared" si="22"/>
        <v>-7575241.1714484468</v>
      </c>
      <c r="AA58" s="24"/>
      <c r="AB58" s="24">
        <f t="shared" si="23"/>
        <v>-72268092.863125771</v>
      </c>
      <c r="AC58" s="12"/>
      <c r="AD58" s="24"/>
      <c r="AE58" s="24"/>
      <c r="AF58" s="24">
        <f>BB58/100*AF25</f>
        <v>7235377176.3487768</v>
      </c>
      <c r="AG58" s="26">
        <f t="shared" si="18"/>
        <v>5.5094273047647272E-3</v>
      </c>
      <c r="AH58" s="26"/>
      <c r="AI58" s="26">
        <f t="shared" si="24"/>
        <v>-9.9881583367012212E-3</v>
      </c>
      <c r="AV58" s="23">
        <v>12560336</v>
      </c>
      <c r="AX58" s="23">
        <f t="shared" si="25"/>
        <v>3.8196072532977509E-3</v>
      </c>
      <c r="AY58" s="43">
        <v>7534.0483921979003</v>
      </c>
      <c r="AZ58" s="26">
        <f t="shared" si="26"/>
        <v>1.6833901621934309E-3</v>
      </c>
      <c r="BA58" s="23">
        <f t="shared" ref="BA58:BA89" si="29">BA57*((1+AZ58))</f>
        <v>112.07822528519698</v>
      </c>
      <c r="BB58" s="23">
        <f t="shared" si="20"/>
        <v>125.89779485851989</v>
      </c>
      <c r="BD58" s="26">
        <f t="shared" si="21"/>
        <v>1.1506819254784154E-2</v>
      </c>
    </row>
    <row r="59" spans="1:56" s="31" customFormat="1">
      <c r="A59" s="31">
        <f t="shared" si="27"/>
        <v>2026</v>
      </c>
      <c r="B59" s="31">
        <f t="shared" si="28"/>
        <v>2</v>
      </c>
      <c r="C59" s="32"/>
      <c r="D59" s="44">
        <v>121653419.4503163</v>
      </c>
      <c r="E59" s="32"/>
      <c r="F59" s="44">
        <v>22111949.02399461</v>
      </c>
      <c r="G59" s="44">
        <v>1539061.38957269</v>
      </c>
      <c r="H59" s="44">
        <v>8467461.6689057872</v>
      </c>
      <c r="I59" s="44">
        <v>47599.836790899979</v>
      </c>
      <c r="J59" s="44">
        <v>261880.25780116615</v>
      </c>
      <c r="K59" s="32"/>
      <c r="L59" s="44">
        <v>2463577.3748178901</v>
      </c>
      <c r="M59" s="33"/>
      <c r="N59" s="44">
        <v>995868.59382259846</v>
      </c>
      <c r="O59" s="32"/>
      <c r="P59" s="44">
        <v>18262489.883757982</v>
      </c>
      <c r="Q59" s="33"/>
      <c r="R59" s="44">
        <v>21830530.548787266</v>
      </c>
      <c r="S59" s="33"/>
      <c r="T59" s="44">
        <v>83470925.642482683</v>
      </c>
      <c r="U59" s="32"/>
      <c r="V59" s="44">
        <v>125966.708430333</v>
      </c>
      <c r="W59" s="33"/>
      <c r="X59" s="44">
        <v>316392.05436722236</v>
      </c>
      <c r="Y59" s="32"/>
      <c r="Z59" s="32">
        <f t="shared" si="22"/>
        <v>-3614897.7354175001</v>
      </c>
      <c r="AA59" s="32"/>
      <c r="AB59" s="32">
        <f t="shared" si="23"/>
        <v>-56444983.691591591</v>
      </c>
      <c r="AC59" s="12"/>
      <c r="AD59" s="32"/>
      <c r="AE59" s="32"/>
      <c r="AF59" s="32">
        <f>BB59/100*AF25</f>
        <v>7283708639.5841188</v>
      </c>
      <c r="AG59" s="34">
        <f t="shared" si="18"/>
        <v>6.6798816505833861E-3</v>
      </c>
      <c r="AH59" s="34"/>
      <c r="AI59" s="34">
        <f t="shared" si="24"/>
        <v>-7.7494840176383631E-3</v>
      </c>
      <c r="AV59" s="31">
        <v>12554154</v>
      </c>
      <c r="AX59" s="31">
        <f t="shared" si="25"/>
        <v>-4.9218428551592883E-4</v>
      </c>
      <c r="AY59" s="46">
        <v>7588.1096921547996</v>
      </c>
      <c r="AZ59" s="34">
        <f t="shared" si="26"/>
        <v>7.1755976525030123E-3</v>
      </c>
      <c r="BA59" s="31">
        <f t="shared" si="29"/>
        <v>112.88245353545014</v>
      </c>
      <c r="BB59" s="31">
        <f t="shared" si="20"/>
        <v>126.73877722824422</v>
      </c>
      <c r="BD59" s="34">
        <f t="shared" si="21"/>
        <v>9.7446715242768007E-3</v>
      </c>
    </row>
    <row r="60" spans="1:56" s="31" customFormat="1">
      <c r="A60" s="31">
        <f t="shared" si="27"/>
        <v>2026</v>
      </c>
      <c r="B60" s="31">
        <f t="shared" si="28"/>
        <v>3</v>
      </c>
      <c r="C60" s="32"/>
      <c r="D60" s="44">
        <v>121874638.17419831</v>
      </c>
      <c r="E60" s="32"/>
      <c r="F60" s="44">
        <v>22152158.14567598</v>
      </c>
      <c r="G60" s="44">
        <v>1649551.0185150199</v>
      </c>
      <c r="H60" s="44">
        <v>9075343.0076355934</v>
      </c>
      <c r="I60" s="44">
        <v>51017.041809740011</v>
      </c>
      <c r="J60" s="44">
        <v>280680.71157634276</v>
      </c>
      <c r="K60" s="32"/>
      <c r="L60" s="44">
        <v>2399183.4837239799</v>
      </c>
      <c r="M60" s="33"/>
      <c r="N60" s="44">
        <v>999795.03649546206</v>
      </c>
      <c r="O60" s="32"/>
      <c r="P60" s="44">
        <v>17949951.80585422</v>
      </c>
      <c r="Q60" s="33"/>
      <c r="R60" s="44">
        <v>18651734.17767838</v>
      </c>
      <c r="S60" s="33"/>
      <c r="T60" s="44">
        <v>71316522.205862418</v>
      </c>
      <c r="U60" s="32"/>
      <c r="V60" s="44">
        <v>125635.698321744</v>
      </c>
      <c r="W60" s="33"/>
      <c r="X60" s="44">
        <v>315560.65240730916</v>
      </c>
      <c r="Y60" s="32"/>
      <c r="Z60" s="32">
        <f t="shared" si="22"/>
        <v>-6773766.7898952961</v>
      </c>
      <c r="AA60" s="32"/>
      <c r="AB60" s="32">
        <f t="shared" si="23"/>
        <v>-68508067.774190113</v>
      </c>
      <c r="AC60" s="12"/>
      <c r="AD60" s="32"/>
      <c r="AE60" s="32"/>
      <c r="AF60" s="32">
        <f>BB60/100*AF25</f>
        <v>7348425181.4967947</v>
      </c>
      <c r="AG60" s="34">
        <f t="shared" si="18"/>
        <v>8.8851085504665396E-3</v>
      </c>
      <c r="AH60" s="34"/>
      <c r="AI60" s="34">
        <f t="shared" si="24"/>
        <v>-9.3228230650959365E-3</v>
      </c>
      <c r="AV60" s="31">
        <v>12653475</v>
      </c>
      <c r="AX60" s="31">
        <f t="shared" si="25"/>
        <v>7.9114052607607011E-3</v>
      </c>
      <c r="AY60" s="46">
        <v>7595.4402643968997</v>
      </c>
      <c r="AZ60" s="34">
        <f t="shared" si="26"/>
        <v>9.6606039441931083E-4</v>
      </c>
      <c r="BA60" s="31">
        <f t="shared" si="29"/>
        <v>112.99150480303561</v>
      </c>
      <c r="BB60" s="31">
        <f t="shared" si="20"/>
        <v>127.86486502147056</v>
      </c>
      <c r="BD60" s="34">
        <f t="shared" si="21"/>
        <v>1.153330541560223E-2</v>
      </c>
    </row>
    <row r="61" spans="1:56" s="31" customFormat="1">
      <c r="A61" s="31">
        <f t="shared" si="27"/>
        <v>2026</v>
      </c>
      <c r="B61" s="31">
        <f t="shared" si="28"/>
        <v>4</v>
      </c>
      <c r="C61" s="32"/>
      <c r="D61" s="44">
        <v>121876444.1443134</v>
      </c>
      <c r="E61" s="32"/>
      <c r="F61" s="44">
        <v>22152486.402122069</v>
      </c>
      <c r="G61" s="44">
        <v>1730218.52436483</v>
      </c>
      <c r="H61" s="44">
        <v>9519151.8240591828</v>
      </c>
      <c r="I61" s="44">
        <v>53511.913124690065</v>
      </c>
      <c r="J61" s="44">
        <v>294406.75744515471</v>
      </c>
      <c r="K61" s="32"/>
      <c r="L61" s="44">
        <v>2391426.8378760298</v>
      </c>
      <c r="M61" s="33"/>
      <c r="N61" s="44">
        <v>1001341.5304178111</v>
      </c>
      <c r="O61" s="32"/>
      <c r="P61" s="44">
        <v>17918210.886946954</v>
      </c>
      <c r="Q61" s="33"/>
      <c r="R61" s="44">
        <v>22193264.101268955</v>
      </c>
      <c r="S61" s="33"/>
      <c r="T61" s="44">
        <v>84857868.819130063</v>
      </c>
      <c r="U61" s="32"/>
      <c r="V61" s="44">
        <v>128950.43866121001</v>
      </c>
      <c r="W61" s="33"/>
      <c r="X61" s="44">
        <v>323886.32447389001</v>
      </c>
      <c r="Y61" s="32"/>
      <c r="Z61" s="32">
        <f t="shared" si="22"/>
        <v>-3223040.2304857448</v>
      </c>
      <c r="AA61" s="32"/>
      <c r="AB61" s="32">
        <f t="shared" si="23"/>
        <v>-54936786.212130286</v>
      </c>
      <c r="AC61" s="12"/>
      <c r="AD61" s="32"/>
      <c r="AE61" s="32"/>
      <c r="AF61" s="32">
        <f>BB61/100*AF25</f>
        <v>7373850079.2742987</v>
      </c>
      <c r="AG61" s="34">
        <f t="shared" si="18"/>
        <v>3.4599110897289139E-3</v>
      </c>
      <c r="AH61" s="34">
        <f>(AF61-AF57)/AF57</f>
        <v>2.475318003862469E-2</v>
      </c>
      <c r="AI61" s="34">
        <f t="shared" si="24"/>
        <v>-7.4502174063100718E-3</v>
      </c>
      <c r="AV61" s="31">
        <v>12613364</v>
      </c>
      <c r="AX61" s="31">
        <f t="shared" si="25"/>
        <v>-3.1699592404458065E-3</v>
      </c>
      <c r="AY61" s="46">
        <v>7645.9571850297998</v>
      </c>
      <c r="AZ61" s="34">
        <f t="shared" si="26"/>
        <v>6.6509535819397692E-3</v>
      </c>
      <c r="BA61" s="31">
        <f t="shared" si="29"/>
        <v>113.74300605663412</v>
      </c>
      <c r="BB61" s="31">
        <f t="shared" si="20"/>
        <v>128.30726608594506</v>
      </c>
      <c r="BD61" s="34">
        <f t="shared" si="21"/>
        <v>9.7541210921951518E-3</v>
      </c>
    </row>
    <row r="62" spans="1:56" s="23" customFormat="1">
      <c r="A62" s="23">
        <f t="shared" si="27"/>
        <v>2027</v>
      </c>
      <c r="B62" s="23">
        <f t="shared" si="28"/>
        <v>1</v>
      </c>
      <c r="C62" s="24"/>
      <c r="D62" s="41">
        <v>121855106.95110628</v>
      </c>
      <c r="E62" s="24"/>
      <c r="F62" s="41">
        <v>22148608.11468352</v>
      </c>
      <c r="G62" s="41">
        <v>1810540.6156379799</v>
      </c>
      <c r="H62" s="41">
        <v>9961060.2713957652</v>
      </c>
      <c r="I62" s="41">
        <v>55996.101514579961</v>
      </c>
      <c r="J62" s="41">
        <v>308074.02901225811</v>
      </c>
      <c r="K62" s="24"/>
      <c r="L62" s="41">
        <v>2908468.9779005498</v>
      </c>
      <c r="M62" s="25"/>
      <c r="N62" s="41">
        <v>1003333.3044098206</v>
      </c>
      <c r="O62" s="24"/>
      <c r="P62" s="41">
        <v>20612103.162284814</v>
      </c>
      <c r="Q62" s="25"/>
      <c r="R62" s="41">
        <v>18875148.098278128</v>
      </c>
      <c r="S62" s="25"/>
      <c r="T62" s="41">
        <v>72170764.694939852</v>
      </c>
      <c r="U62" s="24"/>
      <c r="V62" s="41">
        <v>126356.524275106</v>
      </c>
      <c r="W62" s="25"/>
      <c r="X62" s="41">
        <v>317371.15938226559</v>
      </c>
      <c r="Y62" s="24"/>
      <c r="Z62" s="24">
        <f t="shared" si="22"/>
        <v>-7058905.7744406573</v>
      </c>
      <c r="AA62" s="24"/>
      <c r="AB62" s="24">
        <f t="shared" si="23"/>
        <v>-70296445.41845125</v>
      </c>
      <c r="AC62" s="12"/>
      <c r="AD62" s="24"/>
      <c r="AE62" s="24"/>
      <c r="AF62" s="24">
        <f>BB62/100*AF25</f>
        <v>7413349580.5104132</v>
      </c>
      <c r="AG62" s="26">
        <f t="shared" si="18"/>
        <v>5.35669979881146E-3</v>
      </c>
      <c r="AH62" s="26"/>
      <c r="AI62" s="26">
        <f t="shared" si="24"/>
        <v>-9.48241340233834E-3</v>
      </c>
      <c r="AV62" s="23">
        <v>12620468</v>
      </c>
      <c r="AX62" s="23">
        <f t="shared" si="25"/>
        <v>5.6321216132349786E-4</v>
      </c>
      <c r="AY62" s="43">
        <v>7682.5873557154</v>
      </c>
      <c r="AZ62" s="26">
        <f t="shared" si="26"/>
        <v>4.7907894066316877E-3</v>
      </c>
      <c r="BA62" s="23">
        <f t="shared" si="29"/>
        <v>114.28792484512869</v>
      </c>
      <c r="BB62" s="23">
        <f t="shared" si="20"/>
        <v>128.99456959237367</v>
      </c>
      <c r="BD62" s="26">
        <f t="shared" si="21"/>
        <v>1.1606460283547879E-2</v>
      </c>
    </row>
    <row r="63" spans="1:56" s="31" customFormat="1">
      <c r="A63" s="31">
        <f t="shared" si="27"/>
        <v>2027</v>
      </c>
      <c r="B63" s="31">
        <f t="shared" si="28"/>
        <v>2</v>
      </c>
      <c r="C63" s="32"/>
      <c r="D63" s="44">
        <v>121955237.66027947</v>
      </c>
      <c r="E63" s="32"/>
      <c r="F63" s="44">
        <v>22166808.056345481</v>
      </c>
      <c r="G63" s="44">
        <v>1898189.84362222</v>
      </c>
      <c r="H63" s="44">
        <v>10443280.463061931</v>
      </c>
      <c r="I63" s="44">
        <v>58706.902380069951</v>
      </c>
      <c r="J63" s="44">
        <v>322988.05555862351</v>
      </c>
      <c r="K63" s="32"/>
      <c r="L63" s="44">
        <v>2312715.1714886101</v>
      </c>
      <c r="M63" s="33"/>
      <c r="N63" s="44">
        <v>1005830.3735279292</v>
      </c>
      <c r="O63" s="32"/>
      <c r="P63" s="44">
        <v>17534471.966252148</v>
      </c>
      <c r="Q63" s="33"/>
      <c r="R63" s="44">
        <v>22535980.867954738</v>
      </c>
      <c r="S63" s="33"/>
      <c r="T63" s="44">
        <v>86168276.080397934</v>
      </c>
      <c r="U63" s="32"/>
      <c r="V63" s="44">
        <v>134251.13430366101</v>
      </c>
      <c r="W63" s="33"/>
      <c r="X63" s="44">
        <v>337200.14369476761</v>
      </c>
      <c r="Y63" s="32"/>
      <c r="Z63" s="32">
        <f t="shared" si="22"/>
        <v>-2815121.5991036221</v>
      </c>
      <c r="AA63" s="32"/>
      <c r="AB63" s="32">
        <f t="shared" si="23"/>
        <v>-53321433.546133682</v>
      </c>
      <c r="AC63" s="12"/>
      <c r="AD63" s="32"/>
      <c r="AE63" s="32"/>
      <c r="AF63" s="32">
        <f>BB63/100*AF25</f>
        <v>7485574095.3458261</v>
      </c>
      <c r="AG63" s="34">
        <f t="shared" si="18"/>
        <v>9.7424941385861746E-3</v>
      </c>
      <c r="AH63" s="34"/>
      <c r="AI63" s="34">
        <f t="shared" si="24"/>
        <v>-7.1232256693960737E-3</v>
      </c>
      <c r="AV63" s="31">
        <v>12711581</v>
      </c>
      <c r="AX63" s="31">
        <f t="shared" si="25"/>
        <v>7.2194628598559098E-3</v>
      </c>
      <c r="AY63" s="46">
        <v>7701.8318291542</v>
      </c>
      <c r="AZ63" s="34">
        <f t="shared" si="26"/>
        <v>2.5049469075653585E-3</v>
      </c>
      <c r="BA63" s="31">
        <f t="shared" si="29"/>
        <v>114.57421002904155</v>
      </c>
      <c r="BB63" s="31">
        <f t="shared" si="20"/>
        <v>130.25129843053682</v>
      </c>
      <c r="BD63" s="34">
        <f t="shared" si="21"/>
        <v>9.8198157046043462E-3</v>
      </c>
    </row>
    <row r="64" spans="1:56" s="31" customFormat="1">
      <c r="A64" s="31">
        <f t="shared" si="27"/>
        <v>2027</v>
      </c>
      <c r="B64" s="31">
        <f t="shared" si="28"/>
        <v>3</v>
      </c>
      <c r="C64" s="32"/>
      <c r="D64" s="44">
        <v>122095772.08180314</v>
      </c>
      <c r="E64" s="32"/>
      <c r="F64" s="44">
        <v>22192351.850994978</v>
      </c>
      <c r="G64" s="44">
        <v>2000891.5643790199</v>
      </c>
      <c r="H64" s="44">
        <v>11008315.028759347</v>
      </c>
      <c r="I64" s="44">
        <v>61883.24425915</v>
      </c>
      <c r="J64" s="44">
        <v>340463.35140495608</v>
      </c>
      <c r="K64" s="32"/>
      <c r="L64" s="44">
        <v>2304951.7801867099</v>
      </c>
      <c r="M64" s="33"/>
      <c r="N64" s="44">
        <v>1009470.3854560517</v>
      </c>
      <c r="O64" s="32"/>
      <c r="P64" s="44">
        <v>17514213.963532358</v>
      </c>
      <c r="Q64" s="33"/>
      <c r="R64" s="44">
        <v>19243693.864701543</v>
      </c>
      <c r="S64" s="33"/>
      <c r="T64" s="44">
        <v>73579931.375347883</v>
      </c>
      <c r="U64" s="32"/>
      <c r="V64" s="44">
        <v>136080.52672493699</v>
      </c>
      <c r="W64" s="33"/>
      <c r="X64" s="44">
        <v>341795.0500285427</v>
      </c>
      <c r="Y64" s="32"/>
      <c r="Z64" s="32">
        <f t="shared" si="22"/>
        <v>-6126999.6252112575</v>
      </c>
      <c r="AA64" s="32"/>
      <c r="AB64" s="32">
        <f t="shared" si="23"/>
        <v>-66030054.669987619</v>
      </c>
      <c r="AC64" s="12"/>
      <c r="AD64" s="32"/>
      <c r="AE64" s="32"/>
      <c r="AF64" s="32">
        <f>BB64/100*AF25</f>
        <v>7548859770.9565792</v>
      </c>
      <c r="AG64" s="34">
        <f t="shared" si="18"/>
        <v>8.4543516375185021E-3</v>
      </c>
      <c r="AH64" s="34"/>
      <c r="AI64" s="34">
        <f t="shared" si="24"/>
        <v>-8.7470236132920504E-3</v>
      </c>
      <c r="AV64" s="31">
        <v>12741249</v>
      </c>
      <c r="AX64" s="31">
        <f t="shared" si="25"/>
        <v>2.3339347009628465E-3</v>
      </c>
      <c r="AY64" s="46">
        <v>7748.8604893020001</v>
      </c>
      <c r="AZ64" s="34">
        <f t="shared" si="26"/>
        <v>6.1061655449005962E-3</v>
      </c>
      <c r="BA64" s="31">
        <f t="shared" si="29"/>
        <v>115.2738191226551</v>
      </c>
      <c r="BB64" s="31">
        <f t="shared" si="20"/>
        <v>131.35248870871195</v>
      </c>
      <c r="BD64" s="34">
        <f t="shared" si="21"/>
        <v>1.1648279544768205E-2</v>
      </c>
    </row>
    <row r="65" spans="1:56" s="31" customFormat="1">
      <c r="A65" s="31">
        <f t="shared" si="27"/>
        <v>2027</v>
      </c>
      <c r="B65" s="31">
        <f t="shared" si="28"/>
        <v>4</v>
      </c>
      <c r="C65" s="32"/>
      <c r="D65" s="44">
        <v>122370506.33193476</v>
      </c>
      <c r="E65" s="32"/>
      <c r="F65" s="44">
        <v>22242288.053047538</v>
      </c>
      <c r="G65" s="44">
        <v>2085041.7272953601</v>
      </c>
      <c r="H65" s="44">
        <v>11471284.396813028</v>
      </c>
      <c r="I65" s="44">
        <v>64485.826617380138</v>
      </c>
      <c r="J65" s="44">
        <v>354781.99165399943</v>
      </c>
      <c r="K65" s="32"/>
      <c r="L65" s="44">
        <v>2322144.2740076501</v>
      </c>
      <c r="M65" s="33"/>
      <c r="N65" s="44">
        <v>1014141.2431431226</v>
      </c>
      <c r="O65" s="32"/>
      <c r="P65" s="44">
        <v>17629123.576567341</v>
      </c>
      <c r="Q65" s="33"/>
      <c r="R65" s="44">
        <v>22847891.51490077</v>
      </c>
      <c r="S65" s="33"/>
      <c r="T65" s="44">
        <v>87360893.472822115</v>
      </c>
      <c r="U65" s="32"/>
      <c r="V65" s="44">
        <v>140235.207251471</v>
      </c>
      <c r="W65" s="33"/>
      <c r="X65" s="44">
        <v>352230.40968356287</v>
      </c>
      <c r="Y65" s="32"/>
      <c r="Z65" s="32">
        <f t="shared" si="22"/>
        <v>-2590446.8480460718</v>
      </c>
      <c r="AA65" s="32"/>
      <c r="AB65" s="32">
        <f t="shared" si="23"/>
        <v>-52638736.435679987</v>
      </c>
      <c r="AC65" s="12"/>
      <c r="AD65" s="32"/>
      <c r="AE65" s="32"/>
      <c r="AF65" s="32">
        <f>BB65/100*AF25</f>
        <v>7592097480.5005608</v>
      </c>
      <c r="AG65" s="34">
        <f t="shared" si="18"/>
        <v>5.7277139668607908E-3</v>
      </c>
      <c r="AH65" s="34">
        <f>(AF65-AF61)/AF61</f>
        <v>2.9597482845452838E-2</v>
      </c>
      <c r="AI65" s="34">
        <f t="shared" si="24"/>
        <v>-6.9333588736020047E-3</v>
      </c>
      <c r="AV65" s="31">
        <v>12762935</v>
      </c>
      <c r="AX65" s="31">
        <f t="shared" si="25"/>
        <v>1.7020309390390221E-3</v>
      </c>
      <c r="AY65" s="46">
        <v>7780.0019417432004</v>
      </c>
      <c r="AZ65" s="34">
        <f t="shared" si="26"/>
        <v>4.0188428329809072E-3</v>
      </c>
      <c r="BA65" s="31">
        <f t="shared" si="29"/>
        <v>115.7370864844665</v>
      </c>
      <c r="BB65" s="31">
        <f t="shared" si="20"/>
        <v>132.10483819287074</v>
      </c>
      <c r="BD65" s="34">
        <f t="shared" si="21"/>
        <v>9.8622941505820492E-3</v>
      </c>
    </row>
    <row r="66" spans="1:56" s="23" customFormat="1">
      <c r="A66" s="23">
        <f t="shared" si="27"/>
        <v>2028</v>
      </c>
      <c r="B66" s="23">
        <f t="shared" si="28"/>
        <v>1</v>
      </c>
      <c r="C66" s="24"/>
      <c r="D66" s="41">
        <v>122486383.68313803</v>
      </c>
      <c r="E66" s="24"/>
      <c r="F66" s="41">
        <v>22263350.133295011</v>
      </c>
      <c r="G66" s="41">
        <v>2176133.4980875901</v>
      </c>
      <c r="H66" s="41">
        <v>11972444.443294417</v>
      </c>
      <c r="I66" s="41">
        <v>67303.097879000008</v>
      </c>
      <c r="J66" s="41">
        <v>370281.78690602595</v>
      </c>
      <c r="K66" s="24"/>
      <c r="L66" s="41">
        <v>2834817.81488895</v>
      </c>
      <c r="M66" s="25"/>
      <c r="N66" s="41">
        <v>1018038.0923397988</v>
      </c>
      <c r="O66" s="24"/>
      <c r="P66" s="41">
        <v>20310828.331871606</v>
      </c>
      <c r="Q66" s="25"/>
      <c r="R66" s="41">
        <v>19507652.9001083</v>
      </c>
      <c r="S66" s="25"/>
      <c r="T66" s="41">
        <v>74589201.625003949</v>
      </c>
      <c r="U66" s="24"/>
      <c r="V66" s="41">
        <v>140883.754645287</v>
      </c>
      <c r="W66" s="25"/>
      <c r="X66" s="41">
        <v>353859.37375542667</v>
      </c>
      <c r="Y66" s="24"/>
      <c r="Z66" s="24">
        <f t="shared" si="22"/>
        <v>-6467669.3857701719</v>
      </c>
      <c r="AA66" s="24"/>
      <c r="AB66" s="24">
        <f t="shared" si="23"/>
        <v>-68208010.390005678</v>
      </c>
      <c r="AC66" s="12"/>
      <c r="AD66" s="24"/>
      <c r="AE66" s="24"/>
      <c r="AF66" s="24">
        <f>BB66/100*AF25</f>
        <v>7654357711.2045937</v>
      </c>
      <c r="AG66" s="26">
        <f t="shared" si="18"/>
        <v>8.2006627106595009E-3</v>
      </c>
      <c r="AH66" s="26"/>
      <c r="AI66" s="26">
        <f t="shared" si="24"/>
        <v>-8.9110037658890057E-3</v>
      </c>
      <c r="AV66" s="23">
        <v>12775739</v>
      </c>
      <c r="AX66" s="23">
        <f t="shared" si="25"/>
        <v>1.0032175201080316E-3</v>
      </c>
      <c r="AY66" s="43">
        <v>7835.9419592956001</v>
      </c>
      <c r="AZ66" s="26">
        <f t="shared" si="26"/>
        <v>7.1902318240123315E-3</v>
      </c>
      <c r="BA66" s="23">
        <f t="shared" si="29"/>
        <v>116.56926296692556</v>
      </c>
      <c r="BB66" s="23">
        <f t="shared" si="20"/>
        <v>133.18818541333675</v>
      </c>
      <c r="BD66" s="26">
        <f t="shared" si="21"/>
        <v>1.1690101954821799E-2</v>
      </c>
    </row>
    <row r="67" spans="1:56" s="31" customFormat="1">
      <c r="A67" s="31">
        <f t="shared" si="27"/>
        <v>2028</v>
      </c>
      <c r="B67" s="31">
        <f t="shared" si="28"/>
        <v>2</v>
      </c>
      <c r="C67" s="32"/>
      <c r="D67" s="44">
        <v>122881794.16652079</v>
      </c>
      <c r="E67" s="32"/>
      <c r="F67" s="44">
        <v>22335220.669212691</v>
      </c>
      <c r="G67" s="44">
        <v>2279039.3821135098</v>
      </c>
      <c r="H67" s="44">
        <v>12538602.255060628</v>
      </c>
      <c r="I67" s="44">
        <v>70485.754085990135</v>
      </c>
      <c r="J67" s="44">
        <v>387791.8223214919</v>
      </c>
      <c r="K67" s="32"/>
      <c r="L67" s="44">
        <v>2334769.1093308302</v>
      </c>
      <c r="M67" s="33"/>
      <c r="N67" s="44">
        <v>1023073.5045927092</v>
      </c>
      <c r="O67" s="32"/>
      <c r="P67" s="44">
        <v>17743776.574127693</v>
      </c>
      <c r="Q67" s="33"/>
      <c r="R67" s="44">
        <v>23213421.545678735</v>
      </c>
      <c r="S67" s="33"/>
      <c r="T67" s="44">
        <v>88758529.226610824</v>
      </c>
      <c r="U67" s="32"/>
      <c r="V67" s="44">
        <v>144558.68308852499</v>
      </c>
      <c r="W67" s="33"/>
      <c r="X67" s="44">
        <v>363089.73449357093</v>
      </c>
      <c r="Y67" s="32"/>
      <c r="Z67" s="32">
        <f t="shared" si="22"/>
        <v>-2335083.0543689691</v>
      </c>
      <c r="AA67" s="32"/>
      <c r="AB67" s="32">
        <f t="shared" si="23"/>
        <v>-51867041.514037654</v>
      </c>
      <c r="AC67" s="12"/>
      <c r="AD67" s="32"/>
      <c r="AE67" s="32"/>
      <c r="AF67" s="32">
        <f>BB67/100*AF25</f>
        <v>7695844862.1796217</v>
      </c>
      <c r="AG67" s="34">
        <f t="shared" si="18"/>
        <v>5.420069526447446E-3</v>
      </c>
      <c r="AH67" s="34"/>
      <c r="AI67" s="34">
        <f t="shared" si="24"/>
        <v>-6.7396163050183729E-3</v>
      </c>
      <c r="AV67" s="31">
        <v>12836614</v>
      </c>
      <c r="AX67" s="31">
        <f t="shared" si="25"/>
        <v>4.7648907041698335E-3</v>
      </c>
      <c r="AY67" s="46">
        <v>7841.0515558507996</v>
      </c>
      <c r="AZ67" s="34">
        <f t="shared" si="26"/>
        <v>6.5207177155492601E-4</v>
      </c>
      <c r="BA67" s="31">
        <f t="shared" si="29"/>
        <v>116.64527449273727</v>
      </c>
      <c r="BB67" s="31">
        <f t="shared" si="20"/>
        <v>133.9100746383784</v>
      </c>
      <c r="BD67" s="34">
        <f t="shared" si="21"/>
        <v>9.9088198426179608E-3</v>
      </c>
    </row>
    <row r="68" spans="1:56" s="31" customFormat="1">
      <c r="A68" s="31">
        <f t="shared" si="27"/>
        <v>2028</v>
      </c>
      <c r="B68" s="31">
        <f t="shared" si="28"/>
        <v>3</v>
      </c>
      <c r="C68" s="32"/>
      <c r="D68" s="44">
        <v>122860988.78166191</v>
      </c>
      <c r="E68" s="32"/>
      <c r="F68" s="44">
        <v>22331439.044236571</v>
      </c>
      <c r="G68" s="44">
        <v>2378444.1271928302</v>
      </c>
      <c r="H68" s="44">
        <v>13085497.833345644</v>
      </c>
      <c r="I68" s="44">
        <v>73560.127645139582</v>
      </c>
      <c r="J68" s="44">
        <v>404706.11855708458</v>
      </c>
      <c r="K68" s="32"/>
      <c r="L68" s="44">
        <v>2320448.6396129401</v>
      </c>
      <c r="M68" s="33"/>
      <c r="N68" s="44">
        <v>1024939.4021998569</v>
      </c>
      <c r="O68" s="32"/>
      <c r="P68" s="44">
        <v>17679733.206790641</v>
      </c>
      <c r="Q68" s="33"/>
      <c r="R68" s="44">
        <v>19796461.466931034</v>
      </c>
      <c r="S68" s="33"/>
      <c r="T68" s="44">
        <v>75693486.211780131</v>
      </c>
      <c r="U68" s="32"/>
      <c r="V68" s="44">
        <v>138238.00345794699</v>
      </c>
      <c r="W68" s="33"/>
      <c r="X68" s="44">
        <v>347214.00956406188</v>
      </c>
      <c r="Y68" s="32"/>
      <c r="Z68" s="32">
        <f t="shared" si="22"/>
        <v>-5742127.6156603843</v>
      </c>
      <c r="AA68" s="32"/>
      <c r="AB68" s="32">
        <f t="shared" si="23"/>
        <v>-64847235.776672423</v>
      </c>
      <c r="AC68" s="12"/>
      <c r="AD68" s="32"/>
      <c r="AE68" s="32"/>
      <c r="AF68" s="32">
        <f>BB68/100*AF25</f>
        <v>7760154451.26542</v>
      </c>
      <c r="AG68" s="34">
        <f t="shared" si="18"/>
        <v>8.3564040384754412E-3</v>
      </c>
      <c r="AH68" s="34"/>
      <c r="AI68" s="34">
        <f t="shared" si="24"/>
        <v>-8.356436226098312E-3</v>
      </c>
      <c r="AV68" s="31">
        <v>12902596</v>
      </c>
      <c r="AX68" s="31">
        <f t="shared" si="25"/>
        <v>5.1401405386186727E-3</v>
      </c>
      <c r="AY68" s="46">
        <v>7866.1414780442001</v>
      </c>
      <c r="AZ68" s="34">
        <f t="shared" si="26"/>
        <v>3.1998159959398613E-3</v>
      </c>
      <c r="BA68" s="31">
        <f t="shared" si="29"/>
        <v>117.01851790790992</v>
      </c>
      <c r="BB68" s="31">
        <f t="shared" si="20"/>
        <v>135.02908132687909</v>
      </c>
      <c r="BD68" s="34">
        <f t="shared" si="21"/>
        <v>1.1731779941331781E-2</v>
      </c>
    </row>
    <row r="69" spans="1:56" s="31" customFormat="1">
      <c r="A69" s="31">
        <f t="shared" si="27"/>
        <v>2028</v>
      </c>
      <c r="B69" s="31">
        <f t="shared" si="28"/>
        <v>4</v>
      </c>
      <c r="C69" s="32"/>
      <c r="D69" s="44">
        <v>123253161.58046767</v>
      </c>
      <c r="E69" s="32"/>
      <c r="F69" s="44">
        <v>22402721.092657179</v>
      </c>
      <c r="G69" s="44">
        <v>2479933.5238399198</v>
      </c>
      <c r="H69" s="44">
        <v>13643862.549484877</v>
      </c>
      <c r="I69" s="44">
        <v>76698.97496411996</v>
      </c>
      <c r="J69" s="44">
        <v>421975.13039643248</v>
      </c>
      <c r="K69" s="32"/>
      <c r="L69" s="44">
        <v>2264002.89573381</v>
      </c>
      <c r="M69" s="33"/>
      <c r="N69" s="44">
        <v>1030563.1595253795</v>
      </c>
      <c r="O69" s="32"/>
      <c r="P69" s="44">
        <v>17417776.226998422</v>
      </c>
      <c r="Q69" s="33"/>
      <c r="R69" s="44">
        <v>23695730.861133512</v>
      </c>
      <c r="S69" s="33"/>
      <c r="T69" s="44">
        <v>90602680.696820468</v>
      </c>
      <c r="U69" s="32"/>
      <c r="V69" s="44">
        <v>138290.296116838</v>
      </c>
      <c r="W69" s="33"/>
      <c r="X69" s="44">
        <v>347345.35364680417</v>
      </c>
      <c r="Y69" s="32"/>
      <c r="Z69" s="32">
        <f t="shared" si="22"/>
        <v>-1863265.9906660207</v>
      </c>
      <c r="AA69" s="32"/>
      <c r="AB69" s="32">
        <f t="shared" si="23"/>
        <v>-50068257.110645622</v>
      </c>
      <c r="AC69" s="12"/>
      <c r="AD69" s="32"/>
      <c r="AE69" s="32"/>
      <c r="AF69" s="32">
        <f>BB69/100*AF25</f>
        <v>7806228469.6092472</v>
      </c>
      <c r="AG69" s="34">
        <f t="shared" si="18"/>
        <v>5.9372553256738497E-3</v>
      </c>
      <c r="AH69" s="34">
        <f>(AF69-AF65)/AF65</f>
        <v>2.8204457287153852E-2</v>
      </c>
      <c r="AI69" s="34">
        <f t="shared" si="24"/>
        <v>-6.4138856946819372E-3</v>
      </c>
      <c r="AV69" s="31">
        <v>12906477</v>
      </c>
      <c r="AX69" s="31">
        <f t="shared" si="25"/>
        <v>3.0079218166638715E-4</v>
      </c>
      <c r="AY69" s="46">
        <v>7910.4653622929</v>
      </c>
      <c r="AZ69" s="34">
        <f t="shared" si="26"/>
        <v>5.6347682497722316E-3</v>
      </c>
      <c r="BA69" s="31">
        <f t="shared" si="29"/>
        <v>117.67789013725282</v>
      </c>
      <c r="BB69" s="31">
        <f t="shared" si="20"/>
        <v>135.83078345910795</v>
      </c>
      <c r="BD69" s="34">
        <f t="shared" si="21"/>
        <v>9.9288628245544457E-3</v>
      </c>
    </row>
    <row r="70" spans="1:56" s="23" customFormat="1">
      <c r="A70" s="23">
        <f t="shared" si="27"/>
        <v>2029</v>
      </c>
      <c r="B70" s="23">
        <f t="shared" si="28"/>
        <v>1</v>
      </c>
      <c r="C70" s="24"/>
      <c r="D70" s="41">
        <v>123306603.53856674</v>
      </c>
      <c r="E70" s="24"/>
      <c r="F70" s="41">
        <v>22412434.801146168</v>
      </c>
      <c r="G70" s="41">
        <v>2597328.1206476302</v>
      </c>
      <c r="H70" s="41">
        <v>14289732.984115118</v>
      </c>
      <c r="I70" s="41">
        <v>80329.735690129921</v>
      </c>
      <c r="J70" s="41">
        <v>441950.50466333784</v>
      </c>
      <c r="K70" s="24"/>
      <c r="L70" s="41">
        <v>2800156.5059859999</v>
      </c>
      <c r="M70" s="25"/>
      <c r="N70" s="41">
        <v>1033323.0143875703</v>
      </c>
      <c r="O70" s="24"/>
      <c r="P70" s="41">
        <v>20215063.766527012</v>
      </c>
      <c r="Q70" s="25"/>
      <c r="R70" s="41">
        <v>20276780.140927214</v>
      </c>
      <c r="S70" s="25"/>
      <c r="T70" s="41">
        <v>77530026.291840553</v>
      </c>
      <c r="U70" s="24"/>
      <c r="V70" s="41">
        <v>139305.38641883599</v>
      </c>
      <c r="W70" s="25"/>
      <c r="X70" s="41">
        <v>349894.96782676835</v>
      </c>
      <c r="Y70" s="24"/>
      <c r="Z70" s="24">
        <f t="shared" si="22"/>
        <v>-5829828.7941736896</v>
      </c>
      <c r="AA70" s="24"/>
      <c r="AB70" s="24">
        <f t="shared" si="23"/>
        <v>-65991641.013253197</v>
      </c>
      <c r="AC70" s="12"/>
      <c r="AD70" s="24"/>
      <c r="AE70" s="24"/>
      <c r="AF70" s="24">
        <f>BB70/100*AF25</f>
        <v>7895262866.8466797</v>
      </c>
      <c r="AG70" s="26">
        <f t="shared" si="18"/>
        <v>1.1405558725837451E-2</v>
      </c>
      <c r="AH70" s="26"/>
      <c r="AI70" s="26">
        <f t="shared" si="24"/>
        <v>-8.3583842775344936E-3</v>
      </c>
      <c r="AV70" s="23">
        <v>12991647</v>
      </c>
      <c r="AX70" s="23">
        <f t="shared" si="25"/>
        <v>6.5990122633775277E-3</v>
      </c>
      <c r="AY70" s="43">
        <v>7948.2381187135998</v>
      </c>
      <c r="AZ70" s="26">
        <f t="shared" si="26"/>
        <v>4.7750359417225397E-3</v>
      </c>
      <c r="BA70" s="23">
        <f t="shared" si="29"/>
        <v>118.23980629220426</v>
      </c>
      <c r="BB70" s="23">
        <f t="shared" si="20"/>
        <v>137.38000943662732</v>
      </c>
      <c r="BD70" s="26">
        <f t="shared" si="21"/>
        <v>1.1780451343077227E-2</v>
      </c>
    </row>
    <row r="71" spans="1:56" s="31" customFormat="1">
      <c r="A71" s="31">
        <f t="shared" si="27"/>
        <v>2029</v>
      </c>
      <c r="B71" s="31">
        <f t="shared" si="28"/>
        <v>2</v>
      </c>
      <c r="C71" s="32"/>
      <c r="D71" s="44">
        <v>123763111.65326355</v>
      </c>
      <c r="E71" s="32"/>
      <c r="F71" s="44">
        <v>22495410.55478159</v>
      </c>
      <c r="G71" s="44">
        <v>2685775.9975623102</v>
      </c>
      <c r="H71" s="44">
        <v>14776347.106557034</v>
      </c>
      <c r="I71" s="44">
        <v>83065.2370380098</v>
      </c>
      <c r="J71" s="44">
        <v>457000.42597599188</v>
      </c>
      <c r="K71" s="32"/>
      <c r="L71" s="44">
        <v>2258700.6280366401</v>
      </c>
      <c r="M71" s="33"/>
      <c r="N71" s="44">
        <v>1039351.0141450912</v>
      </c>
      <c r="O71" s="32"/>
      <c r="P71" s="44">
        <v>17438610.917993248</v>
      </c>
      <c r="Q71" s="33"/>
      <c r="R71" s="44">
        <v>24153451.957624201</v>
      </c>
      <c r="S71" s="33"/>
      <c r="T71" s="44">
        <v>92352816.980718166</v>
      </c>
      <c r="U71" s="32"/>
      <c r="V71" s="44">
        <v>139153.18769085599</v>
      </c>
      <c r="W71" s="33"/>
      <c r="X71" s="44">
        <v>349512.68850219349</v>
      </c>
      <c r="Y71" s="32"/>
      <c r="Z71" s="32">
        <f t="shared" si="22"/>
        <v>-1500857.0516482629</v>
      </c>
      <c r="AA71" s="32"/>
      <c r="AB71" s="32">
        <f t="shared" si="23"/>
        <v>-48848905.590538636</v>
      </c>
      <c r="AC71" s="12"/>
      <c r="AD71" s="32"/>
      <c r="AE71" s="32"/>
      <c r="AF71" s="32">
        <f>BB71/100*AF25</f>
        <v>7928451289.8042688</v>
      </c>
      <c r="AG71" s="34">
        <f t="shared" si="18"/>
        <v>4.2035868238095037E-3</v>
      </c>
      <c r="AH71" s="34"/>
      <c r="AI71" s="34">
        <f t="shared" si="24"/>
        <v>-6.1612165863157596E-3</v>
      </c>
      <c r="AV71" s="31">
        <v>13003846</v>
      </c>
      <c r="AX71" s="31">
        <f t="shared" si="25"/>
        <v>9.3898795125821994E-4</v>
      </c>
      <c r="AY71" s="46">
        <v>7974.1615860911998</v>
      </c>
      <c r="AZ71" s="34">
        <f t="shared" si="26"/>
        <v>3.2615363292356459E-3</v>
      </c>
      <c r="BA71" s="31">
        <f t="shared" si="29"/>
        <v>118.62544971598807</v>
      </c>
      <c r="BB71" s="31">
        <f t="shared" si="20"/>
        <v>137.95749823414997</v>
      </c>
      <c r="BD71" s="34">
        <f t="shared" ref="BD71:BD102" si="30">T78/AF78</f>
        <v>9.9437613239158774E-3</v>
      </c>
    </row>
    <row r="72" spans="1:56" s="31" customFormat="1">
      <c r="A72" s="31">
        <f t="shared" si="27"/>
        <v>2029</v>
      </c>
      <c r="B72" s="31">
        <f t="shared" si="28"/>
        <v>3</v>
      </c>
      <c r="C72" s="32"/>
      <c r="D72" s="44">
        <v>123830290.5822003</v>
      </c>
      <c r="E72" s="32"/>
      <c r="F72" s="44">
        <v>22507621.120327942</v>
      </c>
      <c r="G72" s="44">
        <v>2748757.2394377599</v>
      </c>
      <c r="H72" s="44">
        <v>15122851.316885199</v>
      </c>
      <c r="I72" s="44">
        <v>85013.11049808003</v>
      </c>
      <c r="J72" s="44">
        <v>467717.051037714</v>
      </c>
      <c r="K72" s="32"/>
      <c r="L72" s="44">
        <v>2248784.8074219702</v>
      </c>
      <c r="M72" s="33"/>
      <c r="N72" s="44">
        <v>1041824.5950587168</v>
      </c>
      <c r="O72" s="32"/>
      <c r="P72" s="44">
        <v>17400766.590048306</v>
      </c>
      <c r="Q72" s="33"/>
      <c r="R72" s="44">
        <v>20606911.095817845</v>
      </c>
      <c r="S72" s="33"/>
      <c r="T72" s="44">
        <v>78792310.610875964</v>
      </c>
      <c r="U72" s="32"/>
      <c r="V72" s="44">
        <v>144286.80056621801</v>
      </c>
      <c r="W72" s="33"/>
      <c r="X72" s="44">
        <v>362406.843983442</v>
      </c>
      <c r="Y72" s="32"/>
      <c r="Z72" s="32">
        <f t="shared" si="22"/>
        <v>-5047032.6264245659</v>
      </c>
      <c r="AA72" s="32"/>
      <c r="AB72" s="32">
        <f t="shared" si="23"/>
        <v>-62438746.561372645</v>
      </c>
      <c r="AC72" s="12"/>
      <c r="AD72" s="32"/>
      <c r="AE72" s="32"/>
      <c r="AF72" s="32">
        <f>BB72/100*AF25</f>
        <v>7989247674.8146706</v>
      </c>
      <c r="AG72" s="34">
        <f t="shared" si="18"/>
        <v>7.6681287162076537E-3</v>
      </c>
      <c r="AH72" s="34"/>
      <c r="AI72" s="34">
        <f t="shared" si="24"/>
        <v>-7.8153474648438737E-3</v>
      </c>
      <c r="AV72" s="31">
        <v>12967558</v>
      </c>
      <c r="AX72" s="31">
        <f t="shared" si="25"/>
        <v>-2.7905590392257799E-3</v>
      </c>
      <c r="AY72" s="46">
        <v>8057.7942340732998</v>
      </c>
      <c r="AZ72" s="34">
        <f t="shared" si="26"/>
        <v>1.0487955013098167E-2</v>
      </c>
      <c r="BA72" s="31">
        <f t="shared" si="29"/>
        <v>119.86958809601788</v>
      </c>
      <c r="BB72" s="31">
        <f t="shared" si="20"/>
        <v>139.0153740879754</v>
      </c>
      <c r="BD72" s="34">
        <f t="shared" si="30"/>
        <v>1.1818324006448933E-2</v>
      </c>
    </row>
    <row r="73" spans="1:56" s="31" customFormat="1">
      <c r="A73" s="31">
        <f t="shared" si="27"/>
        <v>2029</v>
      </c>
      <c r="B73" s="31">
        <f t="shared" si="28"/>
        <v>4</v>
      </c>
      <c r="C73" s="32"/>
      <c r="D73" s="44">
        <v>123938335.9729711</v>
      </c>
      <c r="E73" s="32"/>
      <c r="F73" s="44">
        <v>22527259.649058133</v>
      </c>
      <c r="G73" s="44">
        <v>2841017.1209364701</v>
      </c>
      <c r="H73" s="44">
        <v>15630437.963825265</v>
      </c>
      <c r="I73" s="44">
        <v>87866.508894939907</v>
      </c>
      <c r="J73" s="44">
        <v>483415.60712860286</v>
      </c>
      <c r="K73" s="32"/>
      <c r="L73" s="44">
        <v>2244267.0260145599</v>
      </c>
      <c r="M73" s="33"/>
      <c r="N73" s="44">
        <v>1044958.0039359555</v>
      </c>
      <c r="O73" s="32"/>
      <c r="P73" s="44">
        <v>17394562.891986109</v>
      </c>
      <c r="Q73" s="33"/>
      <c r="R73" s="44">
        <v>24605911.005231578</v>
      </c>
      <c r="S73" s="33"/>
      <c r="T73" s="44">
        <v>94082833.364639819</v>
      </c>
      <c r="U73" s="32"/>
      <c r="V73" s="44">
        <v>140455.55762431899</v>
      </c>
      <c r="W73" s="33"/>
      <c r="X73" s="44">
        <v>352783.86629138177</v>
      </c>
      <c r="Y73" s="32"/>
      <c r="Z73" s="32">
        <f t="shared" si="22"/>
        <v>-1070118.1161527522</v>
      </c>
      <c r="AA73" s="32"/>
      <c r="AB73" s="32">
        <f t="shared" si="23"/>
        <v>-47250065.50031738</v>
      </c>
      <c r="AC73" s="12"/>
      <c r="AD73" s="32"/>
      <c r="AE73" s="32"/>
      <c r="AF73" s="32">
        <f>BB73/100*AF25</f>
        <v>8048076375.059638</v>
      </c>
      <c r="AG73" s="34">
        <f t="shared" si="18"/>
        <v>7.3634843529033706E-3</v>
      </c>
      <c r="AH73" s="34">
        <f>(AF73-AF69)/AF69</f>
        <v>3.0981402400908322E-2</v>
      </c>
      <c r="AI73" s="34">
        <f t="shared" si="24"/>
        <v>-5.8709762803372065E-3</v>
      </c>
      <c r="AV73" s="31">
        <v>13042453</v>
      </c>
      <c r="AX73" s="31">
        <f t="shared" si="25"/>
        <v>5.7755669957288798E-3</v>
      </c>
      <c r="AY73" s="46">
        <v>8070.5158707333003</v>
      </c>
      <c r="AZ73" s="34">
        <f t="shared" si="26"/>
        <v>1.5787988983642228E-3</v>
      </c>
      <c r="BA73" s="31">
        <f t="shared" si="29"/>
        <v>120.05883806965124</v>
      </c>
      <c r="BB73" s="31">
        <f t="shared" si="20"/>
        <v>140.0390116198852</v>
      </c>
      <c r="BD73" s="34">
        <f t="shared" si="30"/>
        <v>9.9792798013176726E-3</v>
      </c>
    </row>
    <row r="74" spans="1:56" s="23" customFormat="1">
      <c r="A74" s="23">
        <f t="shared" si="27"/>
        <v>2030</v>
      </c>
      <c r="B74" s="23">
        <f t="shared" si="28"/>
        <v>1</v>
      </c>
      <c r="C74" s="24"/>
      <c r="D74" s="41">
        <v>124394468.91039084</v>
      </c>
      <c r="E74" s="24"/>
      <c r="F74" s="41">
        <v>22610167.209782388</v>
      </c>
      <c r="G74" s="41">
        <v>2913083.7556092101</v>
      </c>
      <c r="H74" s="41">
        <v>16026927.324699873</v>
      </c>
      <c r="I74" s="41">
        <v>90095.373884829693</v>
      </c>
      <c r="J74" s="41">
        <v>495678.1646814876</v>
      </c>
      <c r="K74" s="24"/>
      <c r="L74" s="41">
        <v>2656720.96141939</v>
      </c>
      <c r="M74" s="25"/>
      <c r="N74" s="41">
        <v>1050141.835490372</v>
      </c>
      <c r="O74" s="24"/>
      <c r="P74" s="41">
        <v>19563308.235260114</v>
      </c>
      <c r="Q74" s="25"/>
      <c r="R74" s="41">
        <v>21034398.973522563</v>
      </c>
      <c r="S74" s="25"/>
      <c r="T74" s="41">
        <v>80426847.562381029</v>
      </c>
      <c r="U74" s="24"/>
      <c r="V74" s="41">
        <v>138193.98187848099</v>
      </c>
      <c r="W74" s="25"/>
      <c r="X74" s="41">
        <v>347103.44004821684</v>
      </c>
      <c r="Y74" s="24"/>
      <c r="Z74" s="24">
        <f t="shared" si="22"/>
        <v>-5144437.0512911044</v>
      </c>
      <c r="AA74" s="24"/>
      <c r="AB74" s="24">
        <f t="shared" si="23"/>
        <v>-63530929.583269924</v>
      </c>
      <c r="AC74" s="12"/>
      <c r="AD74" s="24"/>
      <c r="AE74" s="24"/>
      <c r="AF74" s="24">
        <f>BB74/100*AF25</f>
        <v>8116692889.7490025</v>
      </c>
      <c r="AG74" s="26">
        <f t="shared" si="18"/>
        <v>8.5258279732535434E-3</v>
      </c>
      <c r="AH74" s="26"/>
      <c r="AI74" s="26">
        <f t="shared" si="24"/>
        <v>-7.8271939626428973E-3</v>
      </c>
      <c r="AV74" s="23">
        <v>13048276</v>
      </c>
      <c r="AX74" s="23">
        <f t="shared" si="25"/>
        <v>4.4646509364457745E-4</v>
      </c>
      <c r="AY74" s="43">
        <v>8135.6913984804996</v>
      </c>
      <c r="AZ74" s="26">
        <f t="shared" si="26"/>
        <v>8.0757573358538459E-3</v>
      </c>
      <c r="BA74" s="23">
        <f t="shared" si="29"/>
        <v>121.02840411192632</v>
      </c>
      <c r="BB74" s="23">
        <f t="shared" si="20"/>
        <v>141.23296014250081</v>
      </c>
      <c r="BD74" s="26">
        <f t="shared" si="30"/>
        <v>1.1833807901196942E-2</v>
      </c>
    </row>
    <row r="75" spans="1:56" s="31" customFormat="1">
      <c r="A75" s="31">
        <f t="shared" si="27"/>
        <v>2030</v>
      </c>
      <c r="B75" s="31">
        <f t="shared" si="28"/>
        <v>2</v>
      </c>
      <c r="C75" s="32"/>
      <c r="D75" s="44">
        <v>125282291.87167759</v>
      </c>
      <c r="E75" s="32"/>
      <c r="F75" s="44">
        <v>22771539.54235642</v>
      </c>
      <c r="G75" s="44">
        <v>3013037.3928152798</v>
      </c>
      <c r="H75" s="44">
        <v>16576842.745516906</v>
      </c>
      <c r="I75" s="44">
        <v>93186.723489130381</v>
      </c>
      <c r="J75" s="44">
        <v>512685.85810875933</v>
      </c>
      <c r="K75" s="32"/>
      <c r="L75" s="44">
        <v>2211218.1464299401</v>
      </c>
      <c r="M75" s="33"/>
      <c r="N75" s="44">
        <v>1061165.7508712709</v>
      </c>
      <c r="O75" s="32"/>
      <c r="P75" s="44">
        <v>17312242.340293404</v>
      </c>
      <c r="Q75" s="33"/>
      <c r="R75" s="44">
        <v>25068046.171686359</v>
      </c>
      <c r="S75" s="33"/>
      <c r="T75" s="44">
        <v>95849847.22762017</v>
      </c>
      <c r="U75" s="32"/>
      <c r="V75" s="44">
        <v>143321.249178914</v>
      </c>
      <c r="W75" s="33"/>
      <c r="X75" s="44">
        <v>359981.65727472369</v>
      </c>
      <c r="Y75" s="32"/>
      <c r="Z75" s="32">
        <f t="shared" si="22"/>
        <v>-832556.01879236102</v>
      </c>
      <c r="AA75" s="32"/>
      <c r="AB75" s="32">
        <f t="shared" si="23"/>
        <v>-46744686.98435083</v>
      </c>
      <c r="AC75" s="12"/>
      <c r="AD75" s="32"/>
      <c r="AE75" s="32"/>
      <c r="AF75" s="32">
        <f>BB75/100*AF25</f>
        <v>8170102721.5772495</v>
      </c>
      <c r="AG75" s="34">
        <f t="shared" si="18"/>
        <v>6.580245495761106E-3</v>
      </c>
      <c r="AH75" s="34"/>
      <c r="AI75" s="34">
        <f t="shared" si="24"/>
        <v>-5.7214319791718243E-3</v>
      </c>
      <c r="AV75" s="31">
        <v>13107930</v>
      </c>
      <c r="AX75" s="31">
        <f t="shared" si="25"/>
        <v>4.5717917064292636E-3</v>
      </c>
      <c r="AY75" s="46">
        <v>8151.9571948656003</v>
      </c>
      <c r="AZ75" s="34">
        <f t="shared" si="26"/>
        <v>1.9993133451618648E-3</v>
      </c>
      <c r="BA75" s="31">
        <f t="shared" si="29"/>
        <v>121.27037781541094</v>
      </c>
      <c r="BB75" s="31">
        <f t="shared" si="20"/>
        <v>142.16230769233152</v>
      </c>
      <c r="BD75" s="34">
        <f t="shared" si="30"/>
        <v>9.9801036815011946E-3</v>
      </c>
    </row>
    <row r="76" spans="1:56" s="31" customFormat="1">
      <c r="A76" s="31">
        <f t="shared" si="27"/>
        <v>2030</v>
      </c>
      <c r="B76" s="31">
        <f t="shared" si="28"/>
        <v>3</v>
      </c>
      <c r="C76" s="32"/>
      <c r="D76" s="44">
        <v>125978365.28273602</v>
      </c>
      <c r="E76" s="32"/>
      <c r="F76" s="44">
        <v>22898059.12439388</v>
      </c>
      <c r="G76" s="44">
        <v>3089437.4629016202</v>
      </c>
      <c r="H76" s="44">
        <v>16997173.38946699</v>
      </c>
      <c r="I76" s="44">
        <v>95549.612254689913</v>
      </c>
      <c r="J76" s="44">
        <v>525685.77493197226</v>
      </c>
      <c r="K76" s="32"/>
      <c r="L76" s="44">
        <v>2183340.5032526199</v>
      </c>
      <c r="M76" s="33"/>
      <c r="N76" s="44">
        <v>1068501.5902962126</v>
      </c>
      <c r="O76" s="32"/>
      <c r="P76" s="44">
        <v>17207944.741415028</v>
      </c>
      <c r="Q76" s="33"/>
      <c r="R76" s="44">
        <v>21432539.476210229</v>
      </c>
      <c r="S76" s="33"/>
      <c r="T76" s="44">
        <v>81949172.281921536</v>
      </c>
      <c r="U76" s="32"/>
      <c r="V76" s="44">
        <v>142872.69023195899</v>
      </c>
      <c r="W76" s="33"/>
      <c r="X76" s="44">
        <v>358855.00652310555</v>
      </c>
      <c r="Y76" s="32"/>
      <c r="Z76" s="32">
        <f t="shared" si="22"/>
        <v>-4574489.0515005216</v>
      </c>
      <c r="AA76" s="32"/>
      <c r="AB76" s="32">
        <f t="shared" si="23"/>
        <v>-61237137.742229506</v>
      </c>
      <c r="AC76" s="12"/>
      <c r="AD76" s="32"/>
      <c r="AE76" s="32"/>
      <c r="AF76" s="32">
        <f>BB76/100*AF25</f>
        <v>8253631229.475565</v>
      </c>
      <c r="AG76" s="34">
        <f t="shared" si="18"/>
        <v>1.0223679033767415E-2</v>
      </c>
      <c r="AH76" s="34"/>
      <c r="AI76" s="34">
        <f t="shared" si="24"/>
        <v>-7.4194177132045807E-3</v>
      </c>
      <c r="AV76" s="31">
        <v>13202316</v>
      </c>
      <c r="AX76" s="31">
        <f t="shared" si="25"/>
        <v>7.2006792834566555E-3</v>
      </c>
      <c r="AY76" s="46">
        <v>8176.4243790836999</v>
      </c>
      <c r="AZ76" s="34">
        <f t="shared" si="26"/>
        <v>3.0013877199342965E-3</v>
      </c>
      <c r="BA76" s="31">
        <f t="shared" si="29"/>
        <v>121.6343572381779</v>
      </c>
      <c r="BB76" s="31">
        <f t="shared" si="20"/>
        <v>143.61572949687761</v>
      </c>
      <c r="BD76" s="34">
        <f t="shared" si="30"/>
        <v>1.1834978172983171E-2</v>
      </c>
    </row>
    <row r="77" spans="1:56" s="31" customFormat="1">
      <c r="A77" s="31">
        <f t="shared" si="27"/>
        <v>2030</v>
      </c>
      <c r="B77" s="31">
        <f t="shared" si="28"/>
        <v>4</v>
      </c>
      <c r="C77" s="32"/>
      <c r="D77" s="44">
        <v>125621868.04108965</v>
      </c>
      <c r="E77" s="32"/>
      <c r="F77" s="44">
        <v>22833261.530786589</v>
      </c>
      <c r="G77" s="44">
        <v>3138392.6644985098</v>
      </c>
      <c r="H77" s="44">
        <v>17266510.464533444</v>
      </c>
      <c r="I77" s="44">
        <v>97063.690654600039</v>
      </c>
      <c r="J77" s="44">
        <v>534015.78756292828</v>
      </c>
      <c r="K77" s="32"/>
      <c r="L77" s="44">
        <v>2206622.19911503</v>
      </c>
      <c r="M77" s="33"/>
      <c r="N77" s="44">
        <v>1066734.2279809006</v>
      </c>
      <c r="O77" s="32"/>
      <c r="P77" s="44">
        <v>17319030.065918937</v>
      </c>
      <c r="Q77" s="33"/>
      <c r="R77" s="44">
        <v>25419239.402622361</v>
      </c>
      <c r="S77" s="33"/>
      <c r="T77" s="44">
        <v>97192664.984618336</v>
      </c>
      <c r="U77" s="32"/>
      <c r="V77" s="44">
        <v>135319.231990339</v>
      </c>
      <c r="W77" s="33"/>
      <c r="X77" s="44">
        <v>339882.89714259491</v>
      </c>
      <c r="Y77" s="32"/>
      <c r="Z77" s="32">
        <f t="shared" si="22"/>
        <v>-552059.3232698217</v>
      </c>
      <c r="AA77" s="32"/>
      <c r="AB77" s="32">
        <f t="shared" si="23"/>
        <v>-45748233.122390255</v>
      </c>
      <c r="AC77" s="12"/>
      <c r="AD77" s="32"/>
      <c r="AE77" s="32"/>
      <c r="AF77" s="32">
        <f>BB77/100*AF25</f>
        <v>8250334571.5810394</v>
      </c>
      <c r="AG77" s="34">
        <f t="shared" si="18"/>
        <v>-3.9941909238111153E-4</v>
      </c>
      <c r="AH77" s="34">
        <f>(AF77-AF73)/AF73</f>
        <v>2.5131247157169606E-2</v>
      </c>
      <c r="AI77" s="34">
        <f t="shared" si="24"/>
        <v>-5.5450155051861572E-3</v>
      </c>
      <c r="AV77" s="31">
        <v>13130352</v>
      </c>
      <c r="AX77" s="31">
        <f t="shared" si="25"/>
        <v>-5.4508618033381412E-3</v>
      </c>
      <c r="AY77" s="46">
        <v>8217.9534878478007</v>
      </c>
      <c r="AZ77" s="34">
        <f t="shared" si="26"/>
        <v>5.0791283376065161E-3</v>
      </c>
      <c r="BA77" s="31">
        <f t="shared" si="29"/>
        <v>122.25215374885289</v>
      </c>
      <c r="BB77" s="31">
        <f t="shared" si="20"/>
        <v>143.5583666325503</v>
      </c>
      <c r="BD77" s="34">
        <f t="shared" si="30"/>
        <v>9.9924621926394952E-3</v>
      </c>
    </row>
    <row r="78" spans="1:56" s="23" customFormat="1">
      <c r="A78" s="23">
        <f t="shared" si="27"/>
        <v>2031</v>
      </c>
      <c r="B78" s="23">
        <f t="shared" si="28"/>
        <v>1</v>
      </c>
      <c r="C78" s="24"/>
      <c r="D78" s="41">
        <v>125788536.96560772</v>
      </c>
      <c r="E78" s="24"/>
      <c r="F78" s="41">
        <v>22863555.58071531</v>
      </c>
      <c r="G78" s="41">
        <v>3226341.2270901902</v>
      </c>
      <c r="H78" s="41">
        <v>17750377.506891757</v>
      </c>
      <c r="I78" s="41">
        <v>99783.749291449785</v>
      </c>
      <c r="J78" s="41">
        <v>548980.74763583089</v>
      </c>
      <c r="K78" s="24"/>
      <c r="L78" s="41">
        <v>2626076.1383443698</v>
      </c>
      <c r="M78" s="25"/>
      <c r="N78" s="41">
        <v>1070570.8222510479</v>
      </c>
      <c r="O78" s="24"/>
      <c r="P78" s="41">
        <v>19516686.360276155</v>
      </c>
      <c r="Q78" s="25"/>
      <c r="R78" s="41">
        <v>21550661.88657783</v>
      </c>
      <c r="S78" s="25"/>
      <c r="T78" s="41">
        <v>82400823.555832177</v>
      </c>
      <c r="U78" s="24"/>
      <c r="V78" s="41">
        <v>138198.6895261</v>
      </c>
      <c r="W78" s="25"/>
      <c r="X78" s="41">
        <v>347115.26430178329</v>
      </c>
      <c r="Y78" s="24"/>
      <c r="Z78" s="24">
        <f t="shared" ref="Z78:Z109" si="31">R78+V78-N78-L78-F78</f>
        <v>-4871341.9652067982</v>
      </c>
      <c r="AA78" s="24"/>
      <c r="AB78" s="24">
        <f t="shared" ref="AB78:AB109" si="32">T78-P78-D78</f>
        <v>-62904399.770051695</v>
      </c>
      <c r="AC78" s="12"/>
      <c r="AD78" s="24"/>
      <c r="AE78" s="24"/>
      <c r="AF78" s="24">
        <f>BB78/100*AF25</f>
        <v>8286685578.1874828</v>
      </c>
      <c r="AG78" s="26">
        <f t="shared" si="18"/>
        <v>4.4060039373018224E-3</v>
      </c>
      <c r="AH78" s="26"/>
      <c r="AI78" s="26">
        <f t="shared" ref="AI78:AI109" si="33">AB78/AF78</f>
        <v>-7.5910204600535295E-3</v>
      </c>
      <c r="AV78" s="23">
        <v>13127954</v>
      </c>
      <c r="AX78" s="23">
        <f t="shared" si="25"/>
        <v>-1.8263029049030824E-4</v>
      </c>
      <c r="AY78" s="43">
        <v>8255.6695586014994</v>
      </c>
      <c r="AZ78" s="26">
        <f t="shared" si="26"/>
        <v>4.5894724044703884E-3</v>
      </c>
      <c r="BA78" s="23">
        <f t="shared" si="29"/>
        <v>122.81322663487032</v>
      </c>
      <c r="BB78" s="23">
        <f t="shared" si="20"/>
        <v>144.19088536116593</v>
      </c>
      <c r="BD78" s="26">
        <f t="shared" si="30"/>
        <v>1.188338409994311E-2</v>
      </c>
    </row>
    <row r="79" spans="1:56" s="31" customFormat="1">
      <c r="A79" s="31">
        <f t="shared" si="27"/>
        <v>2031</v>
      </c>
      <c r="B79" s="31">
        <f t="shared" si="28"/>
        <v>2</v>
      </c>
      <c r="C79" s="32"/>
      <c r="D79" s="44">
        <v>125820084.37399825</v>
      </c>
      <c r="E79" s="32"/>
      <c r="F79" s="44">
        <v>22869289.695624061</v>
      </c>
      <c r="G79" s="44">
        <v>3340796.27940014</v>
      </c>
      <c r="H79" s="44">
        <v>18380075.435001165</v>
      </c>
      <c r="I79" s="44">
        <v>103323.59627010999</v>
      </c>
      <c r="J79" s="44">
        <v>568455.94128870999</v>
      </c>
      <c r="K79" s="32"/>
      <c r="L79" s="44">
        <v>2153008.6247782502</v>
      </c>
      <c r="M79" s="33"/>
      <c r="N79" s="44">
        <v>1072587.142624788</v>
      </c>
      <c r="O79" s="32"/>
      <c r="P79" s="44">
        <v>17073029.983298846</v>
      </c>
      <c r="Q79" s="33"/>
      <c r="R79" s="44">
        <v>25701684.739688408</v>
      </c>
      <c r="S79" s="33"/>
      <c r="T79" s="44">
        <v>98272619.210907891</v>
      </c>
      <c r="U79" s="32"/>
      <c r="V79" s="44">
        <v>141598.35336427501</v>
      </c>
      <c r="W79" s="33"/>
      <c r="X79" s="44">
        <v>355654.23971299711</v>
      </c>
      <c r="Y79" s="32"/>
      <c r="Z79" s="32">
        <f t="shared" si="31"/>
        <v>-251602.36997441947</v>
      </c>
      <c r="AA79" s="32"/>
      <c r="AB79" s="32">
        <f t="shared" si="32"/>
        <v>-44620495.146389216</v>
      </c>
      <c r="AC79" s="12"/>
      <c r="AD79" s="32"/>
      <c r="AE79" s="32"/>
      <c r="AF79" s="32">
        <f>BB79/100*AF25</f>
        <v>8315275427.9949703</v>
      </c>
      <c r="AG79" s="34">
        <f t="shared" si="18"/>
        <v>3.4500946775080665E-3</v>
      </c>
      <c r="AH79" s="34"/>
      <c r="AI79" s="34">
        <f t="shared" si="33"/>
        <v>-5.3660874534793828E-3</v>
      </c>
      <c r="AV79" s="31">
        <v>13149232</v>
      </c>
      <c r="AX79" s="31">
        <f t="shared" ref="AX79:AX110" si="34">(AV79-AV78)/AV78</f>
        <v>1.6208161606903863E-3</v>
      </c>
      <c r="AY79" s="46">
        <v>8270.7470397419002</v>
      </c>
      <c r="AZ79" s="34">
        <f t="shared" ref="AZ79:AZ110" si="35">(AY79-AY78)/AY78</f>
        <v>1.82631839045589E-3</v>
      </c>
      <c r="BA79" s="31">
        <f t="shared" si="29"/>
        <v>123.0375226892648</v>
      </c>
      <c r="BB79" s="31">
        <f t="shared" si="20"/>
        <v>144.68835756729567</v>
      </c>
      <c r="BD79" s="34">
        <f t="shared" si="30"/>
        <v>1.0023418619943979E-2</v>
      </c>
    </row>
    <row r="80" spans="1:56" s="31" customFormat="1">
      <c r="A80" s="31">
        <f t="shared" si="27"/>
        <v>2031</v>
      </c>
      <c r="B80" s="31">
        <f t="shared" si="28"/>
        <v>3</v>
      </c>
      <c r="C80" s="32"/>
      <c r="D80" s="44">
        <v>126594544.16947906</v>
      </c>
      <c r="E80" s="32"/>
      <c r="F80" s="44">
        <v>23010056.930907559</v>
      </c>
      <c r="G80" s="44">
        <v>3401321.1994754402</v>
      </c>
      <c r="H80" s="44">
        <v>18713065.687517006</v>
      </c>
      <c r="I80" s="44">
        <v>105195.50101470994</v>
      </c>
      <c r="J80" s="44">
        <v>578754.60889230936</v>
      </c>
      <c r="K80" s="32"/>
      <c r="L80" s="44">
        <v>2125372.81451244</v>
      </c>
      <c r="M80" s="33"/>
      <c r="N80" s="44">
        <v>1081611.5582715906</v>
      </c>
      <c r="O80" s="32"/>
      <c r="P80" s="44">
        <v>16979277.304710068</v>
      </c>
      <c r="Q80" s="33"/>
      <c r="R80" s="44">
        <v>21730781.625734091</v>
      </c>
      <c r="S80" s="33"/>
      <c r="T80" s="44">
        <v>83089526.989780128</v>
      </c>
      <c r="U80" s="32"/>
      <c r="V80" s="44">
        <v>139057.99679915799</v>
      </c>
      <c r="W80" s="33"/>
      <c r="X80" s="44">
        <v>349273.59642654372</v>
      </c>
      <c r="Y80" s="32"/>
      <c r="Z80" s="32">
        <f t="shared" si="31"/>
        <v>-4347201.6811583377</v>
      </c>
      <c r="AA80" s="32"/>
      <c r="AB80" s="32">
        <f t="shared" si="32"/>
        <v>-60484294.484408997</v>
      </c>
      <c r="AC80" s="12"/>
      <c r="AD80" s="32"/>
      <c r="AE80" s="32"/>
      <c r="AF80" s="32">
        <f>BB80/100*AF25</f>
        <v>8326204760.6690931</v>
      </c>
      <c r="AG80" s="34">
        <f t="shared" si="18"/>
        <v>1.314368089038532E-3</v>
      </c>
      <c r="AH80" s="34"/>
      <c r="AI80" s="34">
        <f t="shared" si="33"/>
        <v>-7.2643294541736066E-3</v>
      </c>
      <c r="AV80" s="31">
        <v>13158523</v>
      </c>
      <c r="AX80" s="31">
        <f t="shared" si="34"/>
        <v>7.0658119044519105E-4</v>
      </c>
      <c r="AY80" s="46">
        <v>8275.7703420633006</v>
      </c>
      <c r="AZ80" s="34">
        <f t="shared" si="35"/>
        <v>6.0735775103058136E-4</v>
      </c>
      <c r="BA80" s="31">
        <f t="shared" si="29"/>
        <v>123.11225048233773</v>
      </c>
      <c r="BB80" s="31">
        <f t="shared" si="20"/>
        <v>144.87853132733753</v>
      </c>
      <c r="BD80" s="34">
        <f t="shared" si="30"/>
        <v>1.1885456471611934E-2</v>
      </c>
    </row>
    <row r="81" spans="1:56" s="31" customFormat="1">
      <c r="A81" s="31">
        <f t="shared" si="27"/>
        <v>2031</v>
      </c>
      <c r="B81" s="31">
        <f t="shared" si="28"/>
        <v>4</v>
      </c>
      <c r="C81" s="32"/>
      <c r="D81" s="44">
        <v>126791937.25939851</v>
      </c>
      <c r="E81" s="32"/>
      <c r="F81" s="44">
        <v>23045935.46158684</v>
      </c>
      <c r="G81" s="44">
        <v>3476618.31732366</v>
      </c>
      <c r="H81" s="44">
        <v>19127328.213676471</v>
      </c>
      <c r="I81" s="44">
        <v>107524.27785537019</v>
      </c>
      <c r="J81" s="44">
        <v>591566.85196937143</v>
      </c>
      <c r="K81" s="32"/>
      <c r="L81" s="44">
        <v>2109784.2839798401</v>
      </c>
      <c r="M81" s="33"/>
      <c r="N81" s="44">
        <v>1085450.7466445304</v>
      </c>
      <c r="O81" s="32"/>
      <c r="P81" s="44">
        <v>16919510.427355867</v>
      </c>
      <c r="Q81" s="33"/>
      <c r="R81" s="44">
        <v>26090006.672153529</v>
      </c>
      <c r="S81" s="33"/>
      <c r="T81" s="44">
        <v>99757401.776210308</v>
      </c>
      <c r="U81" s="32"/>
      <c r="V81" s="44">
        <v>142428.86256095901</v>
      </c>
      <c r="W81" s="33"/>
      <c r="X81" s="44">
        <v>357740.23937262181</v>
      </c>
      <c r="Y81" s="32"/>
      <c r="Z81" s="32">
        <f t="shared" si="31"/>
        <v>-8734.9574967250228</v>
      </c>
      <c r="AA81" s="32"/>
      <c r="AB81" s="32">
        <f t="shared" si="32"/>
        <v>-43954045.910544068</v>
      </c>
      <c r="AC81" s="12"/>
      <c r="AD81" s="32"/>
      <c r="AE81" s="32"/>
      <c r="AF81" s="32">
        <f>BB81/100*AF25</f>
        <v>8429864892.9496527</v>
      </c>
      <c r="AG81" s="34">
        <f t="shared" si="18"/>
        <v>1.2449865846468736E-2</v>
      </c>
      <c r="AH81" s="34">
        <f>(AF81-AF77)/AF77</f>
        <v>2.1760368602143761E-2</v>
      </c>
      <c r="AI81" s="34">
        <f t="shared" si="33"/>
        <v>-5.2140866394318119E-3</v>
      </c>
      <c r="AV81" s="31">
        <v>13237452</v>
      </c>
      <c r="AX81" s="31">
        <f t="shared" si="34"/>
        <v>5.9983175923316017E-3</v>
      </c>
      <c r="AY81" s="46">
        <v>8328.8435239646005</v>
      </c>
      <c r="AZ81" s="34">
        <f t="shared" si="35"/>
        <v>6.4130805601920306E-3</v>
      </c>
      <c r="BA81" s="31">
        <f t="shared" si="29"/>
        <v>123.9017792626275</v>
      </c>
      <c r="BB81" s="31">
        <f t="shared" si="20"/>
        <v>146.68224960639628</v>
      </c>
      <c r="BD81" s="34">
        <f t="shared" si="30"/>
        <v>1.0029162918898289E-2</v>
      </c>
    </row>
    <row r="82" spans="1:56" s="23" customFormat="1">
      <c r="A82" s="23">
        <f t="shared" ref="A82:A113" si="36">A78+1</f>
        <v>2032</v>
      </c>
      <c r="B82" s="23">
        <f t="shared" ref="B82:B113" si="37">B78</f>
        <v>1</v>
      </c>
      <c r="C82" s="24"/>
      <c r="D82" s="41">
        <v>127275750.15373801</v>
      </c>
      <c r="E82" s="24"/>
      <c r="F82" s="41">
        <v>23133874.182135139</v>
      </c>
      <c r="G82" s="41">
        <v>3575044.1584822601</v>
      </c>
      <c r="H82" s="41">
        <v>19668838.151413035</v>
      </c>
      <c r="I82" s="41">
        <v>110568.3760355399</v>
      </c>
      <c r="J82" s="41">
        <v>608314.58200249844</v>
      </c>
      <c r="K82" s="24"/>
      <c r="L82" s="41">
        <v>2568592.8893365199</v>
      </c>
      <c r="M82" s="25"/>
      <c r="N82" s="41">
        <v>1092518.1687390618</v>
      </c>
      <c r="O82" s="24"/>
      <c r="P82" s="41">
        <v>19339153.332773503</v>
      </c>
      <c r="Q82" s="25"/>
      <c r="R82" s="41">
        <v>22042831.672956299</v>
      </c>
      <c r="S82" s="25"/>
      <c r="T82" s="41">
        <v>84282677.391242325</v>
      </c>
      <c r="U82" s="24"/>
      <c r="V82" s="41">
        <v>148347.03154414499</v>
      </c>
      <c r="W82" s="25"/>
      <c r="X82" s="41">
        <v>372604.97360292182</v>
      </c>
      <c r="Y82" s="24"/>
      <c r="Z82" s="24">
        <f t="shared" si="31"/>
        <v>-4603806.5357102752</v>
      </c>
      <c r="AA82" s="24"/>
      <c r="AB82" s="24">
        <f t="shared" si="32"/>
        <v>-62332226.095269188</v>
      </c>
      <c r="AC82" s="12"/>
      <c r="AD82" s="24"/>
      <c r="AE82" s="24"/>
      <c r="AF82" s="24">
        <f>BB82/100*AF25</f>
        <v>8445070320.0073996</v>
      </c>
      <c r="AG82" s="26">
        <f t="shared" si="18"/>
        <v>1.8037569107974673E-3</v>
      </c>
      <c r="AH82" s="26"/>
      <c r="AI82" s="26">
        <f t="shared" si="33"/>
        <v>-7.3809007780073254E-3</v>
      </c>
      <c r="AV82" s="23">
        <v>13186773</v>
      </c>
      <c r="AX82" s="23">
        <f t="shared" si="34"/>
        <v>-3.8284558085649716E-3</v>
      </c>
      <c r="AY82" s="43">
        <v>8375.9336247678002</v>
      </c>
      <c r="AZ82" s="26">
        <f t="shared" si="35"/>
        <v>5.6538582658813581E-3</v>
      </c>
      <c r="BA82" s="23">
        <f t="shared" si="29"/>
        <v>124.60230236146892</v>
      </c>
      <c r="BB82" s="23">
        <f t="shared" si="20"/>
        <v>146.94682872781516</v>
      </c>
      <c r="BD82" s="26">
        <f t="shared" si="30"/>
        <v>1.1959213513855786E-2</v>
      </c>
    </row>
    <row r="83" spans="1:56" s="31" customFormat="1">
      <c r="A83" s="31">
        <f t="shared" si="36"/>
        <v>2032</v>
      </c>
      <c r="B83" s="31">
        <f t="shared" si="37"/>
        <v>2</v>
      </c>
      <c r="C83" s="32"/>
      <c r="D83" s="44">
        <v>128237394.30644587</v>
      </c>
      <c r="E83" s="32"/>
      <c r="F83" s="44">
        <v>23308664.390088011</v>
      </c>
      <c r="G83" s="44">
        <v>3677924.9504337902</v>
      </c>
      <c r="H83" s="44">
        <v>20234857.913989317</v>
      </c>
      <c r="I83" s="44">
        <v>113750.25619897991</v>
      </c>
      <c r="J83" s="44">
        <v>625820.3478553216</v>
      </c>
      <c r="K83" s="32"/>
      <c r="L83" s="44">
        <v>2103228.9358691899</v>
      </c>
      <c r="M83" s="33"/>
      <c r="N83" s="44">
        <v>1104165.8219273202</v>
      </c>
      <c r="O83" s="32"/>
      <c r="P83" s="44">
        <v>16988459.517212879</v>
      </c>
      <c r="Q83" s="33"/>
      <c r="R83" s="44">
        <v>26336069.091977432</v>
      </c>
      <c r="S83" s="33"/>
      <c r="T83" s="44">
        <v>100698242.76505524</v>
      </c>
      <c r="U83" s="32"/>
      <c r="V83" s="44">
        <v>153911.029283098</v>
      </c>
      <c r="W83" s="33"/>
      <c r="X83" s="44">
        <v>386580.13177811162</v>
      </c>
      <c r="Y83" s="32"/>
      <c r="Z83" s="32">
        <f t="shared" si="31"/>
        <v>-26079.026623990387</v>
      </c>
      <c r="AA83" s="32"/>
      <c r="AB83" s="32">
        <f t="shared" si="32"/>
        <v>-44527611.05860351</v>
      </c>
      <c r="AC83" s="12"/>
      <c r="AD83" s="32"/>
      <c r="AE83" s="32"/>
      <c r="AF83" s="32">
        <f>BB83/100*AF25</f>
        <v>8508527966.2727804</v>
      </c>
      <c r="AG83" s="34">
        <f t="shared" si="18"/>
        <v>7.5141643421301032E-3</v>
      </c>
      <c r="AH83" s="34"/>
      <c r="AI83" s="34">
        <f t="shared" si="33"/>
        <v>-5.2332919672013652E-3</v>
      </c>
      <c r="AV83" s="31">
        <v>13270448</v>
      </c>
      <c r="AX83" s="31">
        <f t="shared" si="34"/>
        <v>6.345373504192421E-3</v>
      </c>
      <c r="AY83" s="46">
        <v>8385.6616115381003</v>
      </c>
      <c r="AZ83" s="34">
        <f t="shared" si="35"/>
        <v>1.1614211867121537E-3</v>
      </c>
      <c r="BA83" s="31">
        <f t="shared" si="29"/>
        <v>124.74701811534463</v>
      </c>
      <c r="BB83" s="31">
        <f t="shared" si="20"/>
        <v>148.05101134843079</v>
      </c>
      <c r="BD83" s="34">
        <f t="shared" si="30"/>
        <v>1.0096935872031402E-2</v>
      </c>
    </row>
    <row r="84" spans="1:56" s="31" customFormat="1">
      <c r="A84" s="31">
        <f t="shared" si="36"/>
        <v>2032</v>
      </c>
      <c r="B84" s="31">
        <f t="shared" si="37"/>
        <v>3</v>
      </c>
      <c r="C84" s="32"/>
      <c r="D84" s="44">
        <v>128094614.97803727</v>
      </c>
      <c r="E84" s="32"/>
      <c r="F84" s="44">
        <v>23282712.55703871</v>
      </c>
      <c r="G84" s="44">
        <v>3769667.8388965898</v>
      </c>
      <c r="H84" s="44">
        <v>20739600.217783406</v>
      </c>
      <c r="I84" s="44">
        <v>116587.66512052016</v>
      </c>
      <c r="J84" s="44">
        <v>641430.93457065977</v>
      </c>
      <c r="K84" s="32"/>
      <c r="L84" s="44">
        <v>2093108.7063746499</v>
      </c>
      <c r="M84" s="33"/>
      <c r="N84" s="44">
        <v>1105983.931335479</v>
      </c>
      <c r="O84" s="32"/>
      <c r="P84" s="44">
        <v>16945948.299790855</v>
      </c>
      <c r="Q84" s="33"/>
      <c r="R84" s="44">
        <v>22381488.986232851</v>
      </c>
      <c r="S84" s="33"/>
      <c r="T84" s="44">
        <v>85577562.980560273</v>
      </c>
      <c r="U84" s="32"/>
      <c r="V84" s="44">
        <v>151397.71231221501</v>
      </c>
      <c r="W84" s="33"/>
      <c r="X84" s="44">
        <v>380267.40415664279</v>
      </c>
      <c r="Y84" s="32"/>
      <c r="Z84" s="32">
        <f t="shared" si="31"/>
        <v>-3948918.4962037727</v>
      </c>
      <c r="AA84" s="32"/>
      <c r="AB84" s="32">
        <f t="shared" si="32"/>
        <v>-59463000.297267854</v>
      </c>
      <c r="AC84" s="12"/>
      <c r="AD84" s="32"/>
      <c r="AE84" s="32"/>
      <c r="AF84" s="32">
        <f>BB84/100*AF25</f>
        <v>8564211835.957427</v>
      </c>
      <c r="AG84" s="34">
        <f t="shared" si="18"/>
        <v>6.5444774825179674E-3</v>
      </c>
      <c r="AH84" s="34"/>
      <c r="AI84" s="34">
        <f t="shared" si="33"/>
        <v>-6.9431958756097549E-3</v>
      </c>
      <c r="AV84" s="31">
        <v>13308919</v>
      </c>
      <c r="AX84" s="31">
        <f t="shared" si="34"/>
        <v>2.89899783338136E-3</v>
      </c>
      <c r="AY84" s="46">
        <v>8416.1430047944996</v>
      </c>
      <c r="AZ84" s="34">
        <f t="shared" si="35"/>
        <v>3.6349419602692994E-3</v>
      </c>
      <c r="BA84" s="31">
        <f t="shared" si="29"/>
        <v>125.20046628591057</v>
      </c>
      <c r="BB84" s="31">
        <f t="shared" si="20"/>
        <v>149.0199278584646</v>
      </c>
      <c r="BD84" s="34">
        <f t="shared" si="30"/>
        <v>1.1998448748081439E-2</v>
      </c>
    </row>
    <row r="85" spans="1:56" s="31" customFormat="1">
      <c r="A85" s="31">
        <f t="shared" si="36"/>
        <v>2032</v>
      </c>
      <c r="B85" s="31">
        <f t="shared" si="37"/>
        <v>4</v>
      </c>
      <c r="C85" s="32"/>
      <c r="D85" s="44">
        <v>128958583.76950622</v>
      </c>
      <c r="E85" s="32"/>
      <c r="F85" s="44">
        <v>23439749.111881182</v>
      </c>
      <c r="G85" s="44">
        <v>3853597.7242892198</v>
      </c>
      <c r="H85" s="44">
        <v>21201357.683894012</v>
      </c>
      <c r="I85" s="44">
        <v>119183.43477183022</v>
      </c>
      <c r="J85" s="44">
        <v>655712.09331630229</v>
      </c>
      <c r="K85" s="32"/>
      <c r="L85" s="44">
        <v>2116319.6930806101</v>
      </c>
      <c r="M85" s="33"/>
      <c r="N85" s="44">
        <v>1115996.9154194668</v>
      </c>
      <c r="O85" s="32"/>
      <c r="P85" s="44">
        <v>17121478.704270646</v>
      </c>
      <c r="Q85" s="33"/>
      <c r="R85" s="44">
        <v>26870033.018669579</v>
      </c>
      <c r="S85" s="33"/>
      <c r="T85" s="44">
        <v>102739900.11832392</v>
      </c>
      <c r="U85" s="32"/>
      <c r="V85" s="44">
        <v>148354.16319003201</v>
      </c>
      <c r="W85" s="33"/>
      <c r="X85" s="44">
        <v>372622.88624127943</v>
      </c>
      <c r="Y85" s="32"/>
      <c r="Z85" s="32">
        <f t="shared" si="31"/>
        <v>346321.46147835255</v>
      </c>
      <c r="AA85" s="32"/>
      <c r="AB85" s="32">
        <f t="shared" si="32"/>
        <v>-43340162.35545294</v>
      </c>
      <c r="AC85" s="12"/>
      <c r="AD85" s="32"/>
      <c r="AE85" s="32"/>
      <c r="AF85" s="32">
        <f>BB85/100*AF25</f>
        <v>8645676959.8834877</v>
      </c>
      <c r="AG85" s="34">
        <f t="shared" si="18"/>
        <v>9.5122733400899544E-3</v>
      </c>
      <c r="AH85" s="34">
        <f>(AF85-AF81)/AF81</f>
        <v>2.5600892739613208E-2</v>
      </c>
      <c r="AI85" s="34">
        <f t="shared" si="33"/>
        <v>-5.0129287222451359E-3</v>
      </c>
      <c r="AV85" s="31">
        <v>13375499</v>
      </c>
      <c r="AX85" s="31">
        <f t="shared" si="34"/>
        <v>5.0026602461101461E-3</v>
      </c>
      <c r="AY85" s="46">
        <v>8453.9076299009994</v>
      </c>
      <c r="AZ85" s="34">
        <f t="shared" si="35"/>
        <v>4.4871653303640508E-3</v>
      </c>
      <c r="BA85" s="31">
        <f t="shared" si="29"/>
        <v>125.7622614775741</v>
      </c>
      <c r="BB85" s="31">
        <f t="shared" si="20"/>
        <v>150.43744614537482</v>
      </c>
      <c r="BD85" s="34">
        <f t="shared" si="30"/>
        <v>1.0141559030611523E-2</v>
      </c>
    </row>
    <row r="86" spans="1:56" s="23" customFormat="1">
      <c r="A86" s="23">
        <f t="shared" si="36"/>
        <v>2033</v>
      </c>
      <c r="B86" s="23">
        <f t="shared" si="37"/>
        <v>1</v>
      </c>
      <c r="C86" s="24"/>
      <c r="D86" s="41">
        <v>129366497.32441305</v>
      </c>
      <c r="E86" s="24"/>
      <c r="F86" s="41">
        <v>23513892.229050033</v>
      </c>
      <c r="G86" s="41">
        <v>3922230.5366142699</v>
      </c>
      <c r="H86" s="41">
        <v>21578955.167353015</v>
      </c>
      <c r="I86" s="41">
        <v>121306.09907054994</v>
      </c>
      <c r="J86" s="41">
        <v>667390.36600063904</v>
      </c>
      <c r="K86" s="24"/>
      <c r="L86" s="41">
        <v>2593084.2987406198</v>
      </c>
      <c r="M86" s="25"/>
      <c r="N86" s="41">
        <v>1121894.8190654442</v>
      </c>
      <c r="O86" s="24"/>
      <c r="P86" s="41">
        <v>19627861.03518128</v>
      </c>
      <c r="Q86" s="25"/>
      <c r="R86" s="41">
        <v>22748993.491696469</v>
      </c>
      <c r="S86" s="25"/>
      <c r="T86" s="41">
        <v>86982748.309440672</v>
      </c>
      <c r="U86" s="24"/>
      <c r="V86" s="41">
        <v>153320.03622347399</v>
      </c>
      <c r="W86" s="25"/>
      <c r="X86" s="41">
        <v>385095.72760036314</v>
      </c>
      <c r="Y86" s="24"/>
      <c r="Z86" s="24">
        <f t="shared" si="31"/>
        <v>-4326557.8189361542</v>
      </c>
      <c r="AA86" s="24"/>
      <c r="AB86" s="24">
        <f t="shared" si="32"/>
        <v>-62011610.050153658</v>
      </c>
      <c r="AC86" s="12"/>
      <c r="AD86" s="24"/>
      <c r="AE86" s="24"/>
      <c r="AF86" s="24">
        <f>BB86/100*AF25</f>
        <v>8677952264.3469944</v>
      </c>
      <c r="AG86" s="26">
        <f t="shared" si="18"/>
        <v>3.7331147824821867E-3</v>
      </c>
      <c r="AH86" s="26"/>
      <c r="AI86" s="26">
        <f t="shared" si="33"/>
        <v>-7.1458805212522057E-3</v>
      </c>
      <c r="AV86" s="23">
        <v>13387490</v>
      </c>
      <c r="AX86" s="23">
        <f t="shared" si="34"/>
        <v>8.9648991787147532E-4</v>
      </c>
      <c r="AY86" s="43">
        <v>8477.8667154084997</v>
      </c>
      <c r="AZ86" s="26">
        <f t="shared" si="35"/>
        <v>2.8340841367556855E-3</v>
      </c>
      <c r="BA86" s="23">
        <f t="shared" si="29"/>
        <v>126.11868230783023</v>
      </c>
      <c r="BB86" s="23">
        <f t="shared" si="20"/>
        <v>150.99904639941897</v>
      </c>
      <c r="BD86" s="26">
        <f t="shared" si="30"/>
        <v>1.2022610833604536E-2</v>
      </c>
    </row>
    <row r="87" spans="1:56" s="31" customFormat="1">
      <c r="A87" s="31">
        <f t="shared" si="36"/>
        <v>2033</v>
      </c>
      <c r="B87" s="31">
        <f t="shared" si="37"/>
        <v>2</v>
      </c>
      <c r="C87" s="32"/>
      <c r="D87" s="44">
        <v>129609361.04437716</v>
      </c>
      <c r="E87" s="32"/>
      <c r="F87" s="44">
        <v>23558035.584986012</v>
      </c>
      <c r="G87" s="44">
        <v>3978795.4864528901</v>
      </c>
      <c r="H87" s="44">
        <v>21890158.832006752</v>
      </c>
      <c r="I87" s="44">
        <v>123055.53050884977</v>
      </c>
      <c r="J87" s="44">
        <v>677015.22160844249</v>
      </c>
      <c r="K87" s="32"/>
      <c r="L87" s="44">
        <v>2123613.4698703699</v>
      </c>
      <c r="M87" s="33"/>
      <c r="N87" s="44">
        <v>1126249.1956656501</v>
      </c>
      <c r="O87" s="32"/>
      <c r="P87" s="44">
        <v>17215731.167708661</v>
      </c>
      <c r="Q87" s="33"/>
      <c r="R87" s="44">
        <v>27121390.388950143</v>
      </c>
      <c r="S87" s="33"/>
      <c r="T87" s="44">
        <v>103700986.80916224</v>
      </c>
      <c r="U87" s="32"/>
      <c r="V87" s="44">
        <v>153914.73580822599</v>
      </c>
      <c r="W87" s="33"/>
      <c r="X87" s="44">
        <v>386589.4415006123</v>
      </c>
      <c r="Y87" s="32"/>
      <c r="Z87" s="32">
        <f t="shared" si="31"/>
        <v>467406.87423633784</v>
      </c>
      <c r="AA87" s="32"/>
      <c r="AB87" s="32">
        <f t="shared" si="32"/>
        <v>-43124105.402923584</v>
      </c>
      <c r="AC87" s="12"/>
      <c r="AD87" s="32"/>
      <c r="AE87" s="32"/>
      <c r="AF87" s="32">
        <f>BB87/100*AF25</f>
        <v>8725031895.649025</v>
      </c>
      <c r="AG87" s="34">
        <f t="shared" si="18"/>
        <v>5.4252005390091011E-3</v>
      </c>
      <c r="AH87" s="34"/>
      <c r="AI87" s="34">
        <f t="shared" si="33"/>
        <v>-4.9425728087514036E-3</v>
      </c>
      <c r="AV87" s="31">
        <v>13368898</v>
      </c>
      <c r="AX87" s="31">
        <f t="shared" si="34"/>
        <v>-1.3887592072897906E-3</v>
      </c>
      <c r="AY87" s="46">
        <v>8535.7148951340005</v>
      </c>
      <c r="AZ87" s="34">
        <f t="shared" si="35"/>
        <v>6.8234358556689629E-3</v>
      </c>
      <c r="BA87" s="31">
        <f t="shared" si="29"/>
        <v>126.97924504675919</v>
      </c>
      <c r="BB87" s="31">
        <f t="shared" si="20"/>
        <v>151.81824650733498</v>
      </c>
      <c r="BD87" s="34">
        <f t="shared" si="30"/>
        <v>1.0112929854596747E-2</v>
      </c>
    </row>
    <row r="88" spans="1:56" s="31" customFormat="1">
      <c r="A88" s="31">
        <f t="shared" si="36"/>
        <v>2033</v>
      </c>
      <c r="B88" s="31">
        <f t="shared" si="37"/>
        <v>3</v>
      </c>
      <c r="C88" s="32"/>
      <c r="D88" s="44">
        <v>129571234.18794014</v>
      </c>
      <c r="E88" s="32"/>
      <c r="F88" s="44">
        <v>23551105.577512402</v>
      </c>
      <c r="G88" s="44">
        <v>4063053.7174024</v>
      </c>
      <c r="H88" s="44">
        <v>22353722.758493707</v>
      </c>
      <c r="I88" s="44">
        <v>125661.45517739002</v>
      </c>
      <c r="J88" s="44">
        <v>691352.25026267115</v>
      </c>
      <c r="K88" s="32"/>
      <c r="L88" s="44">
        <v>2089836.9426230099</v>
      </c>
      <c r="M88" s="33"/>
      <c r="N88" s="44">
        <v>1126718.3783932067</v>
      </c>
      <c r="O88" s="32"/>
      <c r="P88" s="44">
        <v>17043045.912190985</v>
      </c>
      <c r="Q88" s="33"/>
      <c r="R88" s="44">
        <v>22956582.966609981</v>
      </c>
      <c r="S88" s="33"/>
      <c r="T88" s="44">
        <v>87776484.658905178</v>
      </c>
      <c r="U88" s="32"/>
      <c r="V88" s="44">
        <v>150036.792491311</v>
      </c>
      <c r="W88" s="33"/>
      <c r="X88" s="44">
        <v>376849.16593060363</v>
      </c>
      <c r="Y88" s="32"/>
      <c r="Z88" s="32">
        <f t="shared" si="31"/>
        <v>-3661041.1394273303</v>
      </c>
      <c r="AA88" s="32"/>
      <c r="AB88" s="32">
        <f t="shared" si="32"/>
        <v>-58837795.441225946</v>
      </c>
      <c r="AC88" s="12"/>
      <c r="AD88" s="32"/>
      <c r="AE88" s="32"/>
      <c r="AF88" s="32">
        <f>BB88/100*AF25</f>
        <v>8752124715.5637493</v>
      </c>
      <c r="AG88" s="34">
        <f t="shared" si="18"/>
        <v>3.1051829080687857E-3</v>
      </c>
      <c r="AH88" s="34"/>
      <c r="AI88" s="34">
        <f t="shared" si="33"/>
        <v>-6.7226870449635769E-3</v>
      </c>
      <c r="AV88" s="31">
        <v>13366061</v>
      </c>
      <c r="AX88" s="31">
        <f t="shared" si="34"/>
        <v>-2.1220896441875763E-4</v>
      </c>
      <c r="AY88" s="46">
        <v>8564.0372166034995</v>
      </c>
      <c r="AZ88" s="34">
        <f t="shared" si="35"/>
        <v>3.3180960022042038E-3</v>
      </c>
      <c r="BA88" s="31">
        <f t="shared" si="29"/>
        <v>127.40057437211173</v>
      </c>
      <c r="BB88" s="31">
        <f t="shared" si="20"/>
        <v>152.28966993152252</v>
      </c>
      <c r="BD88" s="34">
        <f t="shared" si="30"/>
        <v>1.1956369896558551E-2</v>
      </c>
    </row>
    <row r="89" spans="1:56" s="31" customFormat="1">
      <c r="A89" s="31">
        <f t="shared" si="36"/>
        <v>2033</v>
      </c>
      <c r="B89" s="31">
        <f t="shared" si="37"/>
        <v>4</v>
      </c>
      <c r="C89" s="32"/>
      <c r="D89" s="44">
        <v>129807750.73731582</v>
      </c>
      <c r="E89" s="32"/>
      <c r="F89" s="44">
        <v>23594095.260061048</v>
      </c>
      <c r="G89" s="44">
        <v>4164899.64711555</v>
      </c>
      <c r="H89" s="44">
        <v>22914049.014368143</v>
      </c>
      <c r="I89" s="44">
        <v>128811.32929223031</v>
      </c>
      <c r="J89" s="44">
        <v>708681.92827940953</v>
      </c>
      <c r="K89" s="32"/>
      <c r="L89" s="44">
        <v>2031290.9166226799</v>
      </c>
      <c r="M89" s="33"/>
      <c r="N89" s="44">
        <v>1130460.1936138719</v>
      </c>
      <c r="O89" s="32"/>
      <c r="P89" s="44">
        <v>16759836.6682893</v>
      </c>
      <c r="Q89" s="33"/>
      <c r="R89" s="44">
        <v>27521382.456729647</v>
      </c>
      <c r="S89" s="33"/>
      <c r="T89" s="44">
        <v>105230391.14830969</v>
      </c>
      <c r="U89" s="32"/>
      <c r="V89" s="44">
        <v>153882.95302893201</v>
      </c>
      <c r="W89" s="33"/>
      <c r="X89" s="44">
        <v>386509.61232225533</v>
      </c>
      <c r="Y89" s="32"/>
      <c r="Z89" s="32">
        <f t="shared" si="31"/>
        <v>919419.0394609794</v>
      </c>
      <c r="AA89" s="32"/>
      <c r="AB89" s="32">
        <f t="shared" si="32"/>
        <v>-41337196.25729543</v>
      </c>
      <c r="AC89" s="12"/>
      <c r="AD89" s="32"/>
      <c r="AE89" s="32"/>
      <c r="AF89" s="32">
        <f>BB89/100*AF25</f>
        <v>8799106314.6745529</v>
      </c>
      <c r="AG89" s="34">
        <f t="shared" si="18"/>
        <v>5.3680221246455795E-3</v>
      </c>
      <c r="AH89" s="34">
        <f>(AF89-AF85)/AF85</f>
        <v>1.7746366826217028E-2</v>
      </c>
      <c r="AI89" s="34">
        <f t="shared" si="33"/>
        <v>-4.6978857600977111E-3</v>
      </c>
      <c r="AV89" s="31">
        <v>13351862</v>
      </c>
      <c r="AX89" s="31">
        <f t="shared" si="34"/>
        <v>-1.0623174621154281E-3</v>
      </c>
      <c r="AY89" s="46">
        <v>8619.1654478225992</v>
      </c>
      <c r="AZ89" s="34">
        <f t="shared" si="35"/>
        <v>6.4371779132650206E-3</v>
      </c>
      <c r="BA89" s="31">
        <f t="shared" si="29"/>
        <v>128.22067453559717</v>
      </c>
      <c r="BB89" s="31">
        <f t="shared" si="20"/>
        <v>153.10716424906991</v>
      </c>
      <c r="BD89" s="34">
        <f t="shared" si="30"/>
        <v>1.0102915504853986E-2</v>
      </c>
    </row>
    <row r="90" spans="1:56" s="23" customFormat="1">
      <c r="A90" s="23">
        <f t="shared" si="36"/>
        <v>2034</v>
      </c>
      <c r="B90" s="23">
        <f t="shared" si="37"/>
        <v>1</v>
      </c>
      <c r="C90" s="24"/>
      <c r="D90" s="41">
        <v>130231350.27806847</v>
      </c>
      <c r="E90" s="24"/>
      <c r="F90" s="41">
        <v>23671089.49083592</v>
      </c>
      <c r="G90" s="41">
        <v>4247646.2053286796</v>
      </c>
      <c r="H90" s="41">
        <v>23369296.1634751</v>
      </c>
      <c r="I90" s="41">
        <v>131370.50119573064</v>
      </c>
      <c r="J90" s="41">
        <v>722761.73701468436</v>
      </c>
      <c r="K90" s="24"/>
      <c r="L90" s="41">
        <v>2514860.2115964</v>
      </c>
      <c r="M90" s="25"/>
      <c r="N90" s="41">
        <v>1135867.7107035704</v>
      </c>
      <c r="O90" s="24"/>
      <c r="P90" s="41">
        <v>19298830.60225169</v>
      </c>
      <c r="Q90" s="25"/>
      <c r="R90" s="41">
        <v>23380759.916727021</v>
      </c>
      <c r="S90" s="25"/>
      <c r="T90" s="41">
        <v>89398361.991815045</v>
      </c>
      <c r="U90" s="24"/>
      <c r="V90" s="41">
        <v>153195.028908251</v>
      </c>
      <c r="W90" s="25"/>
      <c r="X90" s="41">
        <v>384781.74526513205</v>
      </c>
      <c r="Y90" s="24"/>
      <c r="Z90" s="24">
        <f t="shared" si="31"/>
        <v>-3787862.4675006159</v>
      </c>
      <c r="AA90" s="24"/>
      <c r="AB90" s="24">
        <f t="shared" si="32"/>
        <v>-60131818.888505116</v>
      </c>
      <c r="AC90" s="12"/>
      <c r="AD90" s="24"/>
      <c r="AE90" s="24"/>
      <c r="AF90" s="24">
        <f>BB90/100*AF25</f>
        <v>8854009089.97048</v>
      </c>
      <c r="AG90" s="26">
        <f t="shared" ref="AG90:AG117" si="38">(AF90-AF89)/AF89</f>
        <v>6.2395854002086464E-3</v>
      </c>
      <c r="AH90" s="26"/>
      <c r="AI90" s="26">
        <f t="shared" si="33"/>
        <v>-6.7914792358436124E-3</v>
      </c>
      <c r="AV90" s="23">
        <v>13350753</v>
      </c>
      <c r="AX90" s="23">
        <f t="shared" si="34"/>
        <v>-8.3059576259850499E-5</v>
      </c>
      <c r="AY90" s="43">
        <v>8673.6658977268999</v>
      </c>
      <c r="AZ90" s="26">
        <f t="shared" si="35"/>
        <v>6.3231701763038755E-3</v>
      </c>
      <c r="BA90" s="23">
        <f t="shared" ref="BA90:BA117" si="39">BA89*((1+AZ90))</f>
        <v>129.03143568080623</v>
      </c>
      <c r="BB90" s="23">
        <f t="shared" si="20"/>
        <v>154.06248947578572</v>
      </c>
      <c r="BD90" s="26">
        <f t="shared" si="30"/>
        <v>1.2012867379301392E-2</v>
      </c>
    </row>
    <row r="91" spans="1:56" s="31" customFormat="1">
      <c r="A91" s="31">
        <f t="shared" si="36"/>
        <v>2034</v>
      </c>
      <c r="B91" s="31">
        <f t="shared" si="37"/>
        <v>2</v>
      </c>
      <c r="C91" s="32"/>
      <c r="D91" s="44">
        <v>130551478.08932848</v>
      </c>
      <c r="E91" s="32"/>
      <c r="F91" s="44">
        <v>23729276.509957362</v>
      </c>
      <c r="G91" s="44">
        <v>4353220.1943553397</v>
      </c>
      <c r="H91" s="44">
        <v>23950133.101737142</v>
      </c>
      <c r="I91" s="44">
        <v>134635.67611409072</v>
      </c>
      <c r="J91" s="44">
        <v>740725.76603315165</v>
      </c>
      <c r="K91" s="32"/>
      <c r="L91" s="44">
        <v>2035467.7417868499</v>
      </c>
      <c r="M91" s="33"/>
      <c r="N91" s="44">
        <v>1141051.9584123082</v>
      </c>
      <c r="O91" s="32"/>
      <c r="P91" s="44">
        <v>16839782.998767126</v>
      </c>
      <c r="Q91" s="33"/>
      <c r="R91" s="44">
        <v>27820067.45652476</v>
      </c>
      <c r="S91" s="33"/>
      <c r="T91" s="44">
        <v>106372439.13256299</v>
      </c>
      <c r="U91" s="32"/>
      <c r="V91" s="44">
        <v>155448.805918631</v>
      </c>
      <c r="W91" s="33"/>
      <c r="X91" s="44">
        <v>390442.58333326428</v>
      </c>
      <c r="Y91" s="32"/>
      <c r="Z91" s="32">
        <f t="shared" si="31"/>
        <v>1069720.0522868708</v>
      </c>
      <c r="AA91" s="32"/>
      <c r="AB91" s="32">
        <f t="shared" si="32"/>
        <v>-41018821.95553261</v>
      </c>
      <c r="AC91" s="12"/>
      <c r="AD91" s="32"/>
      <c r="AE91" s="32"/>
      <c r="AF91" s="32">
        <f>BB91/100*AF25</f>
        <v>8865515981.7698956</v>
      </c>
      <c r="AG91" s="34">
        <f t="shared" si="38"/>
        <v>1.2996250266390853E-3</v>
      </c>
      <c r="AH91" s="34"/>
      <c r="AI91" s="34">
        <f t="shared" si="33"/>
        <v>-4.6267833750319055E-3</v>
      </c>
      <c r="AV91" s="31">
        <v>13366652</v>
      </c>
      <c r="AX91" s="31">
        <f t="shared" si="34"/>
        <v>1.1908691592152144E-3</v>
      </c>
      <c r="AY91" s="46">
        <v>8674.6080877602999</v>
      </c>
      <c r="AZ91" s="34">
        <f t="shared" si="35"/>
        <v>1.0862650746634791E-4</v>
      </c>
      <c r="BA91" s="31">
        <f t="shared" si="39"/>
        <v>129.04545191501759</v>
      </c>
      <c r="BB91" s="31">
        <f t="shared" ref="BB91:BB117" si="40">BB90*(1+AX91)*(1+AZ91)</f>
        <v>154.26271294277481</v>
      </c>
      <c r="BD91" s="34">
        <f t="shared" si="30"/>
        <v>1.0164631168069061E-2</v>
      </c>
    </row>
    <row r="92" spans="1:56" s="31" customFormat="1">
      <c r="A92" s="31">
        <f t="shared" si="36"/>
        <v>2034</v>
      </c>
      <c r="B92" s="31">
        <f t="shared" si="37"/>
        <v>3</v>
      </c>
      <c r="C92" s="32"/>
      <c r="D92" s="44">
        <v>131095932.37991071</v>
      </c>
      <c r="E92" s="32"/>
      <c r="F92" s="44">
        <v>23828237.522098631</v>
      </c>
      <c r="G92" s="44">
        <v>4409759.5029482702</v>
      </c>
      <c r="H92" s="44">
        <v>24261195.695822485</v>
      </c>
      <c r="I92" s="44">
        <v>136384.31452417001</v>
      </c>
      <c r="J92" s="44">
        <v>750346.2586336669</v>
      </c>
      <c r="K92" s="32"/>
      <c r="L92" s="44">
        <v>1993373.7083139401</v>
      </c>
      <c r="M92" s="33"/>
      <c r="N92" s="44">
        <v>1147824.9023748301</v>
      </c>
      <c r="O92" s="32"/>
      <c r="P92" s="44">
        <v>16658619.598309837</v>
      </c>
      <c r="Q92" s="33"/>
      <c r="R92" s="44">
        <v>23570005.864600822</v>
      </c>
      <c r="S92" s="33"/>
      <c r="T92" s="44">
        <v>90121960.275778547</v>
      </c>
      <c r="U92" s="32"/>
      <c r="V92" s="44">
        <v>148954.33237268301</v>
      </c>
      <c r="W92" s="33"/>
      <c r="X92" s="44">
        <v>374130.33819452202</v>
      </c>
      <c r="Y92" s="32"/>
      <c r="Z92" s="32">
        <f t="shared" si="31"/>
        <v>-3250475.9358138964</v>
      </c>
      <c r="AA92" s="32"/>
      <c r="AB92" s="32">
        <f t="shared" si="32"/>
        <v>-57632591.70244199</v>
      </c>
      <c r="AC92" s="12"/>
      <c r="AD92" s="32"/>
      <c r="AE92" s="32"/>
      <c r="AF92" s="32">
        <f>BB92/100*AF25</f>
        <v>8886400996.508749</v>
      </c>
      <c r="AG92" s="34">
        <f t="shared" si="38"/>
        <v>2.355758512172239E-3</v>
      </c>
      <c r="AH92" s="34"/>
      <c r="AI92" s="34">
        <f t="shared" si="33"/>
        <v>-6.4854817743521176E-3</v>
      </c>
      <c r="AV92" s="31">
        <v>13343387</v>
      </c>
      <c r="AX92" s="31">
        <f t="shared" si="34"/>
        <v>-1.7405256005767189E-3</v>
      </c>
      <c r="AY92" s="46">
        <v>8710.2037021325996</v>
      </c>
      <c r="AZ92" s="34">
        <f t="shared" si="35"/>
        <v>4.1034262311543945E-3</v>
      </c>
      <c r="BA92" s="31">
        <f t="shared" si="39"/>
        <v>129.57498040741683</v>
      </c>
      <c r="BB92" s="31">
        <f t="shared" si="40"/>
        <v>154.62611864190052</v>
      </c>
      <c r="BD92" s="34">
        <f t="shared" si="30"/>
        <v>1.2102748186469453E-2</v>
      </c>
    </row>
    <row r="93" spans="1:56" s="31" customFormat="1">
      <c r="A93" s="31">
        <f t="shared" si="36"/>
        <v>2034</v>
      </c>
      <c r="B93" s="31">
        <f t="shared" si="37"/>
        <v>4</v>
      </c>
      <c r="C93" s="32"/>
      <c r="D93" s="44">
        <v>131007301.2598048</v>
      </c>
      <c r="E93" s="32"/>
      <c r="F93" s="44">
        <v>23812127.766872868</v>
      </c>
      <c r="G93" s="44">
        <v>4483337.9179559303</v>
      </c>
      <c r="H93" s="44">
        <v>24666002.426052514</v>
      </c>
      <c r="I93" s="44">
        <v>138659.93560688943</v>
      </c>
      <c r="J93" s="44">
        <v>762866.0544140226</v>
      </c>
      <c r="K93" s="32"/>
      <c r="L93" s="44">
        <v>1987214.8808895501</v>
      </c>
      <c r="M93" s="33"/>
      <c r="N93" s="44">
        <v>1147698.8109240122</v>
      </c>
      <c r="O93" s="32"/>
      <c r="P93" s="44">
        <v>16625967.695567437</v>
      </c>
      <c r="Q93" s="33"/>
      <c r="R93" s="44">
        <v>28103555.873596236</v>
      </c>
      <c r="S93" s="33"/>
      <c r="T93" s="44">
        <v>107456381.66565883</v>
      </c>
      <c r="U93" s="32"/>
      <c r="V93" s="44">
        <v>149728.72593280399</v>
      </c>
      <c r="W93" s="33"/>
      <c r="X93" s="44">
        <v>376075.3915536874</v>
      </c>
      <c r="Y93" s="32"/>
      <c r="Z93" s="32">
        <f t="shared" si="31"/>
        <v>1306243.1408426091</v>
      </c>
      <c r="AA93" s="32"/>
      <c r="AB93" s="32">
        <f t="shared" si="32"/>
        <v>-40176887.289713398</v>
      </c>
      <c r="AC93" s="12"/>
      <c r="AD93" s="32"/>
      <c r="AE93" s="32"/>
      <c r="AF93" s="32">
        <f>BB93/100*AF25</f>
        <v>8937857438.1952286</v>
      </c>
      <c r="AG93" s="34">
        <f t="shared" si="38"/>
        <v>5.7904703722795716E-3</v>
      </c>
      <c r="AH93" s="34">
        <f>(AF93-AF89)/AF89</f>
        <v>1.5768774527621737E-2</v>
      </c>
      <c r="AI93" s="34">
        <f t="shared" si="33"/>
        <v>-4.4951362860209251E-3</v>
      </c>
      <c r="AV93" s="31">
        <v>13358980</v>
      </c>
      <c r="AX93" s="31">
        <f t="shared" si="34"/>
        <v>1.1685938510214834E-3</v>
      </c>
      <c r="AY93" s="46">
        <v>8750.4141983802001</v>
      </c>
      <c r="AZ93" s="34">
        <f t="shared" si="35"/>
        <v>4.6164817290961198E-3</v>
      </c>
      <c r="BA93" s="31">
        <f t="shared" si="39"/>
        <v>130.17316093701567</v>
      </c>
      <c r="BB93" s="31">
        <f t="shared" si="40"/>
        <v>155.52147660067703</v>
      </c>
      <c r="BD93" s="34">
        <f t="shared" si="30"/>
        <v>1.018382232789963E-2</v>
      </c>
    </row>
    <row r="94" spans="1:56" s="23" customFormat="1">
      <c r="A94" s="23">
        <f t="shared" si="36"/>
        <v>2035</v>
      </c>
      <c r="B94" s="23">
        <f t="shared" si="37"/>
        <v>1</v>
      </c>
      <c r="C94" s="24"/>
      <c r="D94" s="41">
        <v>131375898.41558005</v>
      </c>
      <c r="E94" s="24"/>
      <c r="F94" s="41">
        <v>23879124.663102493</v>
      </c>
      <c r="G94" s="41">
        <v>4582240.8221253101</v>
      </c>
      <c r="H94" s="41">
        <v>25210137.02371804</v>
      </c>
      <c r="I94" s="41">
        <v>141718.78831315972</v>
      </c>
      <c r="J94" s="41">
        <v>779694.95949646621</v>
      </c>
      <c r="K94" s="24"/>
      <c r="L94" s="41">
        <v>2526681.78847994</v>
      </c>
      <c r="M94" s="25"/>
      <c r="N94" s="41">
        <v>1152925.8882306367</v>
      </c>
      <c r="O94" s="24"/>
      <c r="P94" s="41">
        <v>19454021.880675666</v>
      </c>
      <c r="Q94" s="25"/>
      <c r="R94" s="41">
        <v>23743357.109047931</v>
      </c>
      <c r="S94" s="25"/>
      <c r="T94" s="41">
        <v>90784783.783569112</v>
      </c>
      <c r="U94" s="24"/>
      <c r="V94" s="41">
        <v>155979.181510244</v>
      </c>
      <c r="W94" s="25"/>
      <c r="X94" s="41">
        <v>391774.73390787008</v>
      </c>
      <c r="Y94" s="24"/>
      <c r="Z94" s="24">
        <f t="shared" si="31"/>
        <v>-3659396.0492548943</v>
      </c>
      <c r="AA94" s="24"/>
      <c r="AB94" s="24">
        <f t="shared" si="32"/>
        <v>-60045136.512686595</v>
      </c>
      <c r="AC94" s="12"/>
      <c r="AD94" s="24"/>
      <c r="AE94" s="24"/>
      <c r="AF94" s="24">
        <f>BB94/100*AF25</f>
        <v>8977100117.2626209</v>
      </c>
      <c r="AG94" s="26">
        <f t="shared" si="38"/>
        <v>4.3906136720968337E-3</v>
      </c>
      <c r="AH94" s="26"/>
      <c r="AI94" s="26">
        <f t="shared" si="33"/>
        <v>-6.6887007751224798E-3</v>
      </c>
      <c r="AV94" s="23">
        <v>13421103</v>
      </c>
      <c r="AX94" s="23">
        <f t="shared" si="34"/>
        <v>4.6502801860621099E-3</v>
      </c>
      <c r="AY94" s="43">
        <v>8748.1525262387004</v>
      </c>
      <c r="AZ94" s="26">
        <f t="shared" si="35"/>
        <v>-2.5846458124443878E-4</v>
      </c>
      <c r="BA94" s="23">
        <f t="shared" si="39"/>
        <v>130.1395157854848</v>
      </c>
      <c r="BB94" s="23">
        <f t="shared" si="40"/>
        <v>156.20431132214466</v>
      </c>
      <c r="BD94" s="26">
        <f t="shared" si="30"/>
        <v>1.2082673915339166E-2</v>
      </c>
    </row>
    <row r="95" spans="1:56" s="31" customFormat="1">
      <c r="A95" s="31">
        <f t="shared" si="36"/>
        <v>2035</v>
      </c>
      <c r="B95" s="31">
        <f t="shared" si="37"/>
        <v>2</v>
      </c>
      <c r="C95" s="32"/>
      <c r="D95" s="44">
        <v>132273211.41828391</v>
      </c>
      <c r="E95" s="32"/>
      <c r="F95" s="44">
        <v>24042221.923039839</v>
      </c>
      <c r="G95" s="44">
        <v>4659945.9951944603</v>
      </c>
      <c r="H95" s="44">
        <v>25637647.959211912</v>
      </c>
      <c r="I95" s="44">
        <v>144122.04108848982</v>
      </c>
      <c r="J95" s="44">
        <v>792916.94719212851</v>
      </c>
      <c r="K95" s="32"/>
      <c r="L95" s="44">
        <v>1967590.06532575</v>
      </c>
      <c r="M95" s="33"/>
      <c r="N95" s="44">
        <v>1162433.7698793113</v>
      </c>
      <c r="O95" s="32"/>
      <c r="P95" s="44">
        <v>16605201.830970734</v>
      </c>
      <c r="Q95" s="33"/>
      <c r="R95" s="44">
        <v>28290030.307721268</v>
      </c>
      <c r="S95" s="33"/>
      <c r="T95" s="44">
        <v>108169382.8265921</v>
      </c>
      <c r="U95" s="32"/>
      <c r="V95" s="44">
        <v>165944.75847247601</v>
      </c>
      <c r="W95" s="33"/>
      <c r="X95" s="44">
        <v>416805.39008143404</v>
      </c>
      <c r="Y95" s="32"/>
      <c r="Z95" s="32">
        <f t="shared" si="31"/>
        <v>1283729.3079488426</v>
      </c>
      <c r="AA95" s="32"/>
      <c r="AB95" s="32">
        <f t="shared" si="32"/>
        <v>-40709030.422662541</v>
      </c>
      <c r="AC95" s="12"/>
      <c r="AD95" s="32"/>
      <c r="AE95" s="32"/>
      <c r="AF95" s="32">
        <f>BB95/100*AF25</f>
        <v>9047008729.4411087</v>
      </c>
      <c r="AG95" s="34">
        <f t="shared" si="38"/>
        <v>7.7874381777313798E-3</v>
      </c>
      <c r="AH95" s="34"/>
      <c r="AI95" s="34">
        <f t="shared" si="33"/>
        <v>-4.4997226862604559E-3</v>
      </c>
      <c r="AV95" s="31">
        <v>13477014</v>
      </c>
      <c r="AX95" s="31">
        <f t="shared" si="34"/>
        <v>4.1659020126736234E-3</v>
      </c>
      <c r="AY95" s="46">
        <v>8779.7028414682009</v>
      </c>
      <c r="AZ95" s="34">
        <f t="shared" si="35"/>
        <v>3.6065117903317646E-3</v>
      </c>
      <c r="BA95" s="31">
        <f t="shared" si="39"/>
        <v>130.60886548355322</v>
      </c>
      <c r="BB95" s="31">
        <f t="shared" si="40"/>
        <v>157.42074273966097</v>
      </c>
      <c r="BD95" s="34">
        <f t="shared" si="30"/>
        <v>1.0240727473091795E-2</v>
      </c>
    </row>
    <row r="96" spans="1:56" s="31" customFormat="1">
      <c r="A96" s="31">
        <f t="shared" si="36"/>
        <v>2035</v>
      </c>
      <c r="B96" s="31">
        <f t="shared" si="37"/>
        <v>3</v>
      </c>
      <c r="C96" s="32"/>
      <c r="D96" s="44">
        <v>132483299.24804009</v>
      </c>
      <c r="E96" s="32"/>
      <c r="F96" s="44">
        <v>24080407.872954939</v>
      </c>
      <c r="G96" s="44">
        <v>4717412.7816420598</v>
      </c>
      <c r="H96" s="44">
        <v>25953813.262803439</v>
      </c>
      <c r="I96" s="44">
        <v>145899.36438068002</v>
      </c>
      <c r="J96" s="44">
        <v>802695.25555060955</v>
      </c>
      <c r="K96" s="32"/>
      <c r="L96" s="44">
        <v>1989921.12659897</v>
      </c>
      <c r="M96" s="33"/>
      <c r="N96" s="44">
        <v>1165481.8145949207</v>
      </c>
      <c r="O96" s="32"/>
      <c r="P96" s="44">
        <v>16737847.256781574</v>
      </c>
      <c r="Q96" s="33"/>
      <c r="R96" s="44">
        <v>24012309.58727451</v>
      </c>
      <c r="S96" s="33"/>
      <c r="T96" s="44">
        <v>91813146.894636944</v>
      </c>
      <c r="U96" s="32"/>
      <c r="V96" s="44">
        <v>164468.44654484099</v>
      </c>
      <c r="W96" s="33"/>
      <c r="X96" s="44">
        <v>413097.32015175413</v>
      </c>
      <c r="Y96" s="32"/>
      <c r="Z96" s="32">
        <f t="shared" si="31"/>
        <v>-3059032.780329477</v>
      </c>
      <c r="AA96" s="32"/>
      <c r="AB96" s="32">
        <f t="shared" si="32"/>
        <v>-57407999.610184729</v>
      </c>
      <c r="AC96" s="12"/>
      <c r="AD96" s="32"/>
      <c r="AE96" s="32"/>
      <c r="AF96" s="32">
        <f>BB96/100*AF25</f>
        <v>9087787267.994566</v>
      </c>
      <c r="AG96" s="34">
        <f t="shared" si="38"/>
        <v>4.5074056821404673E-3</v>
      </c>
      <c r="AH96" s="34"/>
      <c r="AI96" s="34">
        <f t="shared" si="33"/>
        <v>-6.3170492351163005E-3</v>
      </c>
      <c r="AV96" s="31">
        <v>13512216</v>
      </c>
      <c r="AX96" s="31">
        <f t="shared" si="34"/>
        <v>2.6120029258706714E-3</v>
      </c>
      <c r="AY96" s="46">
        <v>8796.3005611408007</v>
      </c>
      <c r="AZ96" s="34">
        <f t="shared" si="35"/>
        <v>1.8904648565331477E-3</v>
      </c>
      <c r="BA96" s="31">
        <f t="shared" si="39"/>
        <v>130.85577695370154</v>
      </c>
      <c r="BB96" s="31">
        <f t="shared" si="40"/>
        <v>158.13030188997249</v>
      </c>
      <c r="BD96" s="34">
        <f t="shared" si="30"/>
        <v>1.217880780690575E-2</v>
      </c>
    </row>
    <row r="97" spans="1:56" s="31" customFormat="1">
      <c r="A97" s="31">
        <f t="shared" si="36"/>
        <v>2035</v>
      </c>
      <c r="B97" s="31">
        <f t="shared" si="37"/>
        <v>4</v>
      </c>
      <c r="C97" s="32"/>
      <c r="D97" s="44">
        <v>133082129.5885624</v>
      </c>
      <c r="E97" s="32"/>
      <c r="F97" s="44">
        <v>24189252.375834353</v>
      </c>
      <c r="G97" s="44">
        <v>4806529.1462585498</v>
      </c>
      <c r="H97" s="44">
        <v>26444105.207344953</v>
      </c>
      <c r="I97" s="44">
        <v>148655.54060593992</v>
      </c>
      <c r="J97" s="44">
        <v>817858.92393853341</v>
      </c>
      <c r="K97" s="32"/>
      <c r="L97" s="44">
        <v>1980202.8205261601</v>
      </c>
      <c r="M97" s="33"/>
      <c r="N97" s="44">
        <v>1171958.9542116597</v>
      </c>
      <c r="O97" s="32"/>
      <c r="P97" s="44">
        <v>16723054.23147703</v>
      </c>
      <c r="Q97" s="33"/>
      <c r="R97" s="44">
        <v>28948090.360221114</v>
      </c>
      <c r="S97" s="33"/>
      <c r="T97" s="44">
        <v>110685532.47250871</v>
      </c>
      <c r="U97" s="32"/>
      <c r="V97" s="44">
        <v>158920.22485783801</v>
      </c>
      <c r="W97" s="33"/>
      <c r="X97" s="44">
        <v>399161.78687070077</v>
      </c>
      <c r="Y97" s="32"/>
      <c r="Z97" s="32">
        <f t="shared" si="31"/>
        <v>1765596.4345067777</v>
      </c>
      <c r="AA97" s="32"/>
      <c r="AB97" s="32">
        <f t="shared" si="32"/>
        <v>-39119651.347530723</v>
      </c>
      <c r="AC97" s="12"/>
      <c r="AD97" s="32"/>
      <c r="AE97" s="32"/>
      <c r="AF97" s="32">
        <f>BB97/100*AF25</f>
        <v>9213914461.6899643</v>
      </c>
      <c r="AG97" s="34">
        <f t="shared" si="38"/>
        <v>1.3878757278968664E-2</v>
      </c>
      <c r="AH97" s="34">
        <f>(AF97-AF93)/AF93</f>
        <v>3.0886263895307596E-2</v>
      </c>
      <c r="AI97" s="34">
        <f t="shared" si="33"/>
        <v>-4.2457146210966249E-3</v>
      </c>
      <c r="AV97" s="31">
        <v>13581169</v>
      </c>
      <c r="AX97" s="31">
        <f t="shared" si="34"/>
        <v>5.103011970797388E-3</v>
      </c>
      <c r="AY97" s="46">
        <v>8873.1027321216006</v>
      </c>
      <c r="AZ97" s="34">
        <f t="shared" si="35"/>
        <v>8.7311899413813777E-3</v>
      </c>
      <c r="BA97" s="31">
        <f t="shared" si="39"/>
        <v>131.99830359721133</v>
      </c>
      <c r="BB97" s="31">
        <f t="shared" si="40"/>
        <v>160.32495396835347</v>
      </c>
      <c r="BD97" s="34">
        <f t="shared" si="30"/>
        <v>1.0242466435160214E-2</v>
      </c>
    </row>
    <row r="98" spans="1:56" s="23" customFormat="1">
      <c r="A98" s="23">
        <f t="shared" si="36"/>
        <v>2036</v>
      </c>
      <c r="B98" s="23">
        <f t="shared" si="37"/>
        <v>1</v>
      </c>
      <c r="C98" s="24"/>
      <c r="D98" s="41">
        <v>133858637.41045757</v>
      </c>
      <c r="E98" s="24"/>
      <c r="F98" s="41">
        <v>24330391.864161611</v>
      </c>
      <c r="G98" s="41">
        <v>4942169.5448409896</v>
      </c>
      <c r="H98" s="41">
        <v>27190358.659957908</v>
      </c>
      <c r="I98" s="41">
        <v>152850.60447962023</v>
      </c>
      <c r="J98" s="41">
        <v>840938.92762757523</v>
      </c>
      <c r="K98" s="24"/>
      <c r="L98" s="41">
        <v>2421279.6619677399</v>
      </c>
      <c r="M98" s="25"/>
      <c r="N98" s="41">
        <v>1181273.1806997806</v>
      </c>
      <c r="O98" s="24"/>
      <c r="P98" s="41">
        <v>19063048.184505016</v>
      </c>
      <c r="Q98" s="25"/>
      <c r="R98" s="41">
        <v>24522012.005234729</v>
      </c>
      <c r="S98" s="25"/>
      <c r="T98" s="41">
        <v>93762038.266482905</v>
      </c>
      <c r="U98" s="24"/>
      <c r="V98" s="41">
        <v>161557.67529524301</v>
      </c>
      <c r="W98" s="25"/>
      <c r="X98" s="41">
        <v>405786.30197140144</v>
      </c>
      <c r="Y98" s="24"/>
      <c r="Z98" s="24">
        <f t="shared" si="31"/>
        <v>-3249375.02629916</v>
      </c>
      <c r="AA98" s="24"/>
      <c r="AB98" s="24">
        <f t="shared" si="32"/>
        <v>-59159647.328479677</v>
      </c>
      <c r="AC98" s="12"/>
      <c r="AD98" s="24"/>
      <c r="AE98" s="24"/>
      <c r="AF98" s="24">
        <f>BB98/100*AF25</f>
        <v>9224342400.2461414</v>
      </c>
      <c r="AG98" s="26">
        <f t="shared" si="38"/>
        <v>1.1317598616239492E-3</v>
      </c>
      <c r="AH98" s="26"/>
      <c r="AI98" s="26">
        <f t="shared" si="33"/>
        <v>-6.4134270782165532E-3</v>
      </c>
      <c r="AV98" s="23">
        <v>13484461</v>
      </c>
      <c r="AX98" s="23">
        <f t="shared" si="34"/>
        <v>-7.1207419626395929E-3</v>
      </c>
      <c r="AY98" s="43">
        <v>8946.8531865610003</v>
      </c>
      <c r="AZ98" s="26">
        <f t="shared" si="35"/>
        <v>8.3116872041180054E-3</v>
      </c>
      <c r="BA98" s="23">
        <f t="shared" si="39"/>
        <v>133.09543220818557</v>
      </c>
      <c r="BB98" s="23">
        <f t="shared" si="40"/>
        <v>160.50640331607153</v>
      </c>
      <c r="BD98" s="26">
        <f t="shared" si="30"/>
        <v>1.2178393175533597E-2</v>
      </c>
    </row>
    <row r="99" spans="1:56" s="31" customFormat="1">
      <c r="A99" s="31">
        <f t="shared" si="36"/>
        <v>2036</v>
      </c>
      <c r="B99" s="31">
        <f t="shared" si="37"/>
        <v>2</v>
      </c>
      <c r="C99" s="32"/>
      <c r="D99" s="44">
        <v>133853837.67700872</v>
      </c>
      <c r="E99" s="32"/>
      <c r="F99" s="44">
        <v>24329519.45579176</v>
      </c>
      <c r="G99" s="44">
        <v>4995427.9380271398</v>
      </c>
      <c r="H99" s="44">
        <v>27483370.625501692</v>
      </c>
      <c r="I99" s="44">
        <v>154497.77127919067</v>
      </c>
      <c r="J99" s="44">
        <v>850001.15336603601</v>
      </c>
      <c r="K99" s="32"/>
      <c r="L99" s="44">
        <v>1939687.7634517299</v>
      </c>
      <c r="M99" s="33"/>
      <c r="N99" s="44">
        <v>1182115.6681812108</v>
      </c>
      <c r="O99" s="32"/>
      <c r="P99" s="44">
        <v>16568700.651262708</v>
      </c>
      <c r="Q99" s="33"/>
      <c r="R99" s="44">
        <v>29346003.504081953</v>
      </c>
      <c r="S99" s="33"/>
      <c r="T99" s="44">
        <v>112206987.86586925</v>
      </c>
      <c r="U99" s="32"/>
      <c r="V99" s="44">
        <v>161645.87733020901</v>
      </c>
      <c r="W99" s="33"/>
      <c r="X99" s="44">
        <v>406007.84005388373</v>
      </c>
      <c r="Y99" s="32"/>
      <c r="Z99" s="32">
        <f t="shared" si="31"/>
        <v>2056326.4939874634</v>
      </c>
      <c r="AA99" s="32"/>
      <c r="AB99" s="32">
        <f t="shared" si="32"/>
        <v>-38215550.462402165</v>
      </c>
      <c r="AC99" s="12"/>
      <c r="AD99" s="32"/>
      <c r="AE99" s="32"/>
      <c r="AF99" s="32">
        <f>BB99/100*AF25</f>
        <v>9271199081.1569271</v>
      </c>
      <c r="AG99" s="34">
        <f t="shared" si="38"/>
        <v>5.0796771062547891E-3</v>
      </c>
      <c r="AH99" s="34"/>
      <c r="AI99" s="34">
        <f t="shared" si="33"/>
        <v>-4.1219641739839927E-3</v>
      </c>
      <c r="AV99" s="31">
        <v>13465932</v>
      </c>
      <c r="AX99" s="31">
        <f t="shared" si="34"/>
        <v>-1.3741001586937735E-3</v>
      </c>
      <c r="AY99" s="46">
        <v>9004.6736353370998</v>
      </c>
      <c r="AZ99" s="34">
        <f t="shared" si="35"/>
        <v>6.4626576037875713E-3</v>
      </c>
      <c r="BA99" s="31">
        <f t="shared" si="39"/>
        <v>133.9555824151752</v>
      </c>
      <c r="BB99" s="31">
        <f t="shared" si="40"/>
        <v>161.3217240184035</v>
      </c>
      <c r="BD99" s="34">
        <f t="shared" si="30"/>
        <v>1.0272007718517025E-2</v>
      </c>
    </row>
    <row r="100" spans="1:56" s="31" customFormat="1">
      <c r="A100" s="31">
        <f t="shared" si="36"/>
        <v>2036</v>
      </c>
      <c r="B100" s="31">
        <f t="shared" si="37"/>
        <v>3</v>
      </c>
      <c r="C100" s="32"/>
      <c r="D100" s="44">
        <v>134466081.77428111</v>
      </c>
      <c r="E100" s="32"/>
      <c r="F100" s="44">
        <v>24440802.067742161</v>
      </c>
      <c r="G100" s="44">
        <v>5090764.83197104</v>
      </c>
      <c r="H100" s="44">
        <v>28007886.087049749</v>
      </c>
      <c r="I100" s="44">
        <v>157446.33500942029</v>
      </c>
      <c r="J100" s="44">
        <v>866223.28104281251</v>
      </c>
      <c r="K100" s="32"/>
      <c r="L100" s="44">
        <v>1921022.3603643</v>
      </c>
      <c r="M100" s="33"/>
      <c r="N100" s="44">
        <v>1190129.3386511765</v>
      </c>
      <c r="O100" s="32"/>
      <c r="P100" s="44">
        <v>16515934.636421151</v>
      </c>
      <c r="Q100" s="33"/>
      <c r="R100" s="44">
        <v>24915341.0580699</v>
      </c>
      <c r="S100" s="33"/>
      <c r="T100" s="44">
        <v>95265965.990495846</v>
      </c>
      <c r="U100" s="32"/>
      <c r="V100" s="44">
        <v>170997.67549214099</v>
      </c>
      <c r="W100" s="33"/>
      <c r="X100" s="44">
        <v>429496.86083843239</v>
      </c>
      <c r="Y100" s="32"/>
      <c r="Z100" s="32">
        <f t="shared" si="31"/>
        <v>-2465615.0331955962</v>
      </c>
      <c r="AA100" s="32"/>
      <c r="AB100" s="32">
        <f t="shared" si="32"/>
        <v>-55716050.420206428</v>
      </c>
      <c r="AC100" s="12"/>
      <c r="AD100" s="32"/>
      <c r="AE100" s="32"/>
      <c r="AF100" s="32">
        <f>BB100/100*AF25</f>
        <v>9354637475.3126755</v>
      </c>
      <c r="AG100" s="34">
        <f t="shared" si="38"/>
        <v>8.9997413954071102E-3</v>
      </c>
      <c r="AH100" s="34"/>
      <c r="AI100" s="34">
        <f t="shared" si="33"/>
        <v>-5.9559817862791242E-3</v>
      </c>
      <c r="AV100" s="31">
        <v>13588712</v>
      </c>
      <c r="AX100" s="31">
        <f t="shared" si="34"/>
        <v>9.1178241506046521E-3</v>
      </c>
      <c r="AY100" s="46">
        <v>9003.6199460184998</v>
      </c>
      <c r="AZ100" s="34">
        <f t="shared" si="35"/>
        <v>-1.1701582547810908E-4</v>
      </c>
      <c r="BA100" s="31">
        <f t="shared" si="39"/>
        <v>133.93990749212151</v>
      </c>
      <c r="BB100" s="31">
        <f t="shared" si="40"/>
        <v>162.77357781603035</v>
      </c>
      <c r="BD100" s="34">
        <f t="shared" si="30"/>
        <v>1.2214644283559631E-2</v>
      </c>
    </row>
    <row r="101" spans="1:56" s="31" customFormat="1">
      <c r="A101" s="31">
        <f t="shared" si="36"/>
        <v>2036</v>
      </c>
      <c r="B101" s="31">
        <f t="shared" si="37"/>
        <v>4</v>
      </c>
      <c r="C101" s="32"/>
      <c r="D101" s="44">
        <v>135205634.22418302</v>
      </c>
      <c r="E101" s="32"/>
      <c r="F101" s="44">
        <v>24575224.479760587</v>
      </c>
      <c r="G101" s="44">
        <v>5186781.7319444101</v>
      </c>
      <c r="H101" s="44">
        <v>28536142.741137732</v>
      </c>
      <c r="I101" s="44">
        <v>160415.9298539497</v>
      </c>
      <c r="J101" s="44">
        <v>882561.11570528441</v>
      </c>
      <c r="K101" s="32"/>
      <c r="L101" s="44">
        <v>1870428.6068736201</v>
      </c>
      <c r="M101" s="33"/>
      <c r="N101" s="44">
        <v>1198888.4703804553</v>
      </c>
      <c r="O101" s="32"/>
      <c r="P101" s="44">
        <v>16301593.56745825</v>
      </c>
      <c r="Q101" s="33"/>
      <c r="R101" s="44">
        <v>29676475.97087495</v>
      </c>
      <c r="S101" s="33"/>
      <c r="T101" s="44">
        <v>113470577.98526278</v>
      </c>
      <c r="U101" s="32"/>
      <c r="V101" s="44">
        <v>167859.586189069</v>
      </c>
      <c r="W101" s="33"/>
      <c r="X101" s="44">
        <v>421614.88524536631</v>
      </c>
      <c r="Y101" s="32"/>
      <c r="Z101" s="32">
        <f t="shared" si="31"/>
        <v>2199794.0000493564</v>
      </c>
      <c r="AA101" s="32"/>
      <c r="AB101" s="32">
        <f t="shared" si="32"/>
        <v>-38036649.806378484</v>
      </c>
      <c r="AC101" s="12"/>
      <c r="AD101" s="32"/>
      <c r="AE101" s="32"/>
      <c r="AF101" s="32">
        <f>BB101/100*AF25</f>
        <v>9391181023.366848</v>
      </c>
      <c r="AG101" s="34">
        <f t="shared" si="38"/>
        <v>3.906463307703013E-3</v>
      </c>
      <c r="AH101" s="34">
        <f>(AF101-AF97)/AF97</f>
        <v>1.9239006658237464E-2</v>
      </c>
      <c r="AI101" s="34">
        <f t="shared" si="33"/>
        <v>-4.0502520089578577E-3</v>
      </c>
      <c r="AV101" s="31">
        <v>13594562</v>
      </c>
      <c r="AX101" s="31">
        <f t="shared" si="34"/>
        <v>4.3050437745681858E-4</v>
      </c>
      <c r="AY101" s="46">
        <v>9034.9026918153995</v>
      </c>
      <c r="AZ101" s="34">
        <f t="shared" si="35"/>
        <v>3.4744631586469026E-3</v>
      </c>
      <c r="BA101" s="31">
        <f t="shared" si="39"/>
        <v>134.40527676617546</v>
      </c>
      <c r="BB101" s="31">
        <f t="shared" si="40"/>
        <v>163.40944682523221</v>
      </c>
      <c r="BD101" s="34">
        <f t="shared" si="30"/>
        <v>1.0327945087400092E-2</v>
      </c>
    </row>
    <row r="102" spans="1:56" s="23" customFormat="1">
      <c r="A102" s="23">
        <f t="shared" si="36"/>
        <v>2037</v>
      </c>
      <c r="B102" s="23">
        <f t="shared" si="37"/>
        <v>1</v>
      </c>
      <c r="C102" s="24"/>
      <c r="D102" s="41">
        <v>135579262.2854571</v>
      </c>
      <c r="E102" s="24"/>
      <c r="F102" s="41">
        <v>24643135.802616589</v>
      </c>
      <c r="G102" s="41">
        <v>5296944.3348019104</v>
      </c>
      <c r="H102" s="41">
        <v>29142224.878837101</v>
      </c>
      <c r="I102" s="41">
        <v>163823.02066397946</v>
      </c>
      <c r="J102" s="41">
        <v>901305.92408776109</v>
      </c>
      <c r="K102" s="24"/>
      <c r="L102" s="41">
        <v>2350086.6096258</v>
      </c>
      <c r="M102" s="25"/>
      <c r="N102" s="41">
        <v>1205010.2737973221</v>
      </c>
      <c r="O102" s="24"/>
      <c r="P102" s="41">
        <v>18824221.580113105</v>
      </c>
      <c r="Q102" s="25"/>
      <c r="R102" s="41">
        <v>25392512.130412415</v>
      </c>
      <c r="S102" s="25"/>
      <c r="T102" s="41">
        <v>97090470.942825481</v>
      </c>
      <c r="U102" s="24"/>
      <c r="V102" s="41">
        <v>164833.937687695</v>
      </c>
      <c r="W102" s="25"/>
      <c r="X102" s="41">
        <v>414015.32852858299</v>
      </c>
      <c r="Y102" s="24"/>
      <c r="Z102" s="24">
        <f t="shared" si="31"/>
        <v>-2640886.6179396026</v>
      </c>
      <c r="AA102" s="24"/>
      <c r="AB102" s="24">
        <f t="shared" si="32"/>
        <v>-57313012.922744721</v>
      </c>
      <c r="AC102" s="12"/>
      <c r="AD102" s="24"/>
      <c r="AE102" s="24"/>
      <c r="AF102" s="24">
        <f>BB102/100*AF25</f>
        <v>9480817763.9662094</v>
      </c>
      <c r="AG102" s="26">
        <f t="shared" si="38"/>
        <v>9.5447782740349738E-3</v>
      </c>
      <c r="AH102" s="26"/>
      <c r="AI102" s="26">
        <f t="shared" si="33"/>
        <v>-6.0451550013517364E-3</v>
      </c>
      <c r="AV102" s="23">
        <v>13621440</v>
      </c>
      <c r="AX102" s="23">
        <f t="shared" si="34"/>
        <v>1.9771140842934107E-3</v>
      </c>
      <c r="AY102" s="43">
        <v>9103.1408866779002</v>
      </c>
      <c r="AZ102" s="26">
        <f t="shared" si="35"/>
        <v>7.5527315777641707E-3</v>
      </c>
      <c r="BA102" s="23">
        <f t="shared" si="39"/>
        <v>135.4204037442255</v>
      </c>
      <c r="BB102" s="23">
        <f t="shared" si="40"/>
        <v>164.96915376306177</v>
      </c>
      <c r="BD102" s="26">
        <f t="shared" si="30"/>
        <v>1.2316723189015584E-2</v>
      </c>
    </row>
    <row r="103" spans="1:56" s="31" customFormat="1">
      <c r="A103" s="31">
        <f t="shared" si="36"/>
        <v>2037</v>
      </c>
      <c r="B103" s="31">
        <f t="shared" si="37"/>
        <v>2</v>
      </c>
      <c r="C103" s="32"/>
      <c r="D103" s="44">
        <v>135432288.39845887</v>
      </c>
      <c r="E103" s="32"/>
      <c r="F103" s="44">
        <v>24616421.558891688</v>
      </c>
      <c r="G103" s="44">
        <v>5400942.3508166103</v>
      </c>
      <c r="H103" s="44">
        <v>29714391.278574549</v>
      </c>
      <c r="I103" s="44">
        <v>167039.45414896961</v>
      </c>
      <c r="J103" s="44">
        <v>919001.79212087486</v>
      </c>
      <c r="K103" s="32"/>
      <c r="L103" s="44">
        <v>1838241.4825776899</v>
      </c>
      <c r="M103" s="33"/>
      <c r="N103" s="44">
        <v>1205186.4083701335</v>
      </c>
      <c r="O103" s="32"/>
      <c r="P103" s="44">
        <v>16169223.823102608</v>
      </c>
      <c r="Q103" s="33"/>
      <c r="R103" s="44">
        <v>30200683.233212028</v>
      </c>
      <c r="S103" s="33"/>
      <c r="T103" s="44">
        <v>115474929.88674317</v>
      </c>
      <c r="U103" s="32"/>
      <c r="V103" s="44">
        <v>158407.05154081501</v>
      </c>
      <c r="W103" s="33"/>
      <c r="X103" s="44">
        <v>397872.84345031169</v>
      </c>
      <c r="Y103" s="32"/>
      <c r="Z103" s="32">
        <f t="shared" si="31"/>
        <v>2699240.834913332</v>
      </c>
      <c r="AA103" s="32"/>
      <c r="AB103" s="32">
        <f t="shared" si="32"/>
        <v>-36126582.334818304</v>
      </c>
      <c r="AC103" s="12"/>
      <c r="AD103" s="32"/>
      <c r="AE103" s="32"/>
      <c r="AF103" s="32">
        <f>BB103/100*AF25</f>
        <v>9481628392.3345451</v>
      </c>
      <c r="AG103" s="34">
        <f t="shared" si="38"/>
        <v>8.5501945983676965E-5</v>
      </c>
      <c r="AH103" s="34"/>
      <c r="AI103" s="34">
        <f t="shared" si="33"/>
        <v>-3.8101664439860313E-3</v>
      </c>
      <c r="AV103" s="31">
        <v>13610392</v>
      </c>
      <c r="AX103" s="31">
        <f t="shared" si="34"/>
        <v>-8.1107430638757726E-4</v>
      </c>
      <c r="AY103" s="46">
        <v>9111.3091717049992</v>
      </c>
      <c r="AZ103" s="34">
        <f t="shared" si="35"/>
        <v>8.9730403261724964E-4</v>
      </c>
      <c r="BA103" s="31">
        <f t="shared" si="39"/>
        <v>135.54191701860384</v>
      </c>
      <c r="BB103" s="31">
        <f t="shared" si="40"/>
        <v>164.98325894673579</v>
      </c>
      <c r="BD103" s="34">
        <f t="shared" ref="BD103:BD117" si="41">T110/AF110</f>
        <v>1.032689368545717E-2</v>
      </c>
    </row>
    <row r="104" spans="1:56" s="31" customFormat="1">
      <c r="A104" s="31">
        <f t="shared" si="36"/>
        <v>2037</v>
      </c>
      <c r="B104" s="31">
        <f t="shared" si="37"/>
        <v>3</v>
      </c>
      <c r="C104" s="32"/>
      <c r="D104" s="44">
        <v>136010841.47252378</v>
      </c>
      <c r="E104" s="32"/>
      <c r="F104" s="44">
        <v>24721580.428565901</v>
      </c>
      <c r="G104" s="44">
        <v>5505119.5264128</v>
      </c>
      <c r="H104" s="44">
        <v>30287543.361468732</v>
      </c>
      <c r="I104" s="44">
        <v>170261.42865194008</v>
      </c>
      <c r="J104" s="44">
        <v>936728.14520005183</v>
      </c>
      <c r="K104" s="32"/>
      <c r="L104" s="44">
        <v>1858146.4269291</v>
      </c>
      <c r="M104" s="33"/>
      <c r="N104" s="44">
        <v>1213520.3909239583</v>
      </c>
      <c r="O104" s="32"/>
      <c r="P104" s="44">
        <v>16318361.787054958</v>
      </c>
      <c r="Q104" s="33"/>
      <c r="R104" s="44">
        <v>25518384.964975975</v>
      </c>
      <c r="S104" s="33"/>
      <c r="T104" s="44">
        <v>97571756.635391816</v>
      </c>
      <c r="U104" s="32"/>
      <c r="V104" s="44">
        <v>164206.53958174799</v>
      </c>
      <c r="W104" s="33"/>
      <c r="X104" s="44">
        <v>412439.48537033721</v>
      </c>
      <c r="Y104" s="32"/>
      <c r="Z104" s="32">
        <f t="shared" si="31"/>
        <v>-2110655.7418612354</v>
      </c>
      <c r="AA104" s="32"/>
      <c r="AB104" s="32">
        <f t="shared" si="32"/>
        <v>-54757446.624186918</v>
      </c>
      <c r="AC104" s="12"/>
      <c r="AD104" s="32"/>
      <c r="AE104" s="32"/>
      <c r="AF104" s="32">
        <f>BB104/100*AF25</f>
        <v>9526197352.2752953</v>
      </c>
      <c r="AG104" s="34">
        <f t="shared" si="38"/>
        <v>4.7005596609103611E-3</v>
      </c>
      <c r="AH104" s="34"/>
      <c r="AI104" s="34">
        <f t="shared" si="33"/>
        <v>-5.7480907228011939E-3</v>
      </c>
      <c r="AV104" s="31">
        <v>13649032</v>
      </c>
      <c r="AX104" s="31">
        <f t="shared" si="34"/>
        <v>2.839007135136152E-3</v>
      </c>
      <c r="AY104" s="46">
        <v>9128.2223357134008</v>
      </c>
      <c r="AZ104" s="34">
        <f t="shared" si="35"/>
        <v>1.8562825264370377E-3</v>
      </c>
      <c r="BA104" s="31">
        <f t="shared" si="39"/>
        <v>135.79352111076525</v>
      </c>
      <c r="BB104" s="31">
        <f t="shared" si="40"/>
        <v>165.75877259846635</v>
      </c>
      <c r="BD104" s="34">
        <f t="shared" si="41"/>
        <v>1.228764298365511E-2</v>
      </c>
    </row>
    <row r="105" spans="1:56" s="31" customFormat="1">
      <c r="A105" s="31">
        <f t="shared" si="36"/>
        <v>2037</v>
      </c>
      <c r="B105" s="31">
        <f t="shared" si="37"/>
        <v>4</v>
      </c>
      <c r="C105" s="32"/>
      <c r="D105" s="44">
        <v>136457365.99574003</v>
      </c>
      <c r="E105" s="32"/>
      <c r="F105" s="44">
        <v>24802741.546271708</v>
      </c>
      <c r="G105" s="44">
        <v>5640040.5098051904</v>
      </c>
      <c r="H105" s="44">
        <v>31029838.803967834</v>
      </c>
      <c r="I105" s="44">
        <v>174434.24257128965</v>
      </c>
      <c r="J105" s="44">
        <v>959685.73620516376</v>
      </c>
      <c r="K105" s="32"/>
      <c r="L105" s="44">
        <v>1854283.8736445799</v>
      </c>
      <c r="M105" s="33"/>
      <c r="N105" s="44">
        <v>1219744.8076542132</v>
      </c>
      <c r="O105" s="32"/>
      <c r="P105" s="44">
        <v>16332563.884049799</v>
      </c>
      <c r="Q105" s="33"/>
      <c r="R105" s="44">
        <v>30509721.046277676</v>
      </c>
      <c r="S105" s="33"/>
      <c r="T105" s="44">
        <v>116656562.7498323</v>
      </c>
      <c r="U105" s="32"/>
      <c r="V105" s="44">
        <v>163979.42545874999</v>
      </c>
      <c r="W105" s="33"/>
      <c r="X105" s="44">
        <v>411869.04017218482</v>
      </c>
      <c r="Y105" s="32"/>
      <c r="Z105" s="32">
        <f t="shared" si="31"/>
        <v>2796930.2441659272</v>
      </c>
      <c r="AA105" s="32"/>
      <c r="AB105" s="32">
        <f t="shared" si="32"/>
        <v>-36133367.129957527</v>
      </c>
      <c r="AC105" s="12"/>
      <c r="AD105" s="32"/>
      <c r="AE105" s="32"/>
      <c r="AF105" s="32">
        <f>BB105/100*AF25</f>
        <v>9578978200.8512783</v>
      </c>
      <c r="AG105" s="34">
        <f t="shared" si="38"/>
        <v>5.5405999502389633E-3</v>
      </c>
      <c r="AH105" s="34">
        <f>(AF105-AF101)/AF101</f>
        <v>1.9997184275029854E-2</v>
      </c>
      <c r="AI105" s="34">
        <f t="shared" si="33"/>
        <v>-3.7721525586879795E-3</v>
      </c>
      <c r="AV105" s="31">
        <v>13645974</v>
      </c>
      <c r="AX105" s="31">
        <f t="shared" si="34"/>
        <v>-2.2404519236235947E-4</v>
      </c>
      <c r="AY105" s="46">
        <v>9180.8550903771993</v>
      </c>
      <c r="AZ105" s="34">
        <f t="shared" si="35"/>
        <v>5.7659369730596209E-3</v>
      </c>
      <c r="BA105" s="31">
        <f t="shared" si="39"/>
        <v>136.57649799483977</v>
      </c>
      <c r="BB105" s="31">
        <f t="shared" si="40"/>
        <v>166.67717564567707</v>
      </c>
      <c r="BD105" s="34">
        <f t="shared" si="41"/>
        <v>1.0369105861496506E-2</v>
      </c>
    </row>
    <row r="106" spans="1:56" s="23" customFormat="1">
      <c r="A106" s="23">
        <f t="shared" si="36"/>
        <v>2038</v>
      </c>
      <c r="B106" s="23">
        <f t="shared" si="37"/>
        <v>1</v>
      </c>
      <c r="C106" s="24"/>
      <c r="D106" s="41">
        <v>136270576.86782908</v>
      </c>
      <c r="E106" s="24"/>
      <c r="F106" s="41">
        <v>24768790.411208961</v>
      </c>
      <c r="G106" s="41">
        <v>5712176.2014867403</v>
      </c>
      <c r="H106" s="41">
        <v>31426708.096129801</v>
      </c>
      <c r="I106" s="41">
        <v>176665.24334494956</v>
      </c>
      <c r="J106" s="41">
        <v>971960.04421019356</v>
      </c>
      <c r="K106" s="24"/>
      <c r="L106" s="41">
        <v>2269838.03828358</v>
      </c>
      <c r="M106" s="25"/>
      <c r="N106" s="41">
        <v>1218665.4689707495</v>
      </c>
      <c r="O106" s="24"/>
      <c r="P106" s="41">
        <v>18482938.216842934</v>
      </c>
      <c r="Q106" s="25"/>
      <c r="R106" s="41">
        <v>25906508.637624111</v>
      </c>
      <c r="S106" s="25"/>
      <c r="T106" s="41">
        <v>99055781.137100488</v>
      </c>
      <c r="U106" s="24"/>
      <c r="V106" s="41">
        <v>165911.84332498399</v>
      </c>
      <c r="W106" s="25"/>
      <c r="X106" s="41">
        <v>416722.71672063443</v>
      </c>
      <c r="Y106" s="24"/>
      <c r="Z106" s="24">
        <f t="shared" si="31"/>
        <v>-2184873.4375141934</v>
      </c>
      <c r="AA106" s="24"/>
      <c r="AB106" s="24">
        <f t="shared" si="32"/>
        <v>-55697733.947571531</v>
      </c>
      <c r="AC106" s="12"/>
      <c r="AD106" s="24"/>
      <c r="AE106" s="24"/>
      <c r="AF106" s="24">
        <f>BB106/100*AF25</f>
        <v>9643273627.8552189</v>
      </c>
      <c r="AG106" s="26">
        <f t="shared" si="38"/>
        <v>6.712138357118997E-3</v>
      </c>
      <c r="AH106" s="26"/>
      <c r="AI106" s="26">
        <f t="shared" si="33"/>
        <v>-5.7758118349649466E-3</v>
      </c>
      <c r="AV106" s="23">
        <v>13707158</v>
      </c>
      <c r="AX106" s="23">
        <f t="shared" si="34"/>
        <v>4.4836667576825225E-3</v>
      </c>
      <c r="AY106" s="43">
        <v>9201.2230420966007</v>
      </c>
      <c r="AZ106" s="26">
        <f t="shared" si="35"/>
        <v>2.2185244749968669E-3</v>
      </c>
      <c r="BA106" s="23">
        <f t="shared" si="39"/>
        <v>136.87949629835069</v>
      </c>
      <c r="BB106" s="23">
        <f t="shared" si="40"/>
        <v>167.79593590958467</v>
      </c>
      <c r="BD106" s="26">
        <f t="shared" si="41"/>
        <v>1.227260672806353E-2</v>
      </c>
    </row>
    <row r="107" spans="1:56" s="31" customFormat="1">
      <c r="A107" s="31">
        <f t="shared" si="36"/>
        <v>2038</v>
      </c>
      <c r="B107" s="31">
        <f t="shared" si="37"/>
        <v>2</v>
      </c>
      <c r="C107" s="32"/>
      <c r="D107" s="44">
        <v>136194505.38141727</v>
      </c>
      <c r="E107" s="32"/>
      <c r="F107" s="44">
        <v>24754963.518078312</v>
      </c>
      <c r="G107" s="44">
        <v>5817258.2820707904</v>
      </c>
      <c r="H107" s="44">
        <v>32004838.699277058</v>
      </c>
      <c r="I107" s="44">
        <v>179915.20460012928</v>
      </c>
      <c r="J107" s="44">
        <v>989840.37214259896</v>
      </c>
      <c r="K107" s="32"/>
      <c r="L107" s="44">
        <v>1840966.5076212101</v>
      </c>
      <c r="M107" s="33"/>
      <c r="N107" s="44">
        <v>1219750.910190668</v>
      </c>
      <c r="O107" s="32"/>
      <c r="P107" s="44">
        <v>16263493.582801472</v>
      </c>
      <c r="Q107" s="33"/>
      <c r="R107" s="44">
        <v>31043683.152400427</v>
      </c>
      <c r="S107" s="33"/>
      <c r="T107" s="44">
        <v>118698213.14199612</v>
      </c>
      <c r="U107" s="32"/>
      <c r="V107" s="44">
        <v>166216.24871282201</v>
      </c>
      <c r="W107" s="33"/>
      <c r="X107" s="44">
        <v>417487.29529237497</v>
      </c>
      <c r="Y107" s="32"/>
      <c r="Z107" s="32">
        <f t="shared" si="31"/>
        <v>3394218.4652230591</v>
      </c>
      <c r="AA107" s="32"/>
      <c r="AB107" s="32">
        <f t="shared" si="32"/>
        <v>-33759785.822222635</v>
      </c>
      <c r="AC107" s="12"/>
      <c r="AD107" s="32"/>
      <c r="AE107" s="32"/>
      <c r="AF107" s="32">
        <f>BB107/100*AF25</f>
        <v>9717697084.4544888</v>
      </c>
      <c r="AG107" s="34">
        <f t="shared" si="38"/>
        <v>7.7176547582651711E-3</v>
      </c>
      <c r="AH107" s="34"/>
      <c r="AI107" s="34">
        <f t="shared" si="33"/>
        <v>-3.4740520854708006E-3</v>
      </c>
      <c r="AV107" s="31">
        <v>13748092</v>
      </c>
      <c r="AX107" s="31">
        <f t="shared" si="34"/>
        <v>2.9863229124520198E-3</v>
      </c>
      <c r="AY107" s="46">
        <v>9244.6274620822005</v>
      </c>
      <c r="AZ107" s="34">
        <f t="shared" si="35"/>
        <v>4.7172446300910052E-3</v>
      </c>
      <c r="BA107" s="31">
        <f t="shared" si="39"/>
        <v>137.52519036723365</v>
      </c>
      <c r="BB107" s="31">
        <f t="shared" si="40"/>
        <v>169.09092701277487</v>
      </c>
      <c r="BD107" s="34">
        <f t="shared" si="41"/>
        <v>1.0348980722317411E-2</v>
      </c>
    </row>
    <row r="108" spans="1:56" s="31" customFormat="1">
      <c r="A108" s="31">
        <f t="shared" si="36"/>
        <v>2038</v>
      </c>
      <c r="B108" s="31">
        <f t="shared" si="37"/>
        <v>3</v>
      </c>
      <c r="C108" s="32"/>
      <c r="D108" s="44">
        <v>136451456.33527887</v>
      </c>
      <c r="E108" s="32"/>
      <c r="F108" s="44">
        <v>24801667.395528913</v>
      </c>
      <c r="G108" s="44">
        <v>5941759.5314704897</v>
      </c>
      <c r="H108" s="44">
        <v>32689807.839666922</v>
      </c>
      <c r="I108" s="44">
        <v>183765.75870527048</v>
      </c>
      <c r="J108" s="44">
        <v>1011024.9847319534</v>
      </c>
      <c r="K108" s="32"/>
      <c r="L108" s="44">
        <v>1830963.4683765499</v>
      </c>
      <c r="M108" s="33"/>
      <c r="N108" s="44">
        <v>1223565.3164268285</v>
      </c>
      <c r="O108" s="32"/>
      <c r="P108" s="44">
        <v>16232573.502288051</v>
      </c>
      <c r="Q108" s="33"/>
      <c r="R108" s="44">
        <v>26558462.755406242</v>
      </c>
      <c r="S108" s="33"/>
      <c r="T108" s="44">
        <v>101548584.21241216</v>
      </c>
      <c r="U108" s="32"/>
      <c r="V108" s="44">
        <v>168457.62128893699</v>
      </c>
      <c r="W108" s="33"/>
      <c r="X108" s="44">
        <v>423116.97699793114</v>
      </c>
      <c r="Y108" s="32"/>
      <c r="Z108" s="32">
        <f t="shared" si="31"/>
        <v>-1129275.8036371134</v>
      </c>
      <c r="AA108" s="32"/>
      <c r="AB108" s="32">
        <f t="shared" si="32"/>
        <v>-51135445.625154763</v>
      </c>
      <c r="AC108" s="12"/>
      <c r="AD108" s="32"/>
      <c r="AE108" s="32"/>
      <c r="AF108" s="32">
        <f>BB108/100*AF25</f>
        <v>9832409385.7063217</v>
      </c>
      <c r="AG108" s="34">
        <f t="shared" si="38"/>
        <v>1.1804473864012446E-2</v>
      </c>
      <c r="AH108" s="34"/>
      <c r="AI108" s="34">
        <f t="shared" si="33"/>
        <v>-5.2007034714697644E-3</v>
      </c>
      <c r="AV108" s="31">
        <v>13754669</v>
      </c>
      <c r="AX108" s="31">
        <f t="shared" si="34"/>
        <v>4.7839365637064401E-4</v>
      </c>
      <c r="AY108" s="46">
        <v>9349.2827877635991</v>
      </c>
      <c r="AZ108" s="34">
        <f t="shared" si="35"/>
        <v>1.1320664473571627E-2</v>
      </c>
      <c r="BA108" s="31">
        <f t="shared" si="39"/>
        <v>139.08206690404518</v>
      </c>
      <c r="BB108" s="31">
        <f t="shared" si="40"/>
        <v>171.0869564413388</v>
      </c>
      <c r="BD108" s="34">
        <f t="shared" si="41"/>
        <v>1.2312879973477596E-2</v>
      </c>
    </row>
    <row r="109" spans="1:56" s="31" customFormat="1">
      <c r="A109" s="31">
        <f t="shared" si="36"/>
        <v>2038</v>
      </c>
      <c r="B109" s="31">
        <f t="shared" si="37"/>
        <v>4</v>
      </c>
      <c r="C109" s="32"/>
      <c r="D109" s="44">
        <v>137063257.986754</v>
      </c>
      <c r="E109" s="32"/>
      <c r="F109" s="44">
        <v>24912869.58771833</v>
      </c>
      <c r="G109" s="44">
        <v>5995882.1489545703</v>
      </c>
      <c r="H109" s="44">
        <v>32987574.512310524</v>
      </c>
      <c r="I109" s="44">
        <v>185439.65409136936</v>
      </c>
      <c r="J109" s="44">
        <v>1020234.2632672858</v>
      </c>
      <c r="K109" s="32"/>
      <c r="L109" s="44">
        <v>1826632.3512782799</v>
      </c>
      <c r="M109" s="33"/>
      <c r="N109" s="44">
        <v>1231148.0373139307</v>
      </c>
      <c r="O109" s="32"/>
      <c r="P109" s="44">
        <v>16251817.208132345</v>
      </c>
      <c r="Q109" s="33"/>
      <c r="R109" s="44">
        <v>31820629.682339404</v>
      </c>
      <c r="S109" s="33"/>
      <c r="T109" s="44">
        <v>121668935.53849436</v>
      </c>
      <c r="U109" s="32"/>
      <c r="V109" s="44">
        <v>169297.99351228299</v>
      </c>
      <c r="W109" s="33"/>
      <c r="X109" s="44">
        <v>425227.74973694136</v>
      </c>
      <c r="Y109" s="32"/>
      <c r="Z109" s="32">
        <f t="shared" si="31"/>
        <v>4019277.6995411478</v>
      </c>
      <c r="AA109" s="32"/>
      <c r="AB109" s="32">
        <f t="shared" si="32"/>
        <v>-31646139.656391978</v>
      </c>
      <c r="AC109" s="12"/>
      <c r="AD109" s="32"/>
      <c r="AE109" s="32"/>
      <c r="AF109" s="32">
        <f>BB109/100*AF25</f>
        <v>9878352681.2555389</v>
      </c>
      <c r="AG109" s="34">
        <f t="shared" si="38"/>
        <v>4.6726385921243693E-3</v>
      </c>
      <c r="AH109" s="34">
        <f>(AF109-AF105)/AF105</f>
        <v>3.125327922529935E-2</v>
      </c>
      <c r="AI109" s="34">
        <f t="shared" si="33"/>
        <v>-3.2035847147309738E-3</v>
      </c>
      <c r="AV109" s="31">
        <v>13758759</v>
      </c>
      <c r="AX109" s="31">
        <f t="shared" si="34"/>
        <v>2.9735357499333499E-4</v>
      </c>
      <c r="AY109" s="46">
        <v>9390.1764048025998</v>
      </c>
      <c r="AZ109" s="34">
        <f t="shared" si="35"/>
        <v>4.3739843972333903E-3</v>
      </c>
      <c r="BA109" s="31">
        <f t="shared" si="39"/>
        <v>139.69040969461844</v>
      </c>
      <c r="BB109" s="31">
        <f t="shared" si="40"/>
        <v>171.88638395661567</v>
      </c>
      <c r="BD109" s="34">
        <f t="shared" si="41"/>
        <v>1.0381693536653322E-2</v>
      </c>
    </row>
    <row r="110" spans="1:56" s="23" customFormat="1">
      <c r="A110" s="23">
        <f t="shared" si="36"/>
        <v>2039</v>
      </c>
      <c r="B110" s="23">
        <f t="shared" si="37"/>
        <v>1</v>
      </c>
      <c r="C110" s="24"/>
      <c r="D110" s="41">
        <v>137936442.56634229</v>
      </c>
      <c r="E110" s="24"/>
      <c r="F110" s="41">
        <v>25071581.22114085</v>
      </c>
      <c r="G110" s="41">
        <v>6098660.7377556497</v>
      </c>
      <c r="H110" s="41">
        <v>33553031.983307827</v>
      </c>
      <c r="I110" s="41">
        <v>188618.3733326504</v>
      </c>
      <c r="J110" s="41">
        <v>1037722.638659013</v>
      </c>
      <c r="K110" s="24"/>
      <c r="L110" s="41">
        <v>2253340.4067894798</v>
      </c>
      <c r="M110" s="25"/>
      <c r="N110" s="41">
        <v>1240345.4648491479</v>
      </c>
      <c r="O110" s="24"/>
      <c r="P110" s="41">
        <v>18516608.869283639</v>
      </c>
      <c r="Q110" s="25"/>
      <c r="R110" s="41">
        <v>26713689.910685685</v>
      </c>
      <c r="S110" s="25"/>
      <c r="T110" s="41">
        <v>102142108.69442455</v>
      </c>
      <c r="U110" s="24"/>
      <c r="V110" s="41">
        <v>174050.04711873701</v>
      </c>
      <c r="W110" s="25"/>
      <c r="X110" s="41">
        <v>437163.53834128269</v>
      </c>
      <c r="Y110" s="24"/>
      <c r="Z110" s="24">
        <f t="shared" ref="Z110:Z117" si="42">R110+V110-N110-L110-F110</f>
        <v>-1677527.1349750571</v>
      </c>
      <c r="AA110" s="24"/>
      <c r="AB110" s="24">
        <f t="shared" ref="AB110:AB117" si="43">T110-P110-D110</f>
        <v>-54310942.741201371</v>
      </c>
      <c r="AC110" s="12"/>
      <c r="AD110" s="24"/>
      <c r="AE110" s="24"/>
      <c r="AF110" s="24">
        <f>BB110/100*AF25</f>
        <v>9890884113.4160213</v>
      </c>
      <c r="AG110" s="26">
        <f t="shared" si="38"/>
        <v>1.2685750919038518E-3</v>
      </c>
      <c r="AH110" s="26"/>
      <c r="AI110" s="26">
        <f t="shared" ref="AI110:AI117" si="44">AB110/AF110</f>
        <v>-5.4910099156387712E-3</v>
      </c>
      <c r="AV110" s="23">
        <v>13766070</v>
      </c>
      <c r="AX110" s="23">
        <f t="shared" si="34"/>
        <v>5.3137059817676873E-4</v>
      </c>
      <c r="AY110" s="43">
        <v>9397.0952085961999</v>
      </c>
      <c r="AZ110" s="26">
        <f t="shared" si="35"/>
        <v>7.3681297297689457E-4</v>
      </c>
      <c r="BA110" s="23">
        <f t="shared" si="39"/>
        <v>139.79333540068188</v>
      </c>
      <c r="BB110" s="23">
        <f t="shared" si="40"/>
        <v>172.10443474194045</v>
      </c>
      <c r="BD110" s="26">
        <f t="shared" si="41"/>
        <v>1.2346278362365159E-2</v>
      </c>
    </row>
    <row r="111" spans="1:56" s="31" customFormat="1">
      <c r="A111" s="31">
        <f t="shared" si="36"/>
        <v>2039</v>
      </c>
      <c r="B111" s="31">
        <f t="shared" si="37"/>
        <v>2</v>
      </c>
      <c r="C111" s="32"/>
      <c r="D111" s="44">
        <v>138897036.79425278</v>
      </c>
      <c r="E111" s="32"/>
      <c r="F111" s="44">
        <v>25246180.592833601</v>
      </c>
      <c r="G111" s="44">
        <v>6250572.6094362</v>
      </c>
      <c r="H111" s="44">
        <v>34388806.280045874</v>
      </c>
      <c r="I111" s="44">
        <v>193316.67864235025</v>
      </c>
      <c r="J111" s="44">
        <v>1063571.3282488061</v>
      </c>
      <c r="K111" s="32"/>
      <c r="L111" s="44">
        <v>1810529.7639564001</v>
      </c>
      <c r="M111" s="33"/>
      <c r="N111" s="44">
        <v>1251470.339640148</v>
      </c>
      <c r="O111" s="32"/>
      <c r="P111" s="44">
        <v>16280068.117320916</v>
      </c>
      <c r="Q111" s="33"/>
      <c r="R111" s="44">
        <v>31840135.913042214</v>
      </c>
      <c r="S111" s="33"/>
      <c r="T111" s="44">
        <v>121743519.30222473</v>
      </c>
      <c r="U111" s="32"/>
      <c r="V111" s="44">
        <v>167251.99185555201</v>
      </c>
      <c r="W111" s="33"/>
      <c r="X111" s="44">
        <v>420088.78345387877</v>
      </c>
      <c r="Y111" s="32"/>
      <c r="Z111" s="32">
        <f t="shared" si="42"/>
        <v>3699207.2084676139</v>
      </c>
      <c r="AA111" s="32"/>
      <c r="AB111" s="32">
        <f t="shared" si="43"/>
        <v>-33433585.609348968</v>
      </c>
      <c r="AC111" s="12"/>
      <c r="AD111" s="32"/>
      <c r="AE111" s="32"/>
      <c r="AF111" s="32">
        <f>BB111/100*AF25</f>
        <v>9907800825.9327393</v>
      </c>
      <c r="AG111" s="34">
        <f t="shared" si="38"/>
        <v>1.7103337095793123E-3</v>
      </c>
      <c r="AH111" s="34"/>
      <c r="AI111" s="34">
        <f t="shared" si="44"/>
        <v>-3.3744709039608156E-3</v>
      </c>
      <c r="AV111" s="31">
        <v>13779309</v>
      </c>
      <c r="AX111" s="31">
        <f t="shared" ref="AX111:AX117" si="45">(AV111-AV110)/AV110</f>
        <v>9.6171238414449441E-4</v>
      </c>
      <c r="AY111" s="46">
        <v>9404.1233154491001</v>
      </c>
      <c r="AZ111" s="34">
        <f t="shared" ref="AZ111:AZ117" si="46">(AY111-AY110)/AY110</f>
        <v>7.4790205876291657E-4</v>
      </c>
      <c r="BA111" s="31">
        <f t="shared" si="39"/>
        <v>139.89788712402938</v>
      </c>
      <c r="BB111" s="31">
        <f t="shared" si="40"/>
        <v>172.39879075824771</v>
      </c>
      <c r="BD111" s="34" t="e">
        <f t="shared" si="41"/>
        <v>#DIV/0!</v>
      </c>
    </row>
    <row r="112" spans="1:56" s="31" customFormat="1">
      <c r="A112" s="31">
        <f t="shared" si="36"/>
        <v>2039</v>
      </c>
      <c r="B112" s="31">
        <f t="shared" si="37"/>
        <v>3</v>
      </c>
      <c r="C112" s="32"/>
      <c r="D112" s="44">
        <v>139656347.72643825</v>
      </c>
      <c r="E112" s="32"/>
      <c r="F112" s="44">
        <v>25384194.342892669</v>
      </c>
      <c r="G112" s="44">
        <v>6333268.4145923303</v>
      </c>
      <c r="H112" s="44">
        <v>34843774.200807795</v>
      </c>
      <c r="I112" s="44">
        <v>195874.28086367995</v>
      </c>
      <c r="J112" s="44">
        <v>1077642.5010559091</v>
      </c>
      <c r="K112" s="32"/>
      <c r="L112" s="44">
        <v>1758197.482141</v>
      </c>
      <c r="M112" s="33"/>
      <c r="N112" s="44">
        <v>1260723.7374815233</v>
      </c>
      <c r="O112" s="32"/>
      <c r="P112" s="44">
        <v>16059425.122933101</v>
      </c>
      <c r="Q112" s="33"/>
      <c r="R112" s="44">
        <v>27079059.917085189</v>
      </c>
      <c r="S112" s="33"/>
      <c r="T112" s="44">
        <v>103539132.58113265</v>
      </c>
      <c r="U112" s="32"/>
      <c r="V112" s="44">
        <v>168464.615369159</v>
      </c>
      <c r="W112" s="33"/>
      <c r="X112" s="44">
        <v>423134.54411099956</v>
      </c>
      <c r="Y112" s="32"/>
      <c r="Z112" s="32">
        <f t="shared" si="42"/>
        <v>-1155591.0300608426</v>
      </c>
      <c r="AA112" s="32"/>
      <c r="AB112" s="32">
        <f t="shared" si="43"/>
        <v>-52176640.268238708</v>
      </c>
      <c r="AC112" s="12"/>
      <c r="AD112" s="32"/>
      <c r="AE112" s="32"/>
      <c r="AF112" s="32">
        <f>BB112/100*AF25</f>
        <v>9985348203.0310287</v>
      </c>
      <c r="AG112" s="34">
        <f t="shared" si="38"/>
        <v>7.8269010914426649E-3</v>
      </c>
      <c r="AH112" s="34"/>
      <c r="AI112" s="34">
        <f t="shared" si="44"/>
        <v>-5.2253200596851105E-3</v>
      </c>
      <c r="AV112" s="31">
        <v>13813609</v>
      </c>
      <c r="AX112" s="31">
        <f t="shared" si="45"/>
        <v>2.4892394821830325E-3</v>
      </c>
      <c r="AY112" s="46">
        <v>9454.1947037619993</v>
      </c>
      <c r="AZ112" s="34">
        <f t="shared" si="46"/>
        <v>5.3244078829381052E-3</v>
      </c>
      <c r="BA112" s="31">
        <f t="shared" si="39"/>
        <v>140.64276053703895</v>
      </c>
      <c r="BB112" s="31">
        <f t="shared" si="40"/>
        <v>173.74813904179683</v>
      </c>
      <c r="BD112" s="34" t="e">
        <f t="shared" si="41"/>
        <v>#DIV/0!</v>
      </c>
    </row>
    <row r="113" spans="1:56" s="31" customFormat="1">
      <c r="A113" s="31">
        <f t="shared" si="36"/>
        <v>2039</v>
      </c>
      <c r="B113" s="31">
        <f t="shared" si="37"/>
        <v>4</v>
      </c>
      <c r="C113" s="32"/>
      <c r="D113" s="44">
        <v>139967291.87455413</v>
      </c>
      <c r="E113" s="32"/>
      <c r="F113" s="44">
        <v>25440712.122528579</v>
      </c>
      <c r="G113" s="44">
        <v>6442496.46644862</v>
      </c>
      <c r="H113" s="44">
        <v>35444714.714635625</v>
      </c>
      <c r="I113" s="44">
        <v>199252.46803449001</v>
      </c>
      <c r="J113" s="44">
        <v>1096228.2901433511</v>
      </c>
      <c r="K113" s="32"/>
      <c r="L113" s="44">
        <v>1735073.6233542501</v>
      </c>
      <c r="M113" s="33"/>
      <c r="N113" s="44">
        <v>1264284.6586499102</v>
      </c>
      <c r="O113" s="32"/>
      <c r="P113" s="44">
        <v>15959026.44738932</v>
      </c>
      <c r="Q113" s="33"/>
      <c r="R113" s="44">
        <v>32201468.409944821</v>
      </c>
      <c r="S113" s="33"/>
      <c r="T113" s="44">
        <v>123125105.42143361</v>
      </c>
      <c r="U113" s="32"/>
      <c r="V113" s="44">
        <v>171228.105108113</v>
      </c>
      <c r="W113" s="33"/>
      <c r="X113" s="44">
        <v>430075.63359905232</v>
      </c>
      <c r="Y113" s="32"/>
      <c r="Z113" s="32">
        <f t="shared" si="42"/>
        <v>3932626.1105201952</v>
      </c>
      <c r="AA113" s="32"/>
      <c r="AB113" s="32">
        <f t="shared" si="43"/>
        <v>-32801212.900509834</v>
      </c>
      <c r="AC113" s="12"/>
      <c r="AD113" s="32"/>
      <c r="AE113" s="32"/>
      <c r="AF113" s="32">
        <f>BB113/100*AF25</f>
        <v>10032514538.242788</v>
      </c>
      <c r="AG113" s="34">
        <f t="shared" si="38"/>
        <v>4.723554377146541E-3</v>
      </c>
      <c r="AH113" s="34">
        <f>(AF113-AF109)/AF109</f>
        <v>1.5606028855375449E-2</v>
      </c>
      <c r="AI113" s="34">
        <f t="shared" si="44"/>
        <v>-3.2694906920369159E-3</v>
      </c>
      <c r="AV113" s="31">
        <v>13874418</v>
      </c>
      <c r="AX113" s="31">
        <f t="shared" si="45"/>
        <v>4.4021080949953051E-3</v>
      </c>
      <c r="AY113" s="46">
        <v>9457.2204000581005</v>
      </c>
      <c r="AZ113" s="34">
        <f t="shared" si="46"/>
        <v>3.2003744273398333E-4</v>
      </c>
      <c r="BA113" s="31">
        <f t="shared" si="39"/>
        <v>140.68777148646026</v>
      </c>
      <c r="BB113" s="31">
        <f t="shared" si="40"/>
        <v>174.56884782448878</v>
      </c>
      <c r="BD113" s="34" t="e">
        <f t="shared" si="41"/>
        <v>#DIV/0!</v>
      </c>
    </row>
    <row r="114" spans="1:56" s="23" customFormat="1">
      <c r="A114" s="23">
        <f t="shared" ref="A114:A117" si="47">A110+1</f>
        <v>2040</v>
      </c>
      <c r="B114" s="23">
        <f t="shared" ref="B114:B117" si="48">B110</f>
        <v>1</v>
      </c>
      <c r="C114" s="24"/>
      <c r="D114" s="41">
        <v>140642214.43300772</v>
      </c>
      <c r="E114" s="24"/>
      <c r="F114" s="41">
        <v>25563387.28673771</v>
      </c>
      <c r="G114" s="41">
        <v>6525286.3044435903</v>
      </c>
      <c r="H114" s="41">
        <v>35900199.976332664</v>
      </c>
      <c r="I114" s="41">
        <v>201812.97848794982</v>
      </c>
      <c r="J114" s="41">
        <v>1110315.4631855669</v>
      </c>
      <c r="K114" s="24"/>
      <c r="L114" s="41">
        <v>2209597.92955912</v>
      </c>
      <c r="M114" s="25"/>
      <c r="N114" s="41">
        <v>1271517.1666468494</v>
      </c>
      <c r="O114" s="24"/>
      <c r="P114" s="41">
        <v>18461126.453144349</v>
      </c>
      <c r="Q114" s="25"/>
      <c r="R114" s="41">
        <v>27365731.964927591</v>
      </c>
      <c r="S114" s="25"/>
      <c r="T114" s="41">
        <v>104635248.0024118</v>
      </c>
      <c r="U114" s="24"/>
      <c r="V114" s="41">
        <v>179328.11716515399</v>
      </c>
      <c r="W114" s="25"/>
      <c r="X114" s="41">
        <v>450420.5285880632</v>
      </c>
      <c r="Y114" s="24"/>
      <c r="Z114" s="24">
        <f t="shared" si="42"/>
        <v>-1499442.3008509316</v>
      </c>
      <c r="AA114" s="24"/>
      <c r="AB114" s="24">
        <f t="shared" si="43"/>
        <v>-54468092.883740276</v>
      </c>
      <c r="AC114" s="12"/>
      <c r="AD114" s="24"/>
      <c r="AE114" s="24"/>
      <c r="AF114" s="24">
        <f>BB114/100*AF25</f>
        <v>10110681506.707956</v>
      </c>
      <c r="AG114" s="26">
        <f t="shared" si="38"/>
        <v>7.7913635875836041E-3</v>
      </c>
      <c r="AH114" s="26"/>
      <c r="AI114" s="26">
        <f t="shared" si="44"/>
        <v>-5.3871831337584204E-3</v>
      </c>
      <c r="AV114" s="23">
        <v>13854659</v>
      </c>
      <c r="AX114" s="23">
        <f t="shared" si="45"/>
        <v>-1.4241318086279367E-3</v>
      </c>
      <c r="AY114" s="43">
        <v>9544.4976654456004</v>
      </c>
      <c r="AZ114" s="26">
        <f t="shared" si="46"/>
        <v>9.2286381934129132E-3</v>
      </c>
      <c r="BA114" s="23">
        <f t="shared" si="39"/>
        <v>141.98612802774636</v>
      </c>
      <c r="BB114" s="23">
        <f t="shared" si="40"/>
        <v>175.92897718895492</v>
      </c>
      <c r="BD114" s="26" t="e">
        <f t="shared" si="41"/>
        <v>#DIV/0!</v>
      </c>
    </row>
    <row r="115" spans="1:56" s="31" customFormat="1">
      <c r="A115" s="31">
        <f t="shared" si="47"/>
        <v>2040</v>
      </c>
      <c r="B115" s="31">
        <f t="shared" si="48"/>
        <v>2</v>
      </c>
      <c r="C115" s="32"/>
      <c r="D115" s="44">
        <v>141505773.24882454</v>
      </c>
      <c r="E115" s="32"/>
      <c r="F115" s="44">
        <v>25720349.323652431</v>
      </c>
      <c r="G115" s="44">
        <v>6636591.78424697</v>
      </c>
      <c r="H115" s="44">
        <v>36512569.885785051</v>
      </c>
      <c r="I115" s="44">
        <v>205255.41600763984</v>
      </c>
      <c r="J115" s="44">
        <v>1129254.7387356288</v>
      </c>
      <c r="K115" s="32"/>
      <c r="L115" s="44">
        <v>1780882.3739604501</v>
      </c>
      <c r="M115" s="33"/>
      <c r="N115" s="44">
        <v>1281308.2835938558</v>
      </c>
      <c r="O115" s="32"/>
      <c r="P115" s="44">
        <v>16290387.233710732</v>
      </c>
      <c r="Q115" s="33"/>
      <c r="R115" s="44">
        <v>32643313.401896279</v>
      </c>
      <c r="S115" s="33"/>
      <c r="T115" s="44">
        <v>124814538.04361661</v>
      </c>
      <c r="U115" s="32"/>
      <c r="V115" s="44">
        <v>179547.76897131299</v>
      </c>
      <c r="W115" s="33"/>
      <c r="X115" s="44">
        <v>450972.23059776163</v>
      </c>
      <c r="Y115" s="32"/>
      <c r="Z115" s="32">
        <f t="shared" si="42"/>
        <v>4040321.1896608546</v>
      </c>
      <c r="AA115" s="32"/>
      <c r="AB115" s="32">
        <f t="shared" si="43"/>
        <v>-32981622.438918665</v>
      </c>
      <c r="AC115" s="12"/>
      <c r="AD115" s="32"/>
      <c r="AE115" s="32"/>
      <c r="AF115" s="32">
        <f>BB115/100*AF25</f>
        <v>10136908530.942541</v>
      </c>
      <c r="AG115" s="34">
        <f t="shared" si="38"/>
        <v>2.5939917321284845E-3</v>
      </c>
      <c r="AH115" s="34"/>
      <c r="AI115" s="34">
        <f t="shared" si="44"/>
        <v>-3.2536174454216959E-3</v>
      </c>
      <c r="AV115" s="31">
        <v>13848453</v>
      </c>
      <c r="AX115" s="31">
        <f t="shared" si="45"/>
        <v>-4.4793596146971211E-4</v>
      </c>
      <c r="AY115" s="46">
        <v>9573.5443482694009</v>
      </c>
      <c r="AZ115" s="34">
        <f t="shared" si="46"/>
        <v>3.0432908930303924E-3</v>
      </c>
      <c r="BA115" s="31">
        <f t="shared" si="39"/>
        <v>142.41823311810987</v>
      </c>
      <c r="BB115" s="31">
        <f t="shared" si="40"/>
        <v>176.38533550122489</v>
      </c>
      <c r="BD115" s="34" t="e">
        <f t="shared" si="41"/>
        <v>#DIV/0!</v>
      </c>
    </row>
    <row r="116" spans="1:56" s="31" customFormat="1">
      <c r="A116" s="31">
        <f t="shared" si="47"/>
        <v>2040</v>
      </c>
      <c r="B116" s="31">
        <f t="shared" si="48"/>
        <v>3</v>
      </c>
      <c r="C116" s="32"/>
      <c r="D116" s="44">
        <v>142453534.14021441</v>
      </c>
      <c r="E116" s="32"/>
      <c r="F116" s="44">
        <v>25892616.084521472</v>
      </c>
      <c r="G116" s="44">
        <v>6692818.2649460305</v>
      </c>
      <c r="H116" s="44">
        <v>36821911.393097468</v>
      </c>
      <c r="I116" s="44">
        <v>206994.37932821922</v>
      </c>
      <c r="J116" s="44">
        <v>1138822.0018483284</v>
      </c>
      <c r="K116" s="32"/>
      <c r="L116" s="44">
        <v>1823499.505936</v>
      </c>
      <c r="M116" s="33"/>
      <c r="N116" s="44">
        <v>1291732.7348301783</v>
      </c>
      <c r="O116" s="32"/>
      <c r="P116" s="44">
        <v>16568879.989117071</v>
      </c>
      <c r="Q116" s="33"/>
      <c r="R116" s="44">
        <v>27698827.946052022</v>
      </c>
      <c r="S116" s="33"/>
      <c r="T116" s="44">
        <v>105908869.35623601</v>
      </c>
      <c r="U116" s="32"/>
      <c r="V116" s="44">
        <v>173657.88613239699</v>
      </c>
      <c r="W116" s="33"/>
      <c r="X116" s="44">
        <v>436178.54300674616</v>
      </c>
      <c r="Y116" s="32"/>
      <c r="Z116" s="32">
        <f t="shared" si="42"/>
        <v>-1135362.4931032322</v>
      </c>
      <c r="AA116" s="32"/>
      <c r="AB116" s="32">
        <f t="shared" si="43"/>
        <v>-53113544.773095474</v>
      </c>
      <c r="AC116" s="12"/>
      <c r="AD116" s="32"/>
      <c r="AE116" s="32"/>
      <c r="AF116" s="32">
        <f>BB116/100*AF25</f>
        <v>10201502190.593189</v>
      </c>
      <c r="AG116" s="34">
        <f t="shared" si="38"/>
        <v>6.3721261224246369E-3</v>
      </c>
      <c r="AH116" s="34"/>
      <c r="AI116" s="34">
        <f t="shared" si="44"/>
        <v>-5.2064435002593546E-3</v>
      </c>
      <c r="AV116" s="31">
        <v>13924031</v>
      </c>
      <c r="AX116" s="31">
        <f t="shared" si="45"/>
        <v>5.4575048924237245E-3</v>
      </c>
      <c r="AY116" s="46">
        <v>9582.2529877342004</v>
      </c>
      <c r="AZ116" s="34">
        <f t="shared" si="46"/>
        <v>9.0965677370823908E-4</v>
      </c>
      <c r="BA116" s="31">
        <f t="shared" si="39"/>
        <v>142.54778482856531</v>
      </c>
      <c r="BB116" s="31">
        <f t="shared" si="40"/>
        <v>177.50928510518489</v>
      </c>
      <c r="BD116" s="34" t="e">
        <f t="shared" si="41"/>
        <v>#DIV/0!</v>
      </c>
    </row>
    <row r="117" spans="1:56" s="31" customFormat="1">
      <c r="A117" s="31">
        <f t="shared" si="47"/>
        <v>2040</v>
      </c>
      <c r="B117" s="31">
        <f t="shared" si="48"/>
        <v>4</v>
      </c>
      <c r="C117" s="32"/>
      <c r="D117" s="44">
        <v>143482747.11074317</v>
      </c>
      <c r="E117" s="32"/>
      <c r="F117" s="44">
        <v>26079687.724940591</v>
      </c>
      <c r="G117" s="44">
        <v>6787109.8353630099</v>
      </c>
      <c r="H117" s="44">
        <v>37340675.79302071</v>
      </c>
      <c r="I117" s="44">
        <v>209910.61346483976</v>
      </c>
      <c r="J117" s="44">
        <v>1154866.26163984</v>
      </c>
      <c r="K117" s="32"/>
      <c r="L117" s="44">
        <v>1772046.67635133</v>
      </c>
      <c r="M117" s="33"/>
      <c r="N117" s="44">
        <v>1303509.8871181607</v>
      </c>
      <c r="O117" s="32"/>
      <c r="P117" s="44">
        <v>16366685.428872539</v>
      </c>
      <c r="Q117" s="33"/>
      <c r="R117" s="44">
        <v>33142819.455203757</v>
      </c>
      <c r="S117" s="33"/>
      <c r="T117" s="44">
        <v>126724442.73147655</v>
      </c>
      <c r="U117" s="32"/>
      <c r="V117" s="44">
        <v>172390.68573863199</v>
      </c>
      <c r="W117" s="33"/>
      <c r="X117" s="44">
        <v>432995.70096161962</v>
      </c>
      <c r="Y117" s="32"/>
      <c r="Z117" s="32">
        <f t="shared" si="42"/>
        <v>4159965.8525323048</v>
      </c>
      <c r="AA117" s="32"/>
      <c r="AB117" s="32">
        <f t="shared" si="43"/>
        <v>-33124989.80813916</v>
      </c>
      <c r="AC117" s="12"/>
      <c r="AD117" s="32"/>
      <c r="AE117" s="32"/>
      <c r="AF117" s="32">
        <f>BB117/100*AF25</f>
        <v>10264181562.418631</v>
      </c>
      <c r="AG117" s="34">
        <f t="shared" si="38"/>
        <v>6.1441315851736072E-3</v>
      </c>
      <c r="AH117" s="34">
        <f>(AF117-AF113)/AF113</f>
        <v>2.3091621077921624E-2</v>
      </c>
      <c r="AI117" s="34">
        <f t="shared" si="44"/>
        <v>-3.2272412180843822E-3</v>
      </c>
      <c r="AV117" s="31">
        <v>13940477</v>
      </c>
      <c r="AX117" s="31">
        <f t="shared" si="45"/>
        <v>1.18112348356593E-3</v>
      </c>
      <c r="AY117" s="46">
        <v>9629.7536827576005</v>
      </c>
      <c r="AZ117" s="34">
        <f t="shared" si="46"/>
        <v>4.9571530916793323E-3</v>
      </c>
      <c r="BA117" s="31">
        <f t="shared" si="39"/>
        <v>143.2544160208403</v>
      </c>
      <c r="BB117" s="31">
        <f t="shared" si="40"/>
        <v>178.59992551046122</v>
      </c>
      <c r="BD117" s="34" t="e">
        <f t="shared" si="41"/>
        <v>#DIV/0!</v>
      </c>
    </row>
    <row r="118" spans="1:56">
      <c r="AY118">
        <f>AY117/AY14*100</f>
        <v>151.19948192783249</v>
      </c>
    </row>
    <row r="119" spans="1:56">
      <c r="AH119" s="15">
        <f>AVERAGE(AH29:AH117)</f>
        <v>2.6351804598827858E-2</v>
      </c>
      <c r="BB119" t="s">
        <v>52</v>
      </c>
    </row>
    <row r="120" spans="1:56">
      <c r="AH120" s="15">
        <f>'Central scenario'!AH119</f>
        <v>1.3674013494201354E-2</v>
      </c>
      <c r="AI120" s="15">
        <f>AH119-AH120</f>
        <v>1.2677791104626504E-2</v>
      </c>
    </row>
    <row r="121" spans="1:56">
      <c r="AH121" s="15">
        <f>'Low scenario'!AH119</f>
        <v>1.3664657067057981E-4</v>
      </c>
      <c r="AI121" s="15">
        <f>AH120-AH121</f>
        <v>1.3537366923530775E-2</v>
      </c>
    </row>
  </sheetData>
  <mergeCells count="3">
    <mergeCell ref="AL1:AM1"/>
    <mergeCell ref="AP1:AQ1"/>
    <mergeCell ref="AR1:AS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zoomScale="115" zoomScaleNormal="115" zoomScalePageLayoutView="115" workbookViewId="0">
      <selection activeCell="I30" sqref="I30"/>
    </sheetView>
  </sheetViews>
  <sheetFormatPr baseColWidth="10" defaultColWidth="8.83203125" defaultRowHeight="12" x14ac:dyDescent="0"/>
  <sheetData>
    <row r="1" spans="1:7">
      <c r="B1" t="s">
        <v>53</v>
      </c>
      <c r="E1" t="s">
        <v>54</v>
      </c>
      <c r="G1" t="s">
        <v>55</v>
      </c>
    </row>
    <row r="3" spans="1:7" ht="58.75" customHeight="1">
      <c r="B3" s="6" t="s">
        <v>56</v>
      </c>
      <c r="C3" s="6" t="s">
        <v>57</v>
      </c>
      <c r="D3" s="6" t="s">
        <v>58</v>
      </c>
      <c r="E3" s="6" t="s">
        <v>59</v>
      </c>
      <c r="F3" s="6" t="s">
        <v>60</v>
      </c>
      <c r="G3" s="6" t="s">
        <v>61</v>
      </c>
    </row>
    <row r="4" spans="1:7">
      <c r="A4" s="10"/>
      <c r="B4" s="10"/>
      <c r="C4" s="10"/>
    </row>
    <row r="5" spans="1:7">
      <c r="A5" s="10">
        <v>2014</v>
      </c>
      <c r="B5" s="14">
        <f>'Central scenario'!AK3</f>
        <v>-2.0764450566254731E-2</v>
      </c>
      <c r="C5" s="14">
        <f>'Central scenario'!BK3</f>
        <v>-2.0764450566254731E-2</v>
      </c>
      <c r="D5" s="15">
        <f>'Low scenario'!AK3</f>
        <v>-2.0764450566254731E-2</v>
      </c>
      <c r="E5" s="15">
        <f>'Low scenario'!BI3</f>
        <v>-2.0764450566254731E-2</v>
      </c>
      <c r="F5" s="15">
        <f>'High scenario'!AK3</f>
        <v>-2.0764450566254731E-2</v>
      </c>
      <c r="G5" s="15">
        <f>'High scenario'!BJ3</f>
        <v>-2.0764450566254731E-2</v>
      </c>
    </row>
    <row r="6" spans="1:7">
      <c r="A6" s="10">
        <v>2015</v>
      </c>
      <c r="B6" s="14">
        <f>'Central scenario'!AK4</f>
        <v>-3.2822266914996047E-2</v>
      </c>
      <c r="C6" s="14">
        <f>'Central scenario'!BK4</f>
        <v>-3.2822266914996047E-2</v>
      </c>
      <c r="D6" s="15">
        <f>'Low scenario'!AK4</f>
        <v>-3.282226621078576E-2</v>
      </c>
      <c r="E6" s="15">
        <f>'Low scenario'!BI4</f>
        <v>-3.282226621078576E-2</v>
      </c>
      <c r="F6" s="15">
        <f>'High scenario'!AK4</f>
        <v>-3.2822266914996047E-2</v>
      </c>
      <c r="G6" s="15">
        <f>'High scenario'!BJ4</f>
        <v>-3.2822266914996047E-2</v>
      </c>
    </row>
    <row r="7" spans="1:7">
      <c r="A7" s="10">
        <v>2016</v>
      </c>
      <c r="B7" s="14">
        <f>'Central scenario'!AK5</f>
        <v>-3.1724030354834801E-2</v>
      </c>
      <c r="C7" s="14">
        <f>'Central scenario'!BK5</f>
        <v>-3.1747600841383304E-2</v>
      </c>
      <c r="D7" s="15">
        <f>'Low scenario'!AK5</f>
        <v>-3.1724030403584076E-2</v>
      </c>
      <c r="E7" s="15">
        <f>'Low scenario'!BI5</f>
        <v>-3.174760089013258E-2</v>
      </c>
      <c r="F7" s="15">
        <f>'High scenario'!AK5</f>
        <v>-3.1724030354834801E-2</v>
      </c>
      <c r="G7" s="15">
        <f>'High scenario'!BJ5</f>
        <v>-3.1747600841383304E-2</v>
      </c>
    </row>
    <row r="8" spans="1:7">
      <c r="A8" s="10">
        <v>2017</v>
      </c>
      <c r="B8" s="14">
        <f>'Central scenario'!AK6</f>
        <v>-3.7007362789505803E-2</v>
      </c>
      <c r="C8" s="14">
        <f>'Central scenario'!BK6</f>
        <v>-3.7471336086686298E-2</v>
      </c>
      <c r="D8" s="15">
        <f>'Low scenario'!AK6</f>
        <v>-3.6974895946206184E-2</v>
      </c>
      <c r="E8" s="15">
        <f>'Low scenario'!BI6</f>
        <v>-3.7438869243386678E-2</v>
      </c>
      <c r="F8" s="15">
        <f>'High scenario'!AK6</f>
        <v>-3.7007362789505803E-2</v>
      </c>
      <c r="G8" s="15">
        <f>'High scenario'!BJ6</f>
        <v>-3.7471336086686298E-2</v>
      </c>
    </row>
    <row r="9" spans="1:7">
      <c r="A9" s="10">
        <f t="shared" ref="A9:A31" si="0">A8+1</f>
        <v>2018</v>
      </c>
      <c r="B9" s="14">
        <f>'Central scenario'!AK7</f>
        <v>-3.5587669767892252E-2</v>
      </c>
      <c r="C9" s="14">
        <f>'Central scenario'!BK7</f>
        <v>-3.6457669720436396E-2</v>
      </c>
      <c r="D9" s="15">
        <f>'Low scenario'!AK7</f>
        <v>-3.616626405169205E-2</v>
      </c>
      <c r="E9" s="15">
        <f>'Low scenario'!BI7</f>
        <v>-3.7036673567909899E-2</v>
      </c>
      <c r="F9" s="15">
        <f>'High scenario'!AK7</f>
        <v>-3.554073775552568E-2</v>
      </c>
      <c r="G9" s="15">
        <f>'High scenario'!BJ7</f>
        <v>-3.6410330806740936E-2</v>
      </c>
    </row>
    <row r="10" spans="1:7">
      <c r="A10" s="10">
        <f t="shared" si="0"/>
        <v>2019</v>
      </c>
      <c r="B10" s="14">
        <f>'Central scenario'!AK8</f>
        <v>-3.7154560523430004E-2</v>
      </c>
      <c r="C10" s="14">
        <f>'Central scenario'!BK8</f>
        <v>-3.8390301162913573E-2</v>
      </c>
      <c r="D10" s="15">
        <f>'Low scenario'!AK8</f>
        <v>-3.8898108006604738E-2</v>
      </c>
      <c r="E10" s="15">
        <f>'Low scenario'!BI8</f>
        <v>-4.0142887252771091E-2</v>
      </c>
      <c r="F10" s="15">
        <f>'High scenario'!AK8</f>
        <v>-3.637307538821169E-2</v>
      </c>
      <c r="G10" s="15">
        <f>'High scenario'!BJ8</f>
        <v>-3.7601216116734747E-2</v>
      </c>
    </row>
    <row r="11" spans="1:7">
      <c r="A11" s="10">
        <f t="shared" si="0"/>
        <v>2020</v>
      </c>
      <c r="B11" s="14">
        <f>'Central scenario'!AK9</f>
        <v>-4.0939486394813915E-2</v>
      </c>
      <c r="C11" s="14">
        <f>'Central scenario'!BK9</f>
        <v>-4.25779684531397E-2</v>
      </c>
      <c r="D11" s="15">
        <f>'Low scenario'!AK9</f>
        <v>-4.3583308965895663E-2</v>
      </c>
      <c r="E11" s="15">
        <f>'Low scenario'!BI9</f>
        <v>-4.5247834369558801E-2</v>
      </c>
      <c r="F11" s="15">
        <f>'High scenario'!AK9</f>
        <v>-3.8787440337683443E-2</v>
      </c>
      <c r="G11" s="15">
        <f>'High scenario'!BJ9</f>
        <v>-4.0387308178263109E-2</v>
      </c>
    </row>
    <row r="12" spans="1:7">
      <c r="A12" s="10">
        <f t="shared" si="0"/>
        <v>2021</v>
      </c>
      <c r="B12" s="14">
        <f>'Central scenario'!AK10</f>
        <v>-4.3283150950122917E-2</v>
      </c>
      <c r="C12" s="14">
        <f>'Central scenario'!BK10</f>
        <v>-4.5261874578415046E-2</v>
      </c>
      <c r="D12" s="15">
        <f>'Low scenario'!AK10</f>
        <v>-4.6903977352554874E-2</v>
      </c>
      <c r="E12" s="15">
        <f>'Low scenario'!BI10</f>
        <v>-4.8936557181984801E-2</v>
      </c>
      <c r="F12" s="15">
        <f>'High scenario'!AK10</f>
        <v>-4.0510969788801324E-2</v>
      </c>
      <c r="G12" s="15">
        <f>'High scenario'!BJ10</f>
        <v>-4.2433146220557855E-2</v>
      </c>
    </row>
    <row r="13" spans="1:7">
      <c r="A13" s="10">
        <f t="shared" si="0"/>
        <v>2022</v>
      </c>
      <c r="B13" s="14">
        <f>'Central scenario'!AK11</f>
        <v>-4.5549847931053163E-2</v>
      </c>
      <c r="C13" s="14">
        <f>'Central scenario'!BK11</f>
        <v>-4.7943614955710499E-2</v>
      </c>
      <c r="D13" s="15">
        <f>'Low scenario'!AK11</f>
        <v>-5.0377613346389544E-2</v>
      </c>
      <c r="E13" s="15">
        <f>'Low scenario'!BI11</f>
        <v>-5.2880427763662578E-2</v>
      </c>
      <c r="F13" s="15">
        <f>'High scenario'!AK11</f>
        <v>-4.1221565534718826E-2</v>
      </c>
      <c r="G13" s="15">
        <f>'High scenario'!BJ11</f>
        <v>-4.3498036649763525E-2</v>
      </c>
    </row>
    <row r="14" spans="1:7">
      <c r="A14" s="10">
        <f t="shared" si="0"/>
        <v>2023</v>
      </c>
      <c r="B14" s="14">
        <f>'Central scenario'!AK12</f>
        <v>-4.5005459960804434E-2</v>
      </c>
      <c r="C14" s="14">
        <f>'Central scenario'!BK12</f>
        <v>-4.7740972962611344E-2</v>
      </c>
      <c r="D14" s="15">
        <f>'Low scenario'!AK12</f>
        <v>-5.1097578361565518E-2</v>
      </c>
      <c r="E14" s="15">
        <f>'Low scenario'!BI12</f>
        <v>-5.4002882634010478E-2</v>
      </c>
      <c r="F14" s="15">
        <f>'High scenario'!AK12</f>
        <v>-4.0014757888371701E-2</v>
      </c>
      <c r="G14" s="15">
        <f>'High scenario'!BJ12</f>
        <v>-4.2649564078729274E-2</v>
      </c>
    </row>
    <row r="15" spans="1:7">
      <c r="A15" s="20">
        <f t="shared" si="0"/>
        <v>2024</v>
      </c>
      <c r="B15" s="21">
        <f>'Central scenario'!AK13</f>
        <v>-4.4561827672617987E-2</v>
      </c>
      <c r="C15" s="21">
        <f>'Central scenario'!BK13</f>
        <v>-4.7724044888857078E-2</v>
      </c>
      <c r="D15" s="15">
        <f>'Low scenario'!AK13</f>
        <v>-5.1009663598526191E-2</v>
      </c>
      <c r="E15" s="15">
        <f>'Low scenario'!BI13</f>
        <v>-5.4330513349662921E-2</v>
      </c>
      <c r="F15" s="15">
        <f>'High scenario'!AK13</f>
        <v>-3.8355211639808484E-2</v>
      </c>
      <c r="G15" s="15">
        <f>'High scenario'!BJ13</f>
        <v>-4.1360049984884434E-2</v>
      </c>
    </row>
    <row r="16" spans="1:7">
      <c r="A16" s="27">
        <f t="shared" si="0"/>
        <v>2025</v>
      </c>
      <c r="B16" s="28">
        <f>'Central scenario'!AK14</f>
        <v>-4.4012236437402402E-2</v>
      </c>
      <c r="C16" s="28">
        <f>'Central scenario'!BK14</f>
        <v>-4.8211691848240049E-2</v>
      </c>
      <c r="D16" s="15">
        <f>'Low scenario'!AK14</f>
        <v>-5.0898065952480052E-2</v>
      </c>
      <c r="E16" s="15">
        <f>'Low scenario'!BI14</f>
        <v>-5.5423725668517811E-2</v>
      </c>
      <c r="F16" s="15">
        <f>'High scenario'!AK14</f>
        <v>-3.6727143479308715E-2</v>
      </c>
      <c r="G16" s="15">
        <f>'High scenario'!BJ14</f>
        <v>-4.0731467553322326E-2</v>
      </c>
    </row>
    <row r="17" spans="1:9">
      <c r="A17" s="35">
        <f t="shared" si="0"/>
        <v>2026</v>
      </c>
      <c r="B17" s="36">
        <f>'Central scenario'!AK15</f>
        <v>-4.2921487206345359E-2</v>
      </c>
      <c r="C17" s="36">
        <f>'Central scenario'!BK15</f>
        <v>-4.8080207753277988E-2</v>
      </c>
      <c r="D17" s="15">
        <f>'Low scenario'!AK15</f>
        <v>-5.151900356412939E-2</v>
      </c>
      <c r="E17" s="15">
        <f>'Low scenario'!BI15</f>
        <v>-5.7352099369439635E-2</v>
      </c>
      <c r="F17" s="15">
        <f>'High scenario'!AK15</f>
        <v>-3.4493323327815538E-2</v>
      </c>
      <c r="G17" s="15">
        <f>'High scenario'!BJ15</f>
        <v>-3.9436497655843394E-2</v>
      </c>
    </row>
    <row r="18" spans="1:9">
      <c r="A18" s="35">
        <f t="shared" si="0"/>
        <v>2027</v>
      </c>
      <c r="B18" s="36">
        <f>'Central scenario'!AK16</f>
        <v>-4.0982436229815941E-2</v>
      </c>
      <c r="C18" s="36">
        <f>'Central scenario'!BK16</f>
        <v>-4.7305238589774E-2</v>
      </c>
      <c r="D18" s="15">
        <f>'Low scenario'!AK16</f>
        <v>-5.1391858512157371E-2</v>
      </c>
      <c r="E18" s="15">
        <f>'Low scenario'!BI16</f>
        <v>-5.8665635491934591E-2</v>
      </c>
      <c r="F18" s="15">
        <f>'High scenario'!AK16</f>
        <v>-3.2262001391617563E-2</v>
      </c>
      <c r="G18" s="15">
        <f>'High scenario'!BJ16</f>
        <v>-3.8148875270330215E-2</v>
      </c>
    </row>
    <row r="19" spans="1:9">
      <c r="A19" s="35">
        <f t="shared" si="0"/>
        <v>2028</v>
      </c>
      <c r="B19" s="36">
        <f>'Central scenario'!AK17</f>
        <v>-3.9206410717049368E-2</v>
      </c>
      <c r="C19" s="36">
        <f>'Central scenario'!BK17</f>
        <v>-4.6713571715140241E-2</v>
      </c>
      <c r="D19" s="15">
        <f>'Low scenario'!AK17</f>
        <v>-5.075490454471572E-2</v>
      </c>
      <c r="E19" s="15">
        <f>'Low scenario'!BI17</f>
        <v>-5.9323834177361548E-2</v>
      </c>
      <c r="F19" s="15">
        <f>'High scenario'!AK17</f>
        <v>-3.0403169177268742E-2</v>
      </c>
      <c r="G19" s="15">
        <f>'High scenario'!BJ17</f>
        <v>-3.723770942094165E-2</v>
      </c>
    </row>
    <row r="20" spans="1:9">
      <c r="A20" s="27">
        <f t="shared" si="0"/>
        <v>2029</v>
      </c>
      <c r="B20" s="28">
        <f>'Central scenario'!AK18</f>
        <v>-3.8660782358627584E-2</v>
      </c>
      <c r="C20" s="28">
        <f>'Central scenario'!BK18</f>
        <v>-4.7326344098139128E-2</v>
      </c>
      <c r="D20" s="15">
        <f>'Low scenario'!AK18</f>
        <v>-5.050494023159894E-2</v>
      </c>
      <c r="E20" s="15">
        <f>'Low scenario'!BI18</f>
        <v>-6.0370555321513808E-2</v>
      </c>
      <c r="F20" s="15">
        <f>'High scenario'!AK18</f>
        <v>-2.8188580323097876E-2</v>
      </c>
      <c r="G20" s="15">
        <f>'High scenario'!BJ18</f>
        <v>-3.5930883327845303E-2</v>
      </c>
    </row>
    <row r="21" spans="1:9">
      <c r="A21" s="35">
        <f t="shared" si="0"/>
        <v>2030</v>
      </c>
      <c r="B21" s="36">
        <f>'Central scenario'!AK19</f>
        <v>-3.8411934911648585E-2</v>
      </c>
      <c r="C21" s="36">
        <f>'Central scenario'!BK19</f>
        <v>-4.8013349597951546E-2</v>
      </c>
      <c r="D21" s="15">
        <f>'Low scenario'!AK19</f>
        <v>-5.0762094334877703E-2</v>
      </c>
      <c r="E21" s="15">
        <f>'Low scenario'!BI19</f>
        <v>-6.1823280560865779E-2</v>
      </c>
      <c r="F21" s="15">
        <f>'High scenario'!AK19</f>
        <v>-2.6502707235117235E-2</v>
      </c>
      <c r="G21" s="15">
        <f>'High scenario'!BJ19</f>
        <v>-3.491184646095663E-2</v>
      </c>
    </row>
    <row r="22" spans="1:9">
      <c r="A22" s="35">
        <f t="shared" si="0"/>
        <v>2031</v>
      </c>
      <c r="B22" s="36">
        <f>'Central scenario'!AK20</f>
        <v>-3.7205514272429657E-2</v>
      </c>
      <c r="C22" s="36">
        <f>'Central scenario'!BK20</f>
        <v>-4.7635778413386273E-2</v>
      </c>
      <c r="D22" s="15">
        <f>'Low scenario'!AK20</f>
        <v>-5.0607502498619561E-2</v>
      </c>
      <c r="E22" s="15">
        <f>'Low scenario'!BI20</f>
        <v>-6.2780476596575263E-2</v>
      </c>
      <c r="F22" s="15">
        <f>'High scenario'!AK20</f>
        <v>-2.541675645940631E-2</v>
      </c>
      <c r="G22" s="15">
        <f>'High scenario'!BJ20</f>
        <v>-3.456101389721359E-2</v>
      </c>
      <c r="H22" s="15">
        <f>B31-D31</f>
        <v>2.0593457138282957E-2</v>
      </c>
      <c r="I22" s="15">
        <f>C31-E31</f>
        <v>2.6195855114605593E-2</v>
      </c>
    </row>
    <row r="23" spans="1:9">
      <c r="A23" s="35">
        <f t="shared" si="0"/>
        <v>2032</v>
      </c>
      <c r="B23" s="36">
        <f>'Central scenario'!AK21</f>
        <v>-3.7197025464773152E-2</v>
      </c>
      <c r="C23" s="36">
        <f>'Central scenario'!BK21</f>
        <v>-4.8652060740723493E-2</v>
      </c>
      <c r="D23" s="15">
        <f>'Low scenario'!AK21</f>
        <v>-5.0698391203668737E-2</v>
      </c>
      <c r="E23" s="15">
        <f>'Low scenario'!BI21</f>
        <v>-6.4176771891808426E-2</v>
      </c>
      <c r="F23" s="15">
        <f>'High scenario'!AK21</f>
        <v>-2.4548196652480151E-2</v>
      </c>
      <c r="G23" s="15">
        <f>'High scenario'!BJ21</f>
        <v>-3.4427273893278716E-2</v>
      </c>
      <c r="H23" s="15">
        <f>B31-F31</f>
        <v>-1.6822916567659024E-2</v>
      </c>
      <c r="I23" s="15">
        <f>C31-G31</f>
        <v>-2.1241512432291353E-2</v>
      </c>
    </row>
    <row r="24" spans="1:9">
      <c r="A24" s="27">
        <f t="shared" si="0"/>
        <v>2033</v>
      </c>
      <c r="B24" s="28">
        <f>'Central scenario'!AK22</f>
        <v>-3.6852120860907854E-2</v>
      </c>
      <c r="C24" s="28">
        <f>'Central scenario'!BK22</f>
        <v>-4.9212239025385851E-2</v>
      </c>
      <c r="D24" s="15">
        <f>'Low scenario'!AK22</f>
        <v>-5.2048190432488824E-2</v>
      </c>
      <c r="E24" s="15">
        <f>'Low scenario'!BI22</f>
        <v>-6.682166804698092E-2</v>
      </c>
      <c r="F24" s="15">
        <f>'High scenario'!AK22</f>
        <v>-2.3494815264392985E-2</v>
      </c>
      <c r="G24" s="15">
        <f>'High scenario'!BJ22</f>
        <v>-3.3963518399679662E-2</v>
      </c>
      <c r="H24" s="15">
        <f>H22-I22</f>
        <v>-5.6023979763226359E-3</v>
      </c>
    </row>
    <row r="25" spans="1:9">
      <c r="A25" s="35">
        <f t="shared" si="0"/>
        <v>2034</v>
      </c>
      <c r="B25" s="36">
        <f>'Central scenario'!AK23</f>
        <v>-3.6946764919952545E-2</v>
      </c>
      <c r="C25" s="36">
        <f>'Central scenario'!BK23</f>
        <v>-5.0244749876761967E-2</v>
      </c>
      <c r="D25" s="15">
        <f>'Low scenario'!AK23</f>
        <v>-5.3001067107445156E-2</v>
      </c>
      <c r="E25" s="15">
        <f>'Low scenario'!BI23</f>
        <v>-6.9100217412394985E-2</v>
      </c>
      <c r="F25" s="15">
        <f>'High scenario'!AK23</f>
        <v>-2.2390426702899553E-2</v>
      </c>
      <c r="G25" s="15">
        <f>'High scenario'!BJ23</f>
        <v>-3.3556748058102812E-2</v>
      </c>
      <c r="H25" s="15">
        <f>H23-I23</f>
        <v>4.4185958646323284E-3</v>
      </c>
    </row>
    <row r="26" spans="1:9">
      <c r="A26" s="35">
        <f t="shared" si="0"/>
        <v>2035</v>
      </c>
      <c r="B26" s="36">
        <f>'Central scenario'!AK24</f>
        <v>-3.5498232710763772E-2</v>
      </c>
      <c r="C26" s="36">
        <f>'Central scenario'!BK24</f>
        <v>-4.9455622840499924E-2</v>
      </c>
      <c r="D26" s="15">
        <f>'Low scenario'!AK24</f>
        <v>-5.4003262492517919E-2</v>
      </c>
      <c r="E26" s="15">
        <f>'Low scenario'!BI24</f>
        <v>-7.1475069330306937E-2</v>
      </c>
      <c r="F26" s="15">
        <f>'High scenario'!AK24</f>
        <v>-2.172359705264747E-2</v>
      </c>
      <c r="G26" s="15">
        <f>'High scenario'!BJ24</f>
        <v>-3.3444064439375656E-2</v>
      </c>
    </row>
    <row r="27" spans="1:9">
      <c r="A27" s="35">
        <f t="shared" si="0"/>
        <v>2036</v>
      </c>
      <c r="B27" s="36">
        <f>'Central scenario'!AK25</f>
        <v>-3.4270744919457238E-2</v>
      </c>
      <c r="C27" s="36">
        <f>'Central scenario'!BK25</f>
        <v>-4.9023878211181017E-2</v>
      </c>
      <c r="D27" s="15">
        <f>'Low scenario'!AK25</f>
        <v>-5.3942101989231876E-2</v>
      </c>
      <c r="E27" s="15">
        <f>'Low scenario'!BI25</f>
        <v>-7.2734545236138204E-2</v>
      </c>
      <c r="F27" s="15">
        <f>'High scenario'!AK25</f>
        <v>-2.0528562664702436E-2</v>
      </c>
      <c r="G27" s="15">
        <f>'High scenario'!BJ25</f>
        <v>-3.2843632001881298E-2</v>
      </c>
    </row>
    <row r="28" spans="1:9">
      <c r="A28" s="27">
        <f t="shared" si="0"/>
        <v>2037</v>
      </c>
      <c r="B28" s="28">
        <f>'Central scenario'!AK26</f>
        <v>-3.395249142448175E-2</v>
      </c>
      <c r="C28" s="28">
        <f>'Central scenario'!BK26</f>
        <v>-4.9797838092300623E-2</v>
      </c>
      <c r="D28" s="15">
        <f>'Low scenario'!AK26</f>
        <v>-5.4622669283462398E-2</v>
      </c>
      <c r="E28" s="15">
        <f>'Low scenario'!BI26</f>
        <v>-7.4961760776373787E-2</v>
      </c>
      <c r="F28" s="15">
        <f>'High scenario'!AK26</f>
        <v>-1.9368733924983665E-2</v>
      </c>
      <c r="G28" s="15">
        <f>'High scenario'!BJ26</f>
        <v>-3.2386696629996145E-2</v>
      </c>
    </row>
    <row r="29" spans="1:9">
      <c r="A29" s="35">
        <f t="shared" si="0"/>
        <v>2038</v>
      </c>
      <c r="B29" s="36">
        <f>'Central scenario'!AK27</f>
        <v>-3.3903792015650844E-2</v>
      </c>
      <c r="C29" s="36">
        <f>'Central scenario'!BK27</f>
        <v>-5.0862324623014987E-2</v>
      </c>
      <c r="D29" s="15">
        <f>'Low scenario'!AK27</f>
        <v>-5.4416703255344354E-2</v>
      </c>
      <c r="E29" s="15">
        <f>'Low scenario'!BI27</f>
        <v>-7.6167953906849412E-2</v>
      </c>
      <c r="F29" s="15">
        <f>'High scenario'!AK27</f>
        <v>-1.7633116608815221E-2</v>
      </c>
      <c r="G29" s="15">
        <f>'High scenario'!BJ27</f>
        <v>-3.125953953340585E-2</v>
      </c>
      <c r="I29" s="15">
        <f>C31-E31</f>
        <v>2.6195855114605593E-2</v>
      </c>
    </row>
    <row r="30" spans="1:9">
      <c r="A30" s="35">
        <f t="shared" si="0"/>
        <v>2039</v>
      </c>
      <c r="B30" s="36">
        <f>'Central scenario'!AK28</f>
        <v>-3.4405995574158181E-2</v>
      </c>
      <c r="C30" s="36">
        <f>'Central scenario'!BK28</f>
        <v>-5.2513146029698747E-2</v>
      </c>
      <c r="D30" s="15">
        <f>'Low scenario'!AK28</f>
        <v>-5.4728840409096736E-2</v>
      </c>
      <c r="E30" s="15">
        <f>'Low scenario'!BI28</f>
        <v>-7.8061361620471864E-2</v>
      </c>
      <c r="F30" s="15">
        <f>'High scenario'!AK28</f>
        <v>-1.7351818937668195E-2</v>
      </c>
      <c r="G30" s="15">
        <f>'High scenario'!BJ28</f>
        <v>-3.1668026669184501E-2</v>
      </c>
      <c r="I30" s="15">
        <f>C31-G31</f>
        <v>-2.1241512432291353E-2</v>
      </c>
    </row>
    <row r="31" spans="1:9">
      <c r="A31" s="35">
        <f t="shared" si="0"/>
        <v>2040</v>
      </c>
      <c r="B31" s="36">
        <f>'Central scenario'!AK29</f>
        <v>-3.3887449456559686E-2</v>
      </c>
      <c r="C31" s="36">
        <f>'Central scenario'!BK29</f>
        <v>-5.3152173027905925E-2</v>
      </c>
      <c r="D31" s="15">
        <f>'Low scenario'!AK29</f>
        <v>-5.4480906594842643E-2</v>
      </c>
      <c r="E31" s="15">
        <f>'Low scenario'!BI29</f>
        <v>-7.9348028142511517E-2</v>
      </c>
      <c r="F31" s="15">
        <f>'High scenario'!AK29</f>
        <v>-1.7064532888900662E-2</v>
      </c>
      <c r="G31" s="15">
        <f>'High scenario'!BJ29</f>
        <v>-3.1910660595614572E-2</v>
      </c>
    </row>
    <row r="33" spans="1:8" ht="60">
      <c r="B33" s="49" t="s">
        <v>62</v>
      </c>
      <c r="C33" s="6" t="s">
        <v>63</v>
      </c>
      <c r="D33" s="6" t="s">
        <v>64</v>
      </c>
      <c r="E33" s="6" t="s">
        <v>65</v>
      </c>
      <c r="F33" s="6" t="s">
        <v>66</v>
      </c>
      <c r="G33" s="6" t="s">
        <v>67</v>
      </c>
      <c r="H33" s="6" t="s">
        <v>68</v>
      </c>
    </row>
    <row r="34" spans="1:8">
      <c r="B34" s="49"/>
    </row>
    <row r="35" spans="1:8">
      <c r="A35">
        <v>1993</v>
      </c>
      <c r="B35" s="50">
        <v>-1.77E-2</v>
      </c>
    </row>
    <row r="36" spans="1:8">
      <c r="A36">
        <f t="shared" ref="A36:A82" si="1">A35+1</f>
        <v>1994</v>
      </c>
      <c r="B36" s="51">
        <v>-2.6599999999999999E-2</v>
      </c>
    </row>
    <row r="37" spans="1:8">
      <c r="A37">
        <f t="shared" si="1"/>
        <v>1995</v>
      </c>
      <c r="B37" s="50">
        <v>-2.23E-2</v>
      </c>
    </row>
    <row r="38" spans="1:8">
      <c r="A38">
        <f t="shared" si="1"/>
        <v>1996</v>
      </c>
      <c r="B38" s="51">
        <v>-2.3300000000000001E-2</v>
      </c>
    </row>
    <row r="39" spans="1:8">
      <c r="A39">
        <f t="shared" si="1"/>
        <v>1997</v>
      </c>
      <c r="B39" s="50">
        <v>-2.0799999999999999E-2</v>
      </c>
    </row>
    <row r="40" spans="1:8">
      <c r="A40">
        <f t="shared" si="1"/>
        <v>1998</v>
      </c>
      <c r="B40" s="51">
        <v>-2.7099999999999999E-2</v>
      </c>
    </row>
    <row r="41" spans="1:8">
      <c r="A41">
        <f t="shared" si="1"/>
        <v>1999</v>
      </c>
      <c r="B41" s="50">
        <v>-3.2199999999999999E-2</v>
      </c>
    </row>
    <row r="42" spans="1:8">
      <c r="A42">
        <f t="shared" si="1"/>
        <v>2000</v>
      </c>
      <c r="B42" s="51">
        <v>-3.3799999999999997E-2</v>
      </c>
    </row>
    <row r="43" spans="1:8">
      <c r="A43">
        <f t="shared" si="1"/>
        <v>2001</v>
      </c>
      <c r="B43" s="50">
        <v>-3.4299999999999997E-2</v>
      </c>
    </row>
    <row r="44" spans="1:8">
      <c r="A44">
        <f t="shared" si="1"/>
        <v>2002</v>
      </c>
      <c r="B44" s="51">
        <v>-2.9700000000000001E-2</v>
      </c>
    </row>
    <row r="45" spans="1:8">
      <c r="A45">
        <f t="shared" si="1"/>
        <v>2003</v>
      </c>
      <c r="B45" s="50">
        <v>-2.7799999999999998E-2</v>
      </c>
    </row>
    <row r="46" spans="1:8">
      <c r="A46">
        <f t="shared" si="1"/>
        <v>2004</v>
      </c>
      <c r="B46" s="51">
        <v>-2.1899999999999999E-2</v>
      </c>
    </row>
    <row r="47" spans="1:8">
      <c r="A47">
        <f t="shared" si="1"/>
        <v>2005</v>
      </c>
      <c r="B47" s="50">
        <v>-1.7899999999999999E-2</v>
      </c>
    </row>
    <row r="48" spans="1:8">
      <c r="A48">
        <f t="shared" si="1"/>
        <v>2006</v>
      </c>
      <c r="B48" s="51">
        <v>-1.6500000000000001E-2</v>
      </c>
    </row>
    <row r="49" spans="1:8">
      <c r="A49">
        <f t="shared" si="1"/>
        <v>2007</v>
      </c>
      <c r="B49" s="50">
        <v>-1.5900000000000001E-2</v>
      </c>
    </row>
    <row r="50" spans="1:8">
      <c r="A50">
        <f t="shared" si="1"/>
        <v>2008</v>
      </c>
      <c r="B50" s="51">
        <v>-1.83E-2</v>
      </c>
    </row>
    <row r="51" spans="1:8">
      <c r="A51">
        <f t="shared" si="1"/>
        <v>2009</v>
      </c>
      <c r="B51" s="50">
        <v>-1.5699999999999999E-2</v>
      </c>
    </row>
    <row r="52" spans="1:8">
      <c r="A52">
        <f t="shared" si="1"/>
        <v>2010</v>
      </c>
      <c r="B52" s="51">
        <v>-1.5800000000000002E-2</v>
      </c>
    </row>
    <row r="53" spans="1:8">
      <c r="A53">
        <f t="shared" si="1"/>
        <v>2011</v>
      </c>
      <c r="B53" s="50">
        <v>-1.6199999999999999E-2</v>
      </c>
    </row>
    <row r="54" spans="1:8">
      <c r="A54">
        <f t="shared" si="1"/>
        <v>2012</v>
      </c>
      <c r="B54" s="51">
        <v>-1.95E-2</v>
      </c>
    </row>
    <row r="55" spans="1:8">
      <c r="A55">
        <f t="shared" si="1"/>
        <v>2013</v>
      </c>
      <c r="B55" s="50">
        <v>-2.1100000000000001E-2</v>
      </c>
    </row>
    <row r="56" spans="1:8">
      <c r="A56">
        <f t="shared" si="1"/>
        <v>2014</v>
      </c>
      <c r="B56" s="51">
        <v>-2.1700000000000001E-2</v>
      </c>
      <c r="C56" s="14">
        <v>-2.04610062724093E-2</v>
      </c>
      <c r="D56" s="14"/>
      <c r="E56" s="15"/>
      <c r="F56" s="15"/>
      <c r="G56" s="15"/>
      <c r="H56" s="15"/>
    </row>
    <row r="57" spans="1:8">
      <c r="A57">
        <f t="shared" si="1"/>
        <v>2015</v>
      </c>
      <c r="B57" s="50">
        <v>-2.8799999999999999E-2</v>
      </c>
      <c r="C57" s="14">
        <v>-3.3044638260362802E-2</v>
      </c>
      <c r="D57" s="14"/>
      <c r="E57" s="15"/>
      <c r="F57" s="15"/>
      <c r="G57" s="15"/>
      <c r="H57" s="15"/>
    </row>
    <row r="58" spans="1:8">
      <c r="A58">
        <f t="shared" si="1"/>
        <v>2016</v>
      </c>
      <c r="B58" s="51">
        <v>-3.3700000000000001E-2</v>
      </c>
      <c r="C58" s="14">
        <v>-3.2069998032844597E-2</v>
      </c>
      <c r="D58" s="14">
        <v>-3.2103225099647699E-2</v>
      </c>
      <c r="E58" s="15"/>
      <c r="F58" s="15"/>
      <c r="G58" s="15"/>
      <c r="H58" s="15"/>
    </row>
    <row r="59" spans="1:8">
      <c r="A59">
        <f t="shared" si="1"/>
        <v>2017</v>
      </c>
      <c r="B59" s="50">
        <v>-4.0599999999999997E-2</v>
      </c>
      <c r="C59" s="14">
        <v>-3.7403852785620403E-2</v>
      </c>
      <c r="D59" s="14">
        <v>-3.7996113251991898E-2</v>
      </c>
      <c r="E59" s="15">
        <v>-3.7607778293913603E-2</v>
      </c>
      <c r="F59" s="15">
        <v>-3.8200038760285097E-2</v>
      </c>
      <c r="G59" s="15">
        <v>-3.7341522210877699E-2</v>
      </c>
      <c r="H59" s="15">
        <v>-3.79337826772492E-2</v>
      </c>
    </row>
    <row r="60" spans="1:8">
      <c r="A60">
        <f t="shared" si="1"/>
        <v>2018</v>
      </c>
      <c r="C60" s="14">
        <v>-3.7392961324655402E-2</v>
      </c>
      <c r="D60" s="14">
        <v>-3.8452513671492702E-2</v>
      </c>
      <c r="E60" s="15">
        <v>-3.8640363964177603E-2</v>
      </c>
      <c r="F60" s="15">
        <v>-3.9705604129979297E-2</v>
      </c>
      <c r="G60" s="15">
        <v>-3.6307860308015701E-2</v>
      </c>
      <c r="H60" s="15">
        <v>-3.73615054714437E-2</v>
      </c>
    </row>
    <row r="61" spans="1:8">
      <c r="A61">
        <f t="shared" si="1"/>
        <v>2019</v>
      </c>
      <c r="C61" s="14">
        <v>-4.0938359440306903E-2</v>
      </c>
      <c r="D61" s="14">
        <v>-4.2453692801659997E-2</v>
      </c>
      <c r="E61" s="15">
        <v>-4.3475443742129E-2</v>
      </c>
      <c r="F61" s="15">
        <v>-4.5010849715017502E-2</v>
      </c>
      <c r="G61" s="15">
        <v>-3.8766618125938401E-2</v>
      </c>
      <c r="H61" s="15">
        <v>-4.0261811345533902E-2</v>
      </c>
    </row>
    <row r="62" spans="1:8">
      <c r="A62">
        <f t="shared" si="1"/>
        <v>2020</v>
      </c>
      <c r="C62" s="14">
        <v>-4.3828210534307202E-2</v>
      </c>
      <c r="D62" s="14">
        <v>-4.5850567138983098E-2</v>
      </c>
      <c r="E62" s="15">
        <v>-4.7445468422155503E-2</v>
      </c>
      <c r="F62" s="15">
        <v>-4.9510295071098102E-2</v>
      </c>
      <c r="G62" s="15">
        <v>-4.0698020630775399E-2</v>
      </c>
      <c r="H62" s="15">
        <v>-4.2682802503413102E-2</v>
      </c>
    </row>
    <row r="63" spans="1:8">
      <c r="A63">
        <f t="shared" si="1"/>
        <v>2021</v>
      </c>
      <c r="C63" s="14">
        <v>-4.4841165018680698E-2</v>
      </c>
      <c r="D63" s="14">
        <v>-4.7327378669444101E-2</v>
      </c>
      <c r="E63" s="15">
        <v>-4.9176042337864399E-2</v>
      </c>
      <c r="F63" s="15">
        <v>-5.17191664308293E-2</v>
      </c>
      <c r="G63" s="15">
        <v>-4.0279793091458398E-2</v>
      </c>
      <c r="H63" s="15">
        <v>-4.2713745366851803E-2</v>
      </c>
    </row>
    <row r="64" spans="1:8">
      <c r="A64">
        <f t="shared" si="1"/>
        <v>2022</v>
      </c>
      <c r="C64" s="14">
        <v>-4.4770865092027198E-2</v>
      </c>
      <c r="D64" s="14">
        <v>-4.7824349301039099E-2</v>
      </c>
      <c r="E64" s="15">
        <v>-5.0693558724237198E-2</v>
      </c>
      <c r="F64" s="15">
        <v>-5.3811352462557901E-2</v>
      </c>
      <c r="G64" s="15">
        <v>-3.9941396902823403E-2</v>
      </c>
      <c r="H64" s="15">
        <v>-4.2868603716032003E-2</v>
      </c>
    </row>
    <row r="65" spans="1:8">
      <c r="A65">
        <f t="shared" si="1"/>
        <v>2023</v>
      </c>
      <c r="C65" s="14">
        <v>-4.32474424424217E-2</v>
      </c>
      <c r="D65" s="14">
        <v>-4.6803161722397298E-2</v>
      </c>
      <c r="E65" s="15">
        <v>-5.02813077901995E-2</v>
      </c>
      <c r="F65" s="15">
        <v>-5.3844567538501802E-2</v>
      </c>
      <c r="G65" s="15">
        <v>-3.6982389192176099E-2</v>
      </c>
      <c r="H65" s="15">
        <v>-4.0291364995348598E-2</v>
      </c>
    </row>
    <row r="66" spans="1:8">
      <c r="A66">
        <f t="shared" si="1"/>
        <v>2024</v>
      </c>
      <c r="C66" s="21">
        <v>-4.07053581128047E-2</v>
      </c>
      <c r="D66" s="21">
        <v>-4.4873693049842699E-2</v>
      </c>
      <c r="E66" s="15">
        <v>-4.9197869066938398E-2</v>
      </c>
      <c r="F66" s="15">
        <v>-5.3350308368239702E-2</v>
      </c>
      <c r="G66" s="15">
        <v>-3.4357169997021E-2</v>
      </c>
      <c r="H66" s="15">
        <v>-3.8178193995478303E-2</v>
      </c>
    </row>
    <row r="67" spans="1:8">
      <c r="A67">
        <f t="shared" si="1"/>
        <v>2025</v>
      </c>
      <c r="C67" s="28">
        <v>-3.8437388835727102E-2</v>
      </c>
      <c r="D67" s="28">
        <v>-4.3839013356570297E-2</v>
      </c>
      <c r="E67" s="15">
        <v>-4.8317161973534098E-2</v>
      </c>
      <c r="F67" s="15">
        <v>-5.3795669799487501E-2</v>
      </c>
      <c r="G67" s="15">
        <v>-3.1446462323119297E-2</v>
      </c>
      <c r="H67" s="15">
        <v>-3.6447809185915198E-2</v>
      </c>
    </row>
    <row r="68" spans="1:8">
      <c r="A68">
        <f t="shared" si="1"/>
        <v>2026</v>
      </c>
      <c r="C68" s="36">
        <v>-3.5833361479703799E-2</v>
      </c>
      <c r="D68" s="36">
        <v>-4.2518915995942499E-2</v>
      </c>
      <c r="E68" s="15">
        <v>-4.71101721898914E-2</v>
      </c>
      <c r="F68" s="15">
        <v>-5.3922409349610102E-2</v>
      </c>
      <c r="G68" s="15">
        <v>-2.8543145589422999E-2</v>
      </c>
      <c r="H68" s="15">
        <v>-3.4705985466903698E-2</v>
      </c>
    </row>
    <row r="69" spans="1:8">
      <c r="A69">
        <f t="shared" si="1"/>
        <v>2027</v>
      </c>
      <c r="C69" s="36">
        <v>-3.3555998572039503E-2</v>
      </c>
      <c r="D69" s="36">
        <v>-4.1671132818721299E-2</v>
      </c>
      <c r="E69" s="15">
        <v>-4.4499902277535197E-2</v>
      </c>
      <c r="F69" s="15">
        <v>-5.2930840326063502E-2</v>
      </c>
      <c r="G69" s="15">
        <v>-2.4635025821339401E-2</v>
      </c>
      <c r="H69" s="15">
        <v>-3.2064608567462301E-2</v>
      </c>
    </row>
    <row r="70" spans="1:8">
      <c r="A70">
        <f t="shared" si="1"/>
        <v>2028</v>
      </c>
      <c r="B70" s="10"/>
      <c r="C70" s="36">
        <v>-3.1509858502588799E-2</v>
      </c>
      <c r="D70" s="36">
        <v>-4.10056250740558E-2</v>
      </c>
      <c r="E70" s="15">
        <v>-4.2756136471171102E-2</v>
      </c>
      <c r="F70" s="15">
        <v>-5.2662710349283097E-2</v>
      </c>
      <c r="G70" s="15">
        <v>-2.1507669501768901E-2</v>
      </c>
      <c r="H70" s="15">
        <v>-3.0161045341474998E-2</v>
      </c>
    </row>
    <row r="71" spans="1:8">
      <c r="A71">
        <f t="shared" si="1"/>
        <v>2029</v>
      </c>
      <c r="B71" s="14"/>
      <c r="C71" s="28">
        <v>-2.93502546836776E-2</v>
      </c>
      <c r="D71" s="28">
        <v>-4.0027841799250799E-2</v>
      </c>
      <c r="E71" s="15">
        <v>-4.1926221131431303E-2</v>
      </c>
      <c r="F71" s="15">
        <v>-5.3205007466344503E-2</v>
      </c>
      <c r="G71" s="15">
        <v>-1.77299347081778E-2</v>
      </c>
      <c r="H71" s="15">
        <v>-2.74936711441096E-2</v>
      </c>
    </row>
    <row r="72" spans="1:8">
      <c r="A72">
        <f t="shared" si="1"/>
        <v>2030</v>
      </c>
      <c r="B72" s="14"/>
      <c r="C72" s="36">
        <v>-2.7511044160048199E-2</v>
      </c>
      <c r="D72" s="36">
        <v>-3.9083075156626401E-2</v>
      </c>
      <c r="E72" s="15">
        <v>-4.1216007777218303E-2</v>
      </c>
      <c r="F72" s="15">
        <v>-5.3751999026860203E-2</v>
      </c>
      <c r="G72" s="15">
        <v>-1.5200961982201401E-2</v>
      </c>
      <c r="H72" s="15">
        <v>-2.5869920175587899E-2</v>
      </c>
    </row>
    <row r="73" spans="1:8">
      <c r="A73">
        <f t="shared" si="1"/>
        <v>2031</v>
      </c>
      <c r="B73" s="14"/>
      <c r="C73" s="36">
        <v>-2.5023701151487901E-2</v>
      </c>
      <c r="D73" s="36">
        <v>-3.7636433861558599E-2</v>
      </c>
      <c r="E73" s="15">
        <v>-3.9004403869669302E-2</v>
      </c>
      <c r="F73" s="15">
        <v>-5.2743941824754698E-2</v>
      </c>
      <c r="G73" s="15">
        <v>-1.27195302993086E-2</v>
      </c>
      <c r="H73" s="15">
        <v>-2.4151208902882099E-2</v>
      </c>
    </row>
    <row r="74" spans="1:8">
      <c r="A74">
        <f t="shared" si="1"/>
        <v>2032</v>
      </c>
      <c r="B74" s="14"/>
      <c r="C74" s="36">
        <v>-2.36624962419754E-2</v>
      </c>
      <c r="D74" s="36">
        <v>-3.7373955215556802E-2</v>
      </c>
      <c r="E74" s="15">
        <v>-3.7203827708453999E-2</v>
      </c>
      <c r="F74" s="15">
        <v>-5.2348145130919302E-2</v>
      </c>
      <c r="G74" s="15">
        <v>-9.9791289783957796E-3</v>
      </c>
      <c r="H74" s="15">
        <v>-2.24162026356837E-2</v>
      </c>
    </row>
    <row r="75" spans="1:8">
      <c r="A75">
        <f t="shared" si="1"/>
        <v>2033</v>
      </c>
      <c r="B75" s="14"/>
      <c r="C75" s="28">
        <v>-2.1189228838124401E-2</v>
      </c>
      <c r="D75" s="28">
        <v>-3.5836712928319997E-2</v>
      </c>
      <c r="E75" s="15">
        <v>-3.5248206984766099E-2</v>
      </c>
      <c r="F75" s="15">
        <v>-5.1656829856433301E-2</v>
      </c>
      <c r="G75" s="15">
        <v>-7.1663302058344097E-3</v>
      </c>
      <c r="H75" s="15">
        <v>-2.03870041464871E-2</v>
      </c>
    </row>
    <row r="76" spans="1:8">
      <c r="A76">
        <f t="shared" si="1"/>
        <v>2034</v>
      </c>
      <c r="B76" s="14"/>
      <c r="C76" s="36">
        <v>-1.97720290629055E-2</v>
      </c>
      <c r="D76" s="36">
        <v>-3.53918960189126E-2</v>
      </c>
      <c r="E76" s="15">
        <v>-3.4545826484088597E-2</v>
      </c>
      <c r="F76" s="15">
        <v>-5.2198398048414099E-2</v>
      </c>
      <c r="G76" s="15">
        <v>-5.2591328547971503E-3</v>
      </c>
      <c r="H76" s="15">
        <v>-1.92070127073764E-2</v>
      </c>
    </row>
    <row r="77" spans="1:8">
      <c r="A77">
        <f t="shared" si="1"/>
        <v>2035</v>
      </c>
      <c r="B77" s="14"/>
      <c r="C77" s="36">
        <v>-1.8115084551335099E-2</v>
      </c>
      <c r="D77" s="36">
        <v>-3.4678921474199403E-2</v>
      </c>
      <c r="E77" s="15">
        <v>-3.3425845490203498E-2</v>
      </c>
      <c r="F77" s="15">
        <v>-5.2361931828119698E-2</v>
      </c>
      <c r="G77" s="15">
        <v>-3.5417840712152998E-3</v>
      </c>
      <c r="H77" s="15">
        <v>-1.82066664363193E-2</v>
      </c>
    </row>
    <row r="78" spans="1:8">
      <c r="A78">
        <f t="shared" si="1"/>
        <v>2036</v>
      </c>
      <c r="B78" s="14"/>
      <c r="C78" s="36">
        <v>-1.6537977974959601E-2</v>
      </c>
      <c r="D78" s="36">
        <v>-3.4078461737139999E-2</v>
      </c>
      <c r="E78" s="15">
        <v>-3.2063325189905997E-2</v>
      </c>
      <c r="F78" s="15">
        <v>-5.2222104571685302E-2</v>
      </c>
      <c r="G78" s="15">
        <v>-1.8858359542348201E-3</v>
      </c>
      <c r="H78" s="15">
        <v>-1.7363874266380201E-2</v>
      </c>
    </row>
    <row r="79" spans="1:8">
      <c r="A79">
        <f t="shared" si="1"/>
        <v>2037</v>
      </c>
      <c r="B79" s="14"/>
      <c r="C79" s="28">
        <v>-1.5550975233555499E-2</v>
      </c>
      <c r="D79" s="28">
        <v>-3.4099803431488003E-2</v>
      </c>
      <c r="E79" s="15">
        <v>-3.0606441824341302E-2</v>
      </c>
      <c r="F79" s="15">
        <v>-5.2168915722056799E-2</v>
      </c>
      <c r="G79" s="15">
        <v>1.7017956259121999E-4</v>
      </c>
      <c r="H79" s="15">
        <v>-1.5904150737630001E-2</v>
      </c>
    </row>
    <row r="80" spans="1:8">
      <c r="A80">
        <f t="shared" si="1"/>
        <v>2038</v>
      </c>
      <c r="B80" s="14"/>
      <c r="C80" s="36">
        <v>-1.4501819211095701E-2</v>
      </c>
      <c r="D80" s="36">
        <v>-3.4087775701549999E-2</v>
      </c>
      <c r="E80" s="15">
        <v>-2.92541441802E-2</v>
      </c>
      <c r="F80" s="15">
        <v>-5.2167950957750502E-2</v>
      </c>
      <c r="G80" s="15">
        <v>1.42985621154989E-3</v>
      </c>
      <c r="H80" s="15">
        <v>-1.5320010741176299E-2</v>
      </c>
    </row>
    <row r="81" spans="1:8">
      <c r="A81">
        <f t="shared" si="1"/>
        <v>2039</v>
      </c>
      <c r="B81" s="21"/>
      <c r="C81" s="36">
        <v>-1.34972399103032E-2</v>
      </c>
      <c r="D81" s="36">
        <v>-3.3968233178717201E-2</v>
      </c>
      <c r="E81" s="15">
        <v>-2.77373383666853E-2</v>
      </c>
      <c r="F81" s="15">
        <v>-5.2166505347925801E-2</v>
      </c>
      <c r="G81" s="15">
        <v>2.27289823088215E-3</v>
      </c>
      <c r="H81" s="15">
        <v>-1.5282599976068401E-2</v>
      </c>
    </row>
    <row r="82" spans="1:8">
      <c r="A82">
        <f t="shared" si="1"/>
        <v>2040</v>
      </c>
      <c r="B82" s="28"/>
      <c r="C82" s="36">
        <v>-1.32561175472251E-2</v>
      </c>
      <c r="D82" s="36">
        <v>-3.4710996518229301E-2</v>
      </c>
      <c r="E82" s="15">
        <v>-2.7625773397559301E-2</v>
      </c>
      <c r="F82" s="15">
        <v>-5.3366897924475097E-2</v>
      </c>
      <c r="G82" s="15">
        <v>2.9590171445052801E-3</v>
      </c>
      <c r="H82" s="15">
        <v>-1.5430971079205401E-2</v>
      </c>
    </row>
    <row r="83" spans="1:8">
      <c r="A83" s="35"/>
      <c r="B83" s="36"/>
      <c r="C83" s="36"/>
      <c r="D83" s="15"/>
      <c r="E83" s="15"/>
      <c r="F83" s="15"/>
      <c r="G83" s="15"/>
    </row>
    <row r="84" spans="1:8">
      <c r="A84" s="35"/>
      <c r="B84" s="36"/>
      <c r="C84" s="36"/>
      <c r="D84" s="15"/>
      <c r="E84" s="15"/>
      <c r="F84" s="15"/>
      <c r="G84" s="15"/>
    </row>
    <row r="85" spans="1:8">
      <c r="A85" s="35"/>
      <c r="B85" s="36"/>
      <c r="C85" s="36"/>
      <c r="D85" s="15"/>
      <c r="E85" s="15"/>
      <c r="F85" s="15"/>
      <c r="G85" s="15"/>
    </row>
    <row r="86" spans="1:8">
      <c r="A86" s="27"/>
      <c r="B86" s="28"/>
      <c r="C86" s="28"/>
      <c r="D86" s="15"/>
      <c r="E86" s="15"/>
      <c r="F86" s="15"/>
      <c r="G86" s="15"/>
    </row>
    <row r="87" spans="1:8">
      <c r="A87" s="35"/>
      <c r="B87" s="36"/>
      <c r="C87" s="36"/>
      <c r="D87" s="15"/>
      <c r="E87" s="15"/>
      <c r="F87" s="15"/>
      <c r="G87" s="15"/>
    </row>
    <row r="88" spans="1:8">
      <c r="A88" s="35"/>
      <c r="B88" s="36"/>
      <c r="C88" s="36"/>
      <c r="D88" s="15"/>
      <c r="E88" s="15"/>
      <c r="F88" s="15"/>
      <c r="G88" s="15"/>
    </row>
    <row r="89" spans="1:8">
      <c r="A89" s="35"/>
      <c r="B89" s="36"/>
      <c r="C89" s="36"/>
      <c r="D89" s="15"/>
      <c r="E89" s="15"/>
      <c r="F89" s="15"/>
      <c r="G89" s="15"/>
    </row>
    <row r="90" spans="1:8">
      <c r="A90" s="27"/>
      <c r="B90" s="28"/>
      <c r="C90" s="28"/>
      <c r="D90" s="15"/>
      <c r="E90" s="15"/>
      <c r="F90" s="15"/>
      <c r="G90" s="15"/>
    </row>
    <row r="91" spans="1:8">
      <c r="A91" s="35"/>
      <c r="B91" s="36"/>
      <c r="C91" s="36"/>
      <c r="D91" s="15"/>
      <c r="E91" s="15"/>
      <c r="F91" s="15"/>
      <c r="G91" s="15"/>
    </row>
    <row r="92" spans="1:8">
      <c r="A92" s="35"/>
      <c r="B92" s="36"/>
      <c r="C92" s="36"/>
      <c r="D92" s="15"/>
      <c r="E92" s="15"/>
      <c r="F92" s="15"/>
      <c r="G92" s="15"/>
    </row>
    <row r="93" spans="1:8">
      <c r="A93" s="35"/>
      <c r="B93" s="36"/>
      <c r="C93" s="36"/>
      <c r="D93" s="15"/>
      <c r="E93" s="15"/>
      <c r="F93" s="15"/>
      <c r="G93" s="15"/>
    </row>
    <row r="94" spans="1:8">
      <c r="A94" s="27"/>
      <c r="B94" s="28"/>
      <c r="C94" s="28"/>
      <c r="D94" s="15"/>
      <c r="E94" s="15"/>
      <c r="F94" s="15"/>
      <c r="G94" s="15"/>
    </row>
    <row r="95" spans="1:8">
      <c r="A95" s="35"/>
      <c r="B95" s="36"/>
      <c r="C95" s="36"/>
      <c r="D95" s="15"/>
      <c r="E95" s="15"/>
      <c r="F95" s="15"/>
      <c r="G95" s="15"/>
    </row>
    <row r="96" spans="1:8">
      <c r="A96" s="35"/>
      <c r="B96" s="36"/>
      <c r="C96" s="36"/>
      <c r="D96" s="15"/>
      <c r="E96" s="15"/>
      <c r="F96" s="15"/>
      <c r="G96" s="15"/>
    </row>
    <row r="97" spans="1:7">
      <c r="A97" s="35"/>
      <c r="B97" s="36"/>
      <c r="C97" s="36"/>
      <c r="D97" s="15"/>
      <c r="E97" s="15"/>
      <c r="F97" s="15"/>
      <c r="G97" s="15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Central scenario</vt:lpstr>
      <vt:lpstr>Low scenario</vt:lpstr>
      <vt:lpstr>High scenario</vt:lpstr>
      <vt:lpstr>Graphiques déficit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cp:revision>218</cp:revision>
  <cp:lastPrinted>2018-07-09T16:45:56Z</cp:lastPrinted>
  <dcterms:created xsi:type="dcterms:W3CDTF">2018-03-19T16:55:05Z</dcterms:created>
  <dcterms:modified xsi:type="dcterms:W3CDTF">2018-09-26T20:56:13Z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