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13460" windowHeight="17520" tabRatio="976" activeTab="3"/>
  </bookViews>
  <sheets>
    <sheet name="Central scenario" sheetId="1" r:id="rId1"/>
    <sheet name="Low scenario" sheetId="2" r:id="rId2"/>
    <sheet name="High scenario" sheetId="3" r:id="rId3"/>
    <sheet name="Graphiques déficit" sheetId="4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6" i="4" l="1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B112" i="3"/>
  <c r="AB113" i="3"/>
  <c r="AB114" i="3"/>
  <c r="AB115" i="3"/>
  <c r="AX24" i="3"/>
  <c r="AZ24" i="3"/>
  <c r="BB24" i="3"/>
  <c r="AX25" i="3"/>
  <c r="AZ25" i="3"/>
  <c r="BB25" i="3"/>
  <c r="AX26" i="3"/>
  <c r="AZ26" i="3"/>
  <c r="BB26" i="3"/>
  <c r="AX27" i="3"/>
  <c r="AZ27" i="3"/>
  <c r="BB27" i="3"/>
  <c r="AX28" i="3"/>
  <c r="AZ28" i="3"/>
  <c r="BB28" i="3"/>
  <c r="AX29" i="3"/>
  <c r="AZ29" i="3"/>
  <c r="BB29" i="3"/>
  <c r="AX30" i="3"/>
  <c r="AZ30" i="3"/>
  <c r="BB30" i="3"/>
  <c r="AX31" i="3"/>
  <c r="AZ31" i="3"/>
  <c r="BB31" i="3"/>
  <c r="AX32" i="3"/>
  <c r="AZ32" i="3"/>
  <c r="BB32" i="3"/>
  <c r="AX33" i="3"/>
  <c r="AZ33" i="3"/>
  <c r="BB33" i="3"/>
  <c r="AX34" i="3"/>
  <c r="AZ34" i="3"/>
  <c r="BB34" i="3"/>
  <c r="AX35" i="3"/>
  <c r="AZ35" i="3"/>
  <c r="BB35" i="3"/>
  <c r="AX36" i="3"/>
  <c r="AZ36" i="3"/>
  <c r="BB36" i="3"/>
  <c r="AX37" i="3"/>
  <c r="AZ37" i="3"/>
  <c r="BB37" i="3"/>
  <c r="AX38" i="3"/>
  <c r="AZ38" i="3"/>
  <c r="BB38" i="3"/>
  <c r="AX39" i="3"/>
  <c r="AZ39" i="3"/>
  <c r="BB39" i="3"/>
  <c r="AX40" i="3"/>
  <c r="AZ40" i="3"/>
  <c r="BB40" i="3"/>
  <c r="AX41" i="3"/>
  <c r="AZ41" i="3"/>
  <c r="BB41" i="3"/>
  <c r="AX42" i="3"/>
  <c r="AZ42" i="3"/>
  <c r="BB42" i="3"/>
  <c r="AX43" i="3"/>
  <c r="AZ43" i="3"/>
  <c r="BB43" i="3"/>
  <c r="AX44" i="3"/>
  <c r="AZ44" i="3"/>
  <c r="BB44" i="3"/>
  <c r="AX45" i="3"/>
  <c r="AZ45" i="3"/>
  <c r="BB45" i="3"/>
  <c r="AX46" i="3"/>
  <c r="AZ46" i="3"/>
  <c r="BB46" i="3"/>
  <c r="AX47" i="3"/>
  <c r="AZ47" i="3"/>
  <c r="BB47" i="3"/>
  <c r="AX48" i="3"/>
  <c r="AZ48" i="3"/>
  <c r="BB48" i="3"/>
  <c r="AX49" i="3"/>
  <c r="AZ49" i="3"/>
  <c r="BB49" i="3"/>
  <c r="AX50" i="3"/>
  <c r="AZ50" i="3"/>
  <c r="BB50" i="3"/>
  <c r="AX51" i="3"/>
  <c r="AZ51" i="3"/>
  <c r="BB51" i="3"/>
  <c r="AX52" i="3"/>
  <c r="AZ52" i="3"/>
  <c r="BB52" i="3"/>
  <c r="AX53" i="3"/>
  <c r="AZ53" i="3"/>
  <c r="BB53" i="3"/>
  <c r="AX54" i="3"/>
  <c r="AZ54" i="3"/>
  <c r="BB54" i="3"/>
  <c r="AX55" i="3"/>
  <c r="AZ55" i="3"/>
  <c r="BB55" i="3"/>
  <c r="AX56" i="3"/>
  <c r="AZ56" i="3"/>
  <c r="BB56" i="3"/>
  <c r="AX57" i="3"/>
  <c r="AZ57" i="3"/>
  <c r="BB57" i="3"/>
  <c r="AX58" i="3"/>
  <c r="AZ58" i="3"/>
  <c r="BB58" i="3"/>
  <c r="AX59" i="3"/>
  <c r="AZ59" i="3"/>
  <c r="BB59" i="3"/>
  <c r="AX60" i="3"/>
  <c r="AZ60" i="3"/>
  <c r="BB60" i="3"/>
  <c r="AX61" i="3"/>
  <c r="AZ61" i="3"/>
  <c r="BB61" i="3"/>
  <c r="AX62" i="3"/>
  <c r="AZ62" i="3"/>
  <c r="BB62" i="3"/>
  <c r="AX63" i="3"/>
  <c r="AZ63" i="3"/>
  <c r="BB63" i="3"/>
  <c r="AX64" i="3"/>
  <c r="AZ64" i="3"/>
  <c r="BB64" i="3"/>
  <c r="AX65" i="3"/>
  <c r="AZ65" i="3"/>
  <c r="BB65" i="3"/>
  <c r="AX66" i="3"/>
  <c r="AZ66" i="3"/>
  <c r="BB66" i="3"/>
  <c r="AX67" i="3"/>
  <c r="AZ67" i="3"/>
  <c r="BB67" i="3"/>
  <c r="AX68" i="3"/>
  <c r="AZ68" i="3"/>
  <c r="BB68" i="3"/>
  <c r="AX69" i="3"/>
  <c r="AZ69" i="3"/>
  <c r="BB69" i="3"/>
  <c r="AX70" i="3"/>
  <c r="AZ70" i="3"/>
  <c r="BB70" i="3"/>
  <c r="AX71" i="3"/>
  <c r="AZ71" i="3"/>
  <c r="BB71" i="3"/>
  <c r="AX72" i="3"/>
  <c r="AZ72" i="3"/>
  <c r="BB72" i="3"/>
  <c r="AX73" i="3"/>
  <c r="AZ73" i="3"/>
  <c r="BB73" i="3"/>
  <c r="AX74" i="3"/>
  <c r="AZ74" i="3"/>
  <c r="BB74" i="3"/>
  <c r="AX75" i="3"/>
  <c r="AZ75" i="3"/>
  <c r="BB75" i="3"/>
  <c r="AX76" i="3"/>
  <c r="AZ76" i="3"/>
  <c r="BB76" i="3"/>
  <c r="AX77" i="3"/>
  <c r="AZ77" i="3"/>
  <c r="BB77" i="3"/>
  <c r="AX78" i="3"/>
  <c r="AZ78" i="3"/>
  <c r="BB78" i="3"/>
  <c r="AX79" i="3"/>
  <c r="AZ79" i="3"/>
  <c r="BB79" i="3"/>
  <c r="AX80" i="3"/>
  <c r="AZ80" i="3"/>
  <c r="BB80" i="3"/>
  <c r="AX81" i="3"/>
  <c r="AZ81" i="3"/>
  <c r="BB81" i="3"/>
  <c r="AX82" i="3"/>
  <c r="AZ82" i="3"/>
  <c r="BB82" i="3"/>
  <c r="AX83" i="3"/>
  <c r="AZ83" i="3"/>
  <c r="BB83" i="3"/>
  <c r="AX84" i="3"/>
  <c r="AZ84" i="3"/>
  <c r="BB84" i="3"/>
  <c r="AX85" i="3"/>
  <c r="AZ85" i="3"/>
  <c r="BB85" i="3"/>
  <c r="AX86" i="3"/>
  <c r="AZ86" i="3"/>
  <c r="BB86" i="3"/>
  <c r="AX87" i="3"/>
  <c r="AZ87" i="3"/>
  <c r="BB87" i="3"/>
  <c r="AX88" i="3"/>
  <c r="AZ88" i="3"/>
  <c r="BB88" i="3"/>
  <c r="AX89" i="3"/>
  <c r="AZ89" i="3"/>
  <c r="BB89" i="3"/>
  <c r="AX90" i="3"/>
  <c r="AZ90" i="3"/>
  <c r="BB90" i="3"/>
  <c r="AX91" i="3"/>
  <c r="AZ91" i="3"/>
  <c r="BB91" i="3"/>
  <c r="AX92" i="3"/>
  <c r="AZ92" i="3"/>
  <c r="BB92" i="3"/>
  <c r="AX93" i="3"/>
  <c r="AZ93" i="3"/>
  <c r="BB93" i="3"/>
  <c r="AX94" i="3"/>
  <c r="AZ94" i="3"/>
  <c r="BB94" i="3"/>
  <c r="AX95" i="3"/>
  <c r="AZ95" i="3"/>
  <c r="BB95" i="3"/>
  <c r="AX96" i="3"/>
  <c r="AZ96" i="3"/>
  <c r="BB96" i="3"/>
  <c r="AX97" i="3"/>
  <c r="AZ97" i="3"/>
  <c r="BB97" i="3"/>
  <c r="AX98" i="3"/>
  <c r="AZ98" i="3"/>
  <c r="BB98" i="3"/>
  <c r="AX99" i="3"/>
  <c r="AZ99" i="3"/>
  <c r="BB99" i="3"/>
  <c r="AX100" i="3"/>
  <c r="AZ100" i="3"/>
  <c r="BB100" i="3"/>
  <c r="AX101" i="3"/>
  <c r="AZ101" i="3"/>
  <c r="BB101" i="3"/>
  <c r="AX102" i="3"/>
  <c r="AZ102" i="3"/>
  <c r="BB102" i="3"/>
  <c r="AX103" i="3"/>
  <c r="AZ103" i="3"/>
  <c r="BB103" i="3"/>
  <c r="AX104" i="3"/>
  <c r="AZ104" i="3"/>
  <c r="BB104" i="3"/>
  <c r="AX105" i="3"/>
  <c r="AZ105" i="3"/>
  <c r="BB105" i="3"/>
  <c r="AX106" i="3"/>
  <c r="AZ106" i="3"/>
  <c r="BB106" i="3"/>
  <c r="AX107" i="3"/>
  <c r="AZ107" i="3"/>
  <c r="BB107" i="3"/>
  <c r="AX108" i="3"/>
  <c r="AZ108" i="3"/>
  <c r="BB108" i="3"/>
  <c r="AX109" i="3"/>
  <c r="AZ109" i="3"/>
  <c r="BB109" i="3"/>
  <c r="AX110" i="3"/>
  <c r="AZ110" i="3"/>
  <c r="BB110" i="3"/>
  <c r="AX111" i="3"/>
  <c r="AZ111" i="3"/>
  <c r="BB111" i="3"/>
  <c r="AX112" i="3"/>
  <c r="AZ112" i="3"/>
  <c r="BB112" i="3"/>
  <c r="AF25" i="3"/>
  <c r="AF114" i="3"/>
  <c r="AX113" i="3"/>
  <c r="AZ113" i="3"/>
  <c r="BB113" i="3"/>
  <c r="AF115" i="3"/>
  <c r="AX114" i="3"/>
  <c r="AZ114" i="3"/>
  <c r="BB114" i="3"/>
  <c r="AF116" i="3"/>
  <c r="AX115" i="3"/>
  <c r="AZ115" i="3"/>
  <c r="BB115" i="3"/>
  <c r="AF117" i="3"/>
  <c r="AK29" i="3"/>
  <c r="BI29" i="3"/>
  <c r="BJ29" i="3"/>
  <c r="G31" i="4"/>
  <c r="F31" i="4"/>
  <c r="AB112" i="2"/>
  <c r="AB113" i="2"/>
  <c r="AB114" i="2"/>
  <c r="AB115" i="2"/>
  <c r="AW24" i="2"/>
  <c r="AY24" i="2"/>
  <c r="BA24" i="2"/>
  <c r="AW25" i="2"/>
  <c r="AY25" i="2"/>
  <c r="BA25" i="2"/>
  <c r="AW26" i="2"/>
  <c r="AY26" i="2"/>
  <c r="BA26" i="2"/>
  <c r="AW27" i="2"/>
  <c r="AY27" i="2"/>
  <c r="BA27" i="2"/>
  <c r="AW28" i="2"/>
  <c r="AY28" i="2"/>
  <c r="BA28" i="2"/>
  <c r="AW29" i="2"/>
  <c r="AY29" i="2"/>
  <c r="BA29" i="2"/>
  <c r="AW30" i="2"/>
  <c r="AY30" i="2"/>
  <c r="BA30" i="2"/>
  <c r="AW31" i="2"/>
  <c r="AY31" i="2"/>
  <c r="BA31" i="2"/>
  <c r="AW32" i="2"/>
  <c r="AY32" i="2"/>
  <c r="BA32" i="2"/>
  <c r="AW33" i="2"/>
  <c r="AY33" i="2"/>
  <c r="BA33" i="2"/>
  <c r="AW34" i="2"/>
  <c r="AY34" i="2"/>
  <c r="BA34" i="2"/>
  <c r="AW35" i="2"/>
  <c r="AY35" i="2"/>
  <c r="BA35" i="2"/>
  <c r="AW36" i="2"/>
  <c r="AY36" i="2"/>
  <c r="BA36" i="2"/>
  <c r="AW37" i="2"/>
  <c r="AY37" i="2"/>
  <c r="BA37" i="2"/>
  <c r="AW38" i="2"/>
  <c r="AY38" i="2"/>
  <c r="BA38" i="2"/>
  <c r="AW39" i="2"/>
  <c r="AY39" i="2"/>
  <c r="BA39" i="2"/>
  <c r="AW40" i="2"/>
  <c r="AY40" i="2"/>
  <c r="BA40" i="2"/>
  <c r="AW41" i="2"/>
  <c r="AY41" i="2"/>
  <c r="BA41" i="2"/>
  <c r="AW42" i="2"/>
  <c r="AY42" i="2"/>
  <c r="BA42" i="2"/>
  <c r="AW43" i="2"/>
  <c r="AY43" i="2"/>
  <c r="BA43" i="2"/>
  <c r="AW44" i="2"/>
  <c r="AY44" i="2"/>
  <c r="BA44" i="2"/>
  <c r="AW45" i="2"/>
  <c r="AY45" i="2"/>
  <c r="BA45" i="2"/>
  <c r="AW46" i="2"/>
  <c r="AY46" i="2"/>
  <c r="BA46" i="2"/>
  <c r="AW47" i="2"/>
  <c r="AY47" i="2"/>
  <c r="BA47" i="2"/>
  <c r="AW48" i="2"/>
  <c r="AY48" i="2"/>
  <c r="BA48" i="2"/>
  <c r="AW49" i="2"/>
  <c r="AY49" i="2"/>
  <c r="BA49" i="2"/>
  <c r="AW50" i="2"/>
  <c r="AY50" i="2"/>
  <c r="BA50" i="2"/>
  <c r="AW51" i="2"/>
  <c r="AY51" i="2"/>
  <c r="BA51" i="2"/>
  <c r="AW52" i="2"/>
  <c r="AY52" i="2"/>
  <c r="BA52" i="2"/>
  <c r="AW53" i="2"/>
  <c r="AY53" i="2"/>
  <c r="BA53" i="2"/>
  <c r="AW54" i="2"/>
  <c r="AY54" i="2"/>
  <c r="BA54" i="2"/>
  <c r="AW55" i="2"/>
  <c r="AY55" i="2"/>
  <c r="BA55" i="2"/>
  <c r="AW56" i="2"/>
  <c r="AY56" i="2"/>
  <c r="BA56" i="2"/>
  <c r="AW57" i="2"/>
  <c r="AY57" i="2"/>
  <c r="BA57" i="2"/>
  <c r="AW58" i="2"/>
  <c r="AY58" i="2"/>
  <c r="BA58" i="2"/>
  <c r="AW59" i="2"/>
  <c r="AY59" i="2"/>
  <c r="BA59" i="2"/>
  <c r="AW60" i="2"/>
  <c r="AY60" i="2"/>
  <c r="BA60" i="2"/>
  <c r="AW61" i="2"/>
  <c r="AY61" i="2"/>
  <c r="BA61" i="2"/>
  <c r="AW62" i="2"/>
  <c r="AY62" i="2"/>
  <c r="BA62" i="2"/>
  <c r="AW63" i="2"/>
  <c r="AY63" i="2"/>
  <c r="BA63" i="2"/>
  <c r="AW64" i="2"/>
  <c r="AY64" i="2"/>
  <c r="BA64" i="2"/>
  <c r="AW65" i="2"/>
  <c r="AY65" i="2"/>
  <c r="BA65" i="2"/>
  <c r="AW66" i="2"/>
  <c r="AY66" i="2"/>
  <c r="BA66" i="2"/>
  <c r="AW67" i="2"/>
  <c r="AY67" i="2"/>
  <c r="BA67" i="2"/>
  <c r="AW68" i="2"/>
  <c r="AY68" i="2"/>
  <c r="BA68" i="2"/>
  <c r="AW69" i="2"/>
  <c r="AY69" i="2"/>
  <c r="BA69" i="2"/>
  <c r="AW70" i="2"/>
  <c r="AY70" i="2"/>
  <c r="BA70" i="2"/>
  <c r="AW71" i="2"/>
  <c r="AY71" i="2"/>
  <c r="BA71" i="2"/>
  <c r="AW72" i="2"/>
  <c r="AY72" i="2"/>
  <c r="BA72" i="2"/>
  <c r="AW73" i="2"/>
  <c r="AY73" i="2"/>
  <c r="BA73" i="2"/>
  <c r="AW74" i="2"/>
  <c r="AY74" i="2"/>
  <c r="BA74" i="2"/>
  <c r="AW75" i="2"/>
  <c r="AY75" i="2"/>
  <c r="BA75" i="2"/>
  <c r="AW76" i="2"/>
  <c r="AY76" i="2"/>
  <c r="BA76" i="2"/>
  <c r="AW77" i="2"/>
  <c r="AY77" i="2"/>
  <c r="BA77" i="2"/>
  <c r="AW78" i="2"/>
  <c r="AY78" i="2"/>
  <c r="BA78" i="2"/>
  <c r="AW79" i="2"/>
  <c r="AY79" i="2"/>
  <c r="BA79" i="2"/>
  <c r="AW80" i="2"/>
  <c r="AY80" i="2"/>
  <c r="BA80" i="2"/>
  <c r="AW81" i="2"/>
  <c r="AY81" i="2"/>
  <c r="BA81" i="2"/>
  <c r="AW82" i="2"/>
  <c r="AY82" i="2"/>
  <c r="BA82" i="2"/>
  <c r="AW83" i="2"/>
  <c r="AY83" i="2"/>
  <c r="BA83" i="2"/>
  <c r="AW84" i="2"/>
  <c r="AY84" i="2"/>
  <c r="BA84" i="2"/>
  <c r="AW85" i="2"/>
  <c r="AY85" i="2"/>
  <c r="BA85" i="2"/>
  <c r="AW86" i="2"/>
  <c r="AY86" i="2"/>
  <c r="BA86" i="2"/>
  <c r="AW87" i="2"/>
  <c r="AY87" i="2"/>
  <c r="BA87" i="2"/>
  <c r="AW88" i="2"/>
  <c r="AY88" i="2"/>
  <c r="BA88" i="2"/>
  <c r="AW89" i="2"/>
  <c r="AY89" i="2"/>
  <c r="BA89" i="2"/>
  <c r="AW90" i="2"/>
  <c r="AY90" i="2"/>
  <c r="BA90" i="2"/>
  <c r="AW91" i="2"/>
  <c r="AY91" i="2"/>
  <c r="BA91" i="2"/>
  <c r="AW92" i="2"/>
  <c r="AY92" i="2"/>
  <c r="BA92" i="2"/>
  <c r="AW93" i="2"/>
  <c r="AY93" i="2"/>
  <c r="BA93" i="2"/>
  <c r="AW94" i="2"/>
  <c r="AY94" i="2"/>
  <c r="BA94" i="2"/>
  <c r="AW95" i="2"/>
  <c r="AY95" i="2"/>
  <c r="BA95" i="2"/>
  <c r="AW96" i="2"/>
  <c r="AY96" i="2"/>
  <c r="BA96" i="2"/>
  <c r="AW97" i="2"/>
  <c r="AY97" i="2"/>
  <c r="BA97" i="2"/>
  <c r="AW98" i="2"/>
  <c r="AY98" i="2"/>
  <c r="BA98" i="2"/>
  <c r="AW99" i="2"/>
  <c r="AY99" i="2"/>
  <c r="BA99" i="2"/>
  <c r="AW100" i="2"/>
  <c r="AY100" i="2"/>
  <c r="BA100" i="2"/>
  <c r="AW101" i="2"/>
  <c r="AY101" i="2"/>
  <c r="BA101" i="2"/>
  <c r="AW102" i="2"/>
  <c r="AY102" i="2"/>
  <c r="BA102" i="2"/>
  <c r="AW103" i="2"/>
  <c r="AY103" i="2"/>
  <c r="BA103" i="2"/>
  <c r="AW104" i="2"/>
  <c r="AY104" i="2"/>
  <c r="BA104" i="2"/>
  <c r="AW105" i="2"/>
  <c r="AY105" i="2"/>
  <c r="BA105" i="2"/>
  <c r="AW106" i="2"/>
  <c r="AY106" i="2"/>
  <c r="BA106" i="2"/>
  <c r="AW107" i="2"/>
  <c r="AY107" i="2"/>
  <c r="BA107" i="2"/>
  <c r="AW108" i="2"/>
  <c r="AY108" i="2"/>
  <c r="BA108" i="2"/>
  <c r="AW109" i="2"/>
  <c r="AY109" i="2"/>
  <c r="BA109" i="2"/>
  <c r="AW110" i="2"/>
  <c r="AY110" i="2"/>
  <c r="BA110" i="2"/>
  <c r="AW111" i="2"/>
  <c r="AY111" i="2"/>
  <c r="BA111" i="2"/>
  <c r="AW112" i="2"/>
  <c r="AY112" i="2"/>
  <c r="BA112" i="2"/>
  <c r="AF25" i="2"/>
  <c r="AF114" i="2"/>
  <c r="AW113" i="2"/>
  <c r="AY113" i="2"/>
  <c r="BA113" i="2"/>
  <c r="AF115" i="2"/>
  <c r="AW114" i="2"/>
  <c r="AY114" i="2"/>
  <c r="BA114" i="2"/>
  <c r="AF116" i="2"/>
  <c r="AW115" i="2"/>
  <c r="AY115" i="2"/>
  <c r="BA115" i="2"/>
  <c r="AF117" i="2"/>
  <c r="AK29" i="2"/>
  <c r="BH29" i="2"/>
  <c r="BI29" i="2"/>
  <c r="E31" i="4"/>
  <c r="D31" i="4"/>
  <c r="AB112" i="1"/>
  <c r="AB113" i="1"/>
  <c r="AB114" i="1"/>
  <c r="AB115" i="1"/>
  <c r="AX24" i="1"/>
  <c r="AZ24" i="1"/>
  <c r="BB24" i="1"/>
  <c r="AX25" i="1"/>
  <c r="AZ25" i="1"/>
  <c r="BB25" i="1"/>
  <c r="AX26" i="1"/>
  <c r="AZ26" i="1"/>
  <c r="BB26" i="1"/>
  <c r="AX27" i="1"/>
  <c r="AZ27" i="1"/>
  <c r="BB27" i="1"/>
  <c r="AX28" i="1"/>
  <c r="AZ28" i="1"/>
  <c r="BB28" i="1"/>
  <c r="AX29" i="1"/>
  <c r="AZ29" i="1"/>
  <c r="BB29" i="1"/>
  <c r="AX30" i="1"/>
  <c r="AZ30" i="1"/>
  <c r="BB30" i="1"/>
  <c r="AX31" i="1"/>
  <c r="AZ31" i="1"/>
  <c r="BB31" i="1"/>
  <c r="AX32" i="1"/>
  <c r="AZ32" i="1"/>
  <c r="BB32" i="1"/>
  <c r="AX33" i="1"/>
  <c r="AZ33" i="1"/>
  <c r="BB33" i="1"/>
  <c r="AX34" i="1"/>
  <c r="AZ34" i="1"/>
  <c r="BB34" i="1"/>
  <c r="AX35" i="1"/>
  <c r="AZ35" i="1"/>
  <c r="BB35" i="1"/>
  <c r="AX36" i="1"/>
  <c r="AZ36" i="1"/>
  <c r="BB36" i="1"/>
  <c r="AX37" i="1"/>
  <c r="AZ37" i="1"/>
  <c r="BB37" i="1"/>
  <c r="AX38" i="1"/>
  <c r="AZ38" i="1"/>
  <c r="BB38" i="1"/>
  <c r="AX39" i="1"/>
  <c r="AZ39" i="1"/>
  <c r="BB39" i="1"/>
  <c r="AX40" i="1"/>
  <c r="AZ40" i="1"/>
  <c r="BB40" i="1"/>
  <c r="AX41" i="1"/>
  <c r="AZ41" i="1"/>
  <c r="BB41" i="1"/>
  <c r="AX42" i="1"/>
  <c r="AZ42" i="1"/>
  <c r="BB42" i="1"/>
  <c r="AX43" i="1"/>
  <c r="AZ43" i="1"/>
  <c r="BB43" i="1"/>
  <c r="AX44" i="1"/>
  <c r="AZ44" i="1"/>
  <c r="BB44" i="1"/>
  <c r="AX45" i="1"/>
  <c r="AZ45" i="1"/>
  <c r="BB45" i="1"/>
  <c r="AX46" i="1"/>
  <c r="AZ46" i="1"/>
  <c r="BB46" i="1"/>
  <c r="AX47" i="1"/>
  <c r="AZ47" i="1"/>
  <c r="BB47" i="1"/>
  <c r="AX48" i="1"/>
  <c r="AZ48" i="1"/>
  <c r="BB48" i="1"/>
  <c r="AX49" i="1"/>
  <c r="AZ49" i="1"/>
  <c r="BB49" i="1"/>
  <c r="AX50" i="1"/>
  <c r="AZ50" i="1"/>
  <c r="BB50" i="1"/>
  <c r="AX51" i="1"/>
  <c r="AZ51" i="1"/>
  <c r="BB51" i="1"/>
  <c r="AX52" i="1"/>
  <c r="AZ52" i="1"/>
  <c r="BB52" i="1"/>
  <c r="AX53" i="1"/>
  <c r="AZ53" i="1"/>
  <c r="BB53" i="1"/>
  <c r="AX54" i="1"/>
  <c r="AZ54" i="1"/>
  <c r="BB54" i="1"/>
  <c r="AX55" i="1"/>
  <c r="AZ55" i="1"/>
  <c r="BB55" i="1"/>
  <c r="AX56" i="1"/>
  <c r="AZ56" i="1"/>
  <c r="BB56" i="1"/>
  <c r="AX57" i="1"/>
  <c r="AZ57" i="1"/>
  <c r="BB57" i="1"/>
  <c r="AX58" i="1"/>
  <c r="AZ58" i="1"/>
  <c r="BB58" i="1"/>
  <c r="AX59" i="1"/>
  <c r="AZ59" i="1"/>
  <c r="BB59" i="1"/>
  <c r="AX60" i="1"/>
  <c r="AZ60" i="1"/>
  <c r="BB60" i="1"/>
  <c r="AX61" i="1"/>
  <c r="AZ61" i="1"/>
  <c r="BB61" i="1"/>
  <c r="AX62" i="1"/>
  <c r="AZ62" i="1"/>
  <c r="BB62" i="1"/>
  <c r="AX63" i="1"/>
  <c r="AZ63" i="1"/>
  <c r="BB63" i="1"/>
  <c r="AX64" i="1"/>
  <c r="AZ64" i="1"/>
  <c r="BB64" i="1"/>
  <c r="AX65" i="1"/>
  <c r="AZ65" i="1"/>
  <c r="BB65" i="1"/>
  <c r="AX66" i="1"/>
  <c r="AZ66" i="1"/>
  <c r="BB66" i="1"/>
  <c r="AX67" i="1"/>
  <c r="AZ67" i="1"/>
  <c r="BB67" i="1"/>
  <c r="AX68" i="1"/>
  <c r="AZ68" i="1"/>
  <c r="BB68" i="1"/>
  <c r="AX69" i="1"/>
  <c r="AZ69" i="1"/>
  <c r="BB69" i="1"/>
  <c r="AX70" i="1"/>
  <c r="AZ70" i="1"/>
  <c r="BB70" i="1"/>
  <c r="AX71" i="1"/>
  <c r="AZ71" i="1"/>
  <c r="BB71" i="1"/>
  <c r="AX72" i="1"/>
  <c r="AZ72" i="1"/>
  <c r="BB72" i="1"/>
  <c r="AX73" i="1"/>
  <c r="AZ73" i="1"/>
  <c r="BB73" i="1"/>
  <c r="AX74" i="1"/>
  <c r="AZ74" i="1"/>
  <c r="BB74" i="1"/>
  <c r="AX75" i="1"/>
  <c r="AZ75" i="1"/>
  <c r="BB75" i="1"/>
  <c r="AX76" i="1"/>
  <c r="AZ76" i="1"/>
  <c r="BB76" i="1"/>
  <c r="AX77" i="1"/>
  <c r="AZ77" i="1"/>
  <c r="BB77" i="1"/>
  <c r="AX78" i="1"/>
  <c r="AZ78" i="1"/>
  <c r="BB78" i="1"/>
  <c r="AX79" i="1"/>
  <c r="AZ79" i="1"/>
  <c r="BB79" i="1"/>
  <c r="AX80" i="1"/>
  <c r="AZ80" i="1"/>
  <c r="BB80" i="1"/>
  <c r="AX81" i="1"/>
  <c r="AZ81" i="1"/>
  <c r="BB81" i="1"/>
  <c r="AX82" i="1"/>
  <c r="AZ82" i="1"/>
  <c r="BB82" i="1"/>
  <c r="AX83" i="1"/>
  <c r="AZ83" i="1"/>
  <c r="BB83" i="1"/>
  <c r="AX84" i="1"/>
  <c r="AZ84" i="1"/>
  <c r="BB84" i="1"/>
  <c r="AX85" i="1"/>
  <c r="AZ85" i="1"/>
  <c r="BB85" i="1"/>
  <c r="AX86" i="1"/>
  <c r="AZ86" i="1"/>
  <c r="BB86" i="1"/>
  <c r="AX87" i="1"/>
  <c r="AZ87" i="1"/>
  <c r="BB87" i="1"/>
  <c r="AX88" i="1"/>
  <c r="AZ88" i="1"/>
  <c r="BB88" i="1"/>
  <c r="AX89" i="1"/>
  <c r="AZ89" i="1"/>
  <c r="BB89" i="1"/>
  <c r="AX90" i="1"/>
  <c r="AZ90" i="1"/>
  <c r="BB90" i="1"/>
  <c r="AX91" i="1"/>
  <c r="AZ91" i="1"/>
  <c r="BB91" i="1"/>
  <c r="AX92" i="1"/>
  <c r="AZ92" i="1"/>
  <c r="BB92" i="1"/>
  <c r="AX93" i="1"/>
  <c r="AZ93" i="1"/>
  <c r="BB93" i="1"/>
  <c r="AX94" i="1"/>
  <c r="AZ94" i="1"/>
  <c r="BB94" i="1"/>
  <c r="AX95" i="1"/>
  <c r="AZ95" i="1"/>
  <c r="BB95" i="1"/>
  <c r="AX96" i="1"/>
  <c r="AZ96" i="1"/>
  <c r="BB96" i="1"/>
  <c r="AX97" i="1"/>
  <c r="AZ97" i="1"/>
  <c r="BB97" i="1"/>
  <c r="AX98" i="1"/>
  <c r="AZ98" i="1"/>
  <c r="BB98" i="1"/>
  <c r="AX99" i="1"/>
  <c r="AZ99" i="1"/>
  <c r="BB99" i="1"/>
  <c r="AX100" i="1"/>
  <c r="AZ100" i="1"/>
  <c r="BB100" i="1"/>
  <c r="AX101" i="1"/>
  <c r="AZ101" i="1"/>
  <c r="BB101" i="1"/>
  <c r="AX102" i="1"/>
  <c r="AZ102" i="1"/>
  <c r="BB102" i="1"/>
  <c r="AX103" i="1"/>
  <c r="AZ103" i="1"/>
  <c r="BB103" i="1"/>
  <c r="AX104" i="1"/>
  <c r="AZ104" i="1"/>
  <c r="BB104" i="1"/>
  <c r="AX105" i="1"/>
  <c r="AZ105" i="1"/>
  <c r="BB105" i="1"/>
  <c r="AX106" i="1"/>
  <c r="AZ106" i="1"/>
  <c r="BB106" i="1"/>
  <c r="AX107" i="1"/>
  <c r="AZ107" i="1"/>
  <c r="BB107" i="1"/>
  <c r="AX108" i="1"/>
  <c r="AZ108" i="1"/>
  <c r="BB108" i="1"/>
  <c r="AX109" i="1"/>
  <c r="AZ109" i="1"/>
  <c r="BB109" i="1"/>
  <c r="AX110" i="1"/>
  <c r="AZ110" i="1"/>
  <c r="BB110" i="1"/>
  <c r="AX111" i="1"/>
  <c r="AZ111" i="1"/>
  <c r="BB111" i="1"/>
  <c r="AX112" i="1"/>
  <c r="AZ112" i="1"/>
  <c r="BB112" i="1"/>
  <c r="AF25" i="1"/>
  <c r="AF114" i="1"/>
  <c r="AX113" i="1"/>
  <c r="AZ113" i="1"/>
  <c r="BB113" i="1"/>
  <c r="AF115" i="1"/>
  <c r="AX114" i="1"/>
  <c r="AZ114" i="1"/>
  <c r="BB114" i="1"/>
  <c r="AF116" i="1"/>
  <c r="AX115" i="1"/>
  <c r="AZ115" i="1"/>
  <c r="BB115" i="1"/>
  <c r="AF117" i="1"/>
  <c r="AK29" i="1"/>
  <c r="BJ29" i="1"/>
  <c r="BK29" i="1"/>
  <c r="C31" i="4"/>
  <c r="B31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I30" i="4"/>
  <c r="AB108" i="3"/>
  <c r="AB109" i="3"/>
  <c r="AB110" i="3"/>
  <c r="AB111" i="3"/>
  <c r="AF110" i="3"/>
  <c r="AF111" i="3"/>
  <c r="AF112" i="3"/>
  <c r="AF113" i="3"/>
  <c r="AK28" i="3"/>
  <c r="BI28" i="3"/>
  <c r="BJ28" i="3"/>
  <c r="G30" i="4"/>
  <c r="F30" i="4"/>
  <c r="AB108" i="2"/>
  <c r="AB109" i="2"/>
  <c r="AB110" i="2"/>
  <c r="AB111" i="2"/>
  <c r="AF110" i="2"/>
  <c r="AF111" i="2"/>
  <c r="AF112" i="2"/>
  <c r="AF113" i="2"/>
  <c r="AK28" i="2"/>
  <c r="BH28" i="2"/>
  <c r="BI28" i="2"/>
  <c r="E30" i="4"/>
  <c r="D30" i="4"/>
  <c r="AB108" i="1"/>
  <c r="AB109" i="1"/>
  <c r="AB110" i="1"/>
  <c r="AB111" i="1"/>
  <c r="AF110" i="1"/>
  <c r="AF111" i="1"/>
  <c r="AF112" i="1"/>
  <c r="AF113" i="1"/>
  <c r="AK28" i="1"/>
  <c r="BJ28" i="1"/>
  <c r="BK28" i="1"/>
  <c r="C30" i="4"/>
  <c r="B30" i="4"/>
  <c r="I29" i="4"/>
  <c r="AB104" i="3"/>
  <c r="AB105" i="3"/>
  <c r="AB106" i="3"/>
  <c r="AB107" i="3"/>
  <c r="AF106" i="3"/>
  <c r="AF107" i="3"/>
  <c r="AF108" i="3"/>
  <c r="AF109" i="3"/>
  <c r="AK27" i="3"/>
  <c r="BI27" i="3"/>
  <c r="BJ27" i="3"/>
  <c r="G29" i="4"/>
  <c r="F29" i="4"/>
  <c r="AB104" i="2"/>
  <c r="AB105" i="2"/>
  <c r="AB106" i="2"/>
  <c r="AB107" i="2"/>
  <c r="AF106" i="2"/>
  <c r="AF107" i="2"/>
  <c r="AF108" i="2"/>
  <c r="AF109" i="2"/>
  <c r="AK27" i="2"/>
  <c r="BH27" i="2"/>
  <c r="BI27" i="2"/>
  <c r="E29" i="4"/>
  <c r="D29" i="4"/>
  <c r="AB104" i="1"/>
  <c r="AB105" i="1"/>
  <c r="AB106" i="1"/>
  <c r="AB107" i="1"/>
  <c r="AF106" i="1"/>
  <c r="AF107" i="1"/>
  <c r="AF108" i="1"/>
  <c r="AF109" i="1"/>
  <c r="AK27" i="1"/>
  <c r="BJ27" i="1"/>
  <c r="BK27" i="1"/>
  <c r="C29" i="4"/>
  <c r="B29" i="4"/>
  <c r="AB100" i="3"/>
  <c r="AB101" i="3"/>
  <c r="AB102" i="3"/>
  <c r="AB103" i="3"/>
  <c r="AF102" i="3"/>
  <c r="AF103" i="3"/>
  <c r="AF104" i="3"/>
  <c r="AF105" i="3"/>
  <c r="AK26" i="3"/>
  <c r="BI26" i="3"/>
  <c r="BJ26" i="3"/>
  <c r="G28" i="4"/>
  <c r="F28" i="4"/>
  <c r="AB100" i="2"/>
  <c r="AB101" i="2"/>
  <c r="AB102" i="2"/>
  <c r="AB103" i="2"/>
  <c r="AF102" i="2"/>
  <c r="AF103" i="2"/>
  <c r="AF104" i="2"/>
  <c r="AF105" i="2"/>
  <c r="AK26" i="2"/>
  <c r="BH26" i="2"/>
  <c r="BI26" i="2"/>
  <c r="E28" i="4"/>
  <c r="D28" i="4"/>
  <c r="AB100" i="1"/>
  <c r="AB101" i="1"/>
  <c r="AB102" i="1"/>
  <c r="AB103" i="1"/>
  <c r="AF102" i="1"/>
  <c r="AF103" i="1"/>
  <c r="AF104" i="1"/>
  <c r="AF105" i="1"/>
  <c r="AK26" i="1"/>
  <c r="BJ26" i="1"/>
  <c r="BK26" i="1"/>
  <c r="C28" i="4"/>
  <c r="B28" i="4"/>
  <c r="AB96" i="3"/>
  <c r="AB97" i="3"/>
  <c r="AB98" i="3"/>
  <c r="AB99" i="3"/>
  <c r="AF98" i="3"/>
  <c r="AF99" i="3"/>
  <c r="AF100" i="3"/>
  <c r="AF101" i="3"/>
  <c r="AK25" i="3"/>
  <c r="BI25" i="3"/>
  <c r="BJ25" i="3"/>
  <c r="G27" i="4"/>
  <c r="F27" i="4"/>
  <c r="AB96" i="2"/>
  <c r="AB97" i="2"/>
  <c r="AB98" i="2"/>
  <c r="AB99" i="2"/>
  <c r="AF98" i="2"/>
  <c r="AF99" i="2"/>
  <c r="AF100" i="2"/>
  <c r="AF101" i="2"/>
  <c r="AK25" i="2"/>
  <c r="BH25" i="2"/>
  <c r="BI25" i="2"/>
  <c r="E27" i="4"/>
  <c r="D27" i="4"/>
  <c r="AB96" i="1"/>
  <c r="AB97" i="1"/>
  <c r="AB98" i="1"/>
  <c r="AB99" i="1"/>
  <c r="AF98" i="1"/>
  <c r="AF99" i="1"/>
  <c r="AF100" i="1"/>
  <c r="AF101" i="1"/>
  <c r="AK25" i="1"/>
  <c r="BJ25" i="1"/>
  <c r="BK25" i="1"/>
  <c r="C27" i="4"/>
  <c r="B27" i="4"/>
  <c r="AB92" i="3"/>
  <c r="AB93" i="3"/>
  <c r="AB94" i="3"/>
  <c r="AB95" i="3"/>
  <c r="AF94" i="3"/>
  <c r="AF95" i="3"/>
  <c r="AF96" i="3"/>
  <c r="AF97" i="3"/>
  <c r="AK24" i="3"/>
  <c r="BI24" i="3"/>
  <c r="BJ24" i="3"/>
  <c r="G26" i="4"/>
  <c r="F26" i="4"/>
  <c r="AB92" i="2"/>
  <c r="AB93" i="2"/>
  <c r="AB94" i="2"/>
  <c r="AB95" i="2"/>
  <c r="AF94" i="2"/>
  <c r="AF95" i="2"/>
  <c r="AF96" i="2"/>
  <c r="AF97" i="2"/>
  <c r="AK24" i="2"/>
  <c r="BH24" i="2"/>
  <c r="BI24" i="2"/>
  <c r="E26" i="4"/>
  <c r="D26" i="4"/>
  <c r="AB92" i="1"/>
  <c r="AB93" i="1"/>
  <c r="AB94" i="1"/>
  <c r="AB95" i="1"/>
  <c r="AF94" i="1"/>
  <c r="AF95" i="1"/>
  <c r="AF96" i="1"/>
  <c r="AF97" i="1"/>
  <c r="AK24" i="1"/>
  <c r="BJ24" i="1"/>
  <c r="BK24" i="1"/>
  <c r="C26" i="4"/>
  <c r="B26" i="4"/>
  <c r="H23" i="4"/>
  <c r="I23" i="4"/>
  <c r="H25" i="4"/>
  <c r="AB88" i="3"/>
  <c r="AB89" i="3"/>
  <c r="AB90" i="3"/>
  <c r="AB91" i="3"/>
  <c r="AF90" i="3"/>
  <c r="AF91" i="3"/>
  <c r="AF92" i="3"/>
  <c r="AF93" i="3"/>
  <c r="AK23" i="3"/>
  <c r="BI23" i="3"/>
  <c r="BJ23" i="3"/>
  <c r="G25" i="4"/>
  <c r="F25" i="4"/>
  <c r="AB88" i="2"/>
  <c r="AB89" i="2"/>
  <c r="AB90" i="2"/>
  <c r="AB91" i="2"/>
  <c r="AF90" i="2"/>
  <c r="AF91" i="2"/>
  <c r="AF92" i="2"/>
  <c r="AF93" i="2"/>
  <c r="AK23" i="2"/>
  <c r="BH23" i="2"/>
  <c r="BI23" i="2"/>
  <c r="E25" i="4"/>
  <c r="D25" i="4"/>
  <c r="AB88" i="1"/>
  <c r="AB89" i="1"/>
  <c r="AB90" i="1"/>
  <c r="AB91" i="1"/>
  <c r="AF90" i="1"/>
  <c r="AF91" i="1"/>
  <c r="AF92" i="1"/>
  <c r="AF93" i="1"/>
  <c r="AK23" i="1"/>
  <c r="BJ23" i="1"/>
  <c r="BK23" i="1"/>
  <c r="C25" i="4"/>
  <c r="B25" i="4"/>
  <c r="H22" i="4"/>
  <c r="I22" i="4"/>
  <c r="H24" i="4"/>
  <c r="AB84" i="3"/>
  <c r="AB85" i="3"/>
  <c r="AB86" i="3"/>
  <c r="AB87" i="3"/>
  <c r="AF86" i="3"/>
  <c r="AF87" i="3"/>
  <c r="AF88" i="3"/>
  <c r="AF89" i="3"/>
  <c r="AK22" i="3"/>
  <c r="BI22" i="3"/>
  <c r="BJ22" i="3"/>
  <c r="G24" i="4"/>
  <c r="F24" i="4"/>
  <c r="AB84" i="2"/>
  <c r="AB85" i="2"/>
  <c r="AB86" i="2"/>
  <c r="AB87" i="2"/>
  <c r="AF86" i="2"/>
  <c r="AF87" i="2"/>
  <c r="AF88" i="2"/>
  <c r="AF89" i="2"/>
  <c r="AK22" i="2"/>
  <c r="BH22" i="2"/>
  <c r="BI22" i="2"/>
  <c r="E24" i="4"/>
  <c r="D24" i="4"/>
  <c r="AB84" i="1"/>
  <c r="AB85" i="1"/>
  <c r="AB86" i="1"/>
  <c r="AB87" i="1"/>
  <c r="AF86" i="1"/>
  <c r="AF87" i="1"/>
  <c r="AF88" i="1"/>
  <c r="AF89" i="1"/>
  <c r="AK22" i="1"/>
  <c r="BJ22" i="1"/>
  <c r="BK22" i="1"/>
  <c r="C24" i="4"/>
  <c r="B24" i="4"/>
  <c r="AB80" i="3"/>
  <c r="AB81" i="3"/>
  <c r="AB82" i="3"/>
  <c r="AB83" i="3"/>
  <c r="AF82" i="3"/>
  <c r="AF83" i="3"/>
  <c r="AF84" i="3"/>
  <c r="AF85" i="3"/>
  <c r="AK21" i="3"/>
  <c r="BI21" i="3"/>
  <c r="BJ21" i="3"/>
  <c r="G23" i="4"/>
  <c r="F23" i="4"/>
  <c r="AB80" i="2"/>
  <c r="AB81" i="2"/>
  <c r="AB82" i="2"/>
  <c r="AB83" i="2"/>
  <c r="AF82" i="2"/>
  <c r="AF83" i="2"/>
  <c r="AF84" i="2"/>
  <c r="AF85" i="2"/>
  <c r="AK21" i="2"/>
  <c r="BH21" i="2"/>
  <c r="BI21" i="2"/>
  <c r="E23" i="4"/>
  <c r="D23" i="4"/>
  <c r="AB80" i="1"/>
  <c r="AB81" i="1"/>
  <c r="AB82" i="1"/>
  <c r="AB83" i="1"/>
  <c r="AF82" i="1"/>
  <c r="AF83" i="1"/>
  <c r="AF84" i="1"/>
  <c r="AF85" i="1"/>
  <c r="AK21" i="1"/>
  <c r="BJ21" i="1"/>
  <c r="BK21" i="1"/>
  <c r="C23" i="4"/>
  <c r="B23" i="4"/>
  <c r="AB76" i="3"/>
  <c r="AB77" i="3"/>
  <c r="AB78" i="3"/>
  <c r="AB79" i="3"/>
  <c r="AF78" i="3"/>
  <c r="AF79" i="3"/>
  <c r="AF80" i="3"/>
  <c r="AF81" i="3"/>
  <c r="AK20" i="3"/>
  <c r="BI20" i="3"/>
  <c r="BJ20" i="3"/>
  <c r="G22" i="4"/>
  <c r="F22" i="4"/>
  <c r="AB76" i="2"/>
  <c r="AB77" i="2"/>
  <c r="AB78" i="2"/>
  <c r="AB79" i="2"/>
  <c r="AF78" i="2"/>
  <c r="AF79" i="2"/>
  <c r="AF80" i="2"/>
  <c r="AF81" i="2"/>
  <c r="AK20" i="2"/>
  <c r="BH20" i="2"/>
  <c r="BI20" i="2"/>
  <c r="E22" i="4"/>
  <c r="D22" i="4"/>
  <c r="AB76" i="1"/>
  <c r="AB77" i="1"/>
  <c r="AB78" i="1"/>
  <c r="AB79" i="1"/>
  <c r="AF78" i="1"/>
  <c r="AF79" i="1"/>
  <c r="AF80" i="1"/>
  <c r="AF81" i="1"/>
  <c r="AK20" i="1"/>
  <c r="BJ20" i="1"/>
  <c r="BK20" i="1"/>
  <c r="C22" i="4"/>
  <c r="B22" i="4"/>
  <c r="AB72" i="3"/>
  <c r="AB73" i="3"/>
  <c r="AB74" i="3"/>
  <c r="AB75" i="3"/>
  <c r="AF74" i="3"/>
  <c r="AF75" i="3"/>
  <c r="AF76" i="3"/>
  <c r="AF77" i="3"/>
  <c r="AK19" i="3"/>
  <c r="BI19" i="3"/>
  <c r="BJ19" i="3"/>
  <c r="G21" i="4"/>
  <c r="F21" i="4"/>
  <c r="AB72" i="2"/>
  <c r="AB73" i="2"/>
  <c r="AB74" i="2"/>
  <c r="AB75" i="2"/>
  <c r="AF74" i="2"/>
  <c r="AF75" i="2"/>
  <c r="AF76" i="2"/>
  <c r="AF77" i="2"/>
  <c r="AK19" i="2"/>
  <c r="BH19" i="2"/>
  <c r="BI19" i="2"/>
  <c r="E21" i="4"/>
  <c r="D21" i="4"/>
  <c r="AB72" i="1"/>
  <c r="AB73" i="1"/>
  <c r="AB74" i="1"/>
  <c r="AB75" i="1"/>
  <c r="AF74" i="1"/>
  <c r="AF75" i="1"/>
  <c r="AF76" i="1"/>
  <c r="AF77" i="1"/>
  <c r="AK19" i="1"/>
  <c r="BJ19" i="1"/>
  <c r="BK19" i="1"/>
  <c r="C21" i="4"/>
  <c r="B21" i="4"/>
  <c r="AB68" i="3"/>
  <c r="AB69" i="3"/>
  <c r="AB70" i="3"/>
  <c r="AB71" i="3"/>
  <c r="AF70" i="3"/>
  <c r="AF71" i="3"/>
  <c r="AF72" i="3"/>
  <c r="AF73" i="3"/>
  <c r="AK18" i="3"/>
  <c r="BI18" i="3"/>
  <c r="BJ18" i="3"/>
  <c r="G20" i="4"/>
  <c r="F20" i="4"/>
  <c r="AB68" i="2"/>
  <c r="AB69" i="2"/>
  <c r="AB70" i="2"/>
  <c r="AB71" i="2"/>
  <c r="AF70" i="2"/>
  <c r="AF71" i="2"/>
  <c r="AF72" i="2"/>
  <c r="AF73" i="2"/>
  <c r="AK18" i="2"/>
  <c r="BH18" i="2"/>
  <c r="BI18" i="2"/>
  <c r="E20" i="4"/>
  <c r="D20" i="4"/>
  <c r="AB68" i="1"/>
  <c r="AB69" i="1"/>
  <c r="AB70" i="1"/>
  <c r="AB71" i="1"/>
  <c r="AF70" i="1"/>
  <c r="AF71" i="1"/>
  <c r="AF72" i="1"/>
  <c r="AF73" i="1"/>
  <c r="AK18" i="1"/>
  <c r="BJ18" i="1"/>
  <c r="BK18" i="1"/>
  <c r="C20" i="4"/>
  <c r="B20" i="4"/>
  <c r="AB64" i="3"/>
  <c r="AB65" i="3"/>
  <c r="AB66" i="3"/>
  <c r="AB67" i="3"/>
  <c r="AF66" i="3"/>
  <c r="AF67" i="3"/>
  <c r="AF68" i="3"/>
  <c r="AF69" i="3"/>
  <c r="AK17" i="3"/>
  <c r="BI17" i="3"/>
  <c r="BJ17" i="3"/>
  <c r="G19" i="4"/>
  <c r="F19" i="4"/>
  <c r="AB64" i="2"/>
  <c r="AB65" i="2"/>
  <c r="AB66" i="2"/>
  <c r="AB67" i="2"/>
  <c r="AF66" i="2"/>
  <c r="AF67" i="2"/>
  <c r="AF68" i="2"/>
  <c r="AF69" i="2"/>
  <c r="AK17" i="2"/>
  <c r="BH17" i="2"/>
  <c r="BI17" i="2"/>
  <c r="E19" i="4"/>
  <c r="D19" i="4"/>
  <c r="AB64" i="1"/>
  <c r="AB65" i="1"/>
  <c r="AB66" i="1"/>
  <c r="AB67" i="1"/>
  <c r="AF66" i="1"/>
  <c r="AF67" i="1"/>
  <c r="AF68" i="1"/>
  <c r="AF69" i="1"/>
  <c r="AK17" i="1"/>
  <c r="BJ17" i="1"/>
  <c r="BK17" i="1"/>
  <c r="C19" i="4"/>
  <c r="B19" i="4"/>
  <c r="AB60" i="3"/>
  <c r="AB61" i="3"/>
  <c r="AB62" i="3"/>
  <c r="AB63" i="3"/>
  <c r="AF62" i="3"/>
  <c r="AF63" i="3"/>
  <c r="AF64" i="3"/>
  <c r="AF65" i="3"/>
  <c r="AK16" i="3"/>
  <c r="BI16" i="3"/>
  <c r="BJ16" i="3"/>
  <c r="G18" i="4"/>
  <c r="F18" i="4"/>
  <c r="AB60" i="2"/>
  <c r="AB61" i="2"/>
  <c r="AB62" i="2"/>
  <c r="AB63" i="2"/>
  <c r="AF62" i="2"/>
  <c r="AF63" i="2"/>
  <c r="AF64" i="2"/>
  <c r="AF65" i="2"/>
  <c r="AK16" i="2"/>
  <c r="BH16" i="2"/>
  <c r="BI16" i="2"/>
  <c r="E18" i="4"/>
  <c r="D18" i="4"/>
  <c r="AB60" i="1"/>
  <c r="AB61" i="1"/>
  <c r="AB62" i="1"/>
  <c r="AB63" i="1"/>
  <c r="AF62" i="1"/>
  <c r="AF63" i="1"/>
  <c r="AF64" i="1"/>
  <c r="AF65" i="1"/>
  <c r="AK16" i="1"/>
  <c r="BJ16" i="1"/>
  <c r="BK16" i="1"/>
  <c r="C18" i="4"/>
  <c r="B18" i="4"/>
  <c r="AB56" i="3"/>
  <c r="AB57" i="3"/>
  <c r="AB58" i="3"/>
  <c r="AB59" i="3"/>
  <c r="AF58" i="3"/>
  <c r="AF59" i="3"/>
  <c r="AF60" i="3"/>
  <c r="AF61" i="3"/>
  <c r="AK15" i="3"/>
  <c r="BI15" i="3"/>
  <c r="BJ15" i="3"/>
  <c r="G17" i="4"/>
  <c r="F17" i="4"/>
  <c r="AB56" i="2"/>
  <c r="AB57" i="2"/>
  <c r="AB58" i="2"/>
  <c r="AB59" i="2"/>
  <c r="AF58" i="2"/>
  <c r="AF59" i="2"/>
  <c r="AF60" i="2"/>
  <c r="AF61" i="2"/>
  <c r="AK15" i="2"/>
  <c r="BH15" i="2"/>
  <c r="BI15" i="2"/>
  <c r="E17" i="4"/>
  <c r="D17" i="4"/>
  <c r="AB56" i="1"/>
  <c r="AB57" i="1"/>
  <c r="AB58" i="1"/>
  <c r="AB59" i="1"/>
  <c r="AF58" i="1"/>
  <c r="AF59" i="1"/>
  <c r="AF60" i="1"/>
  <c r="AF61" i="1"/>
  <c r="AK15" i="1"/>
  <c r="BJ15" i="1"/>
  <c r="BK15" i="1"/>
  <c r="C17" i="4"/>
  <c r="B17" i="4"/>
  <c r="AB52" i="3"/>
  <c r="AB53" i="3"/>
  <c r="AB54" i="3"/>
  <c r="AB55" i="3"/>
  <c r="AF54" i="3"/>
  <c r="AF55" i="3"/>
  <c r="AF56" i="3"/>
  <c r="AF57" i="3"/>
  <c r="AK14" i="3"/>
  <c r="BI14" i="3"/>
  <c r="BJ14" i="3"/>
  <c r="G16" i="4"/>
  <c r="F16" i="4"/>
  <c r="AB52" i="2"/>
  <c r="AB53" i="2"/>
  <c r="AB54" i="2"/>
  <c r="AB55" i="2"/>
  <c r="AF54" i="2"/>
  <c r="AF55" i="2"/>
  <c r="AF56" i="2"/>
  <c r="AF57" i="2"/>
  <c r="AK14" i="2"/>
  <c r="BH14" i="2"/>
  <c r="BI14" i="2"/>
  <c r="E16" i="4"/>
  <c r="D16" i="4"/>
  <c r="AB52" i="1"/>
  <c r="AB53" i="1"/>
  <c r="AB54" i="1"/>
  <c r="AB55" i="1"/>
  <c r="AF54" i="1"/>
  <c r="AF55" i="1"/>
  <c r="AF56" i="1"/>
  <c r="AF57" i="1"/>
  <c r="AK14" i="1"/>
  <c r="BJ14" i="1"/>
  <c r="BK14" i="1"/>
  <c r="C16" i="4"/>
  <c r="B16" i="4"/>
  <c r="AB48" i="3"/>
  <c r="AB49" i="3"/>
  <c r="AB50" i="3"/>
  <c r="AB51" i="3"/>
  <c r="AF50" i="3"/>
  <c r="AF51" i="3"/>
  <c r="AF52" i="3"/>
  <c r="AF53" i="3"/>
  <c r="AK13" i="3"/>
  <c r="BI13" i="3"/>
  <c r="BJ13" i="3"/>
  <c r="G15" i="4"/>
  <c r="F15" i="4"/>
  <c r="AB48" i="2"/>
  <c r="AB49" i="2"/>
  <c r="AB50" i="2"/>
  <c r="AB51" i="2"/>
  <c r="AF50" i="2"/>
  <c r="AF51" i="2"/>
  <c r="AF52" i="2"/>
  <c r="AF53" i="2"/>
  <c r="AK13" i="2"/>
  <c r="BH13" i="2"/>
  <c r="BI13" i="2"/>
  <c r="E15" i="4"/>
  <c r="D15" i="4"/>
  <c r="AB48" i="1"/>
  <c r="AB49" i="1"/>
  <c r="AB50" i="1"/>
  <c r="AB51" i="1"/>
  <c r="AF50" i="1"/>
  <c r="AF51" i="1"/>
  <c r="AF52" i="1"/>
  <c r="AF53" i="1"/>
  <c r="AK13" i="1"/>
  <c r="BJ13" i="1"/>
  <c r="BK13" i="1"/>
  <c r="C15" i="4"/>
  <c r="B15" i="4"/>
  <c r="AB44" i="3"/>
  <c r="AB45" i="3"/>
  <c r="AB46" i="3"/>
  <c r="AB47" i="3"/>
  <c r="AF46" i="3"/>
  <c r="AF47" i="3"/>
  <c r="AF48" i="3"/>
  <c r="AF49" i="3"/>
  <c r="AK12" i="3"/>
  <c r="BI12" i="3"/>
  <c r="BJ12" i="3"/>
  <c r="G14" i="4"/>
  <c r="F14" i="4"/>
  <c r="AB44" i="2"/>
  <c r="AB45" i="2"/>
  <c r="AB46" i="2"/>
  <c r="AB47" i="2"/>
  <c r="AF46" i="2"/>
  <c r="AF47" i="2"/>
  <c r="AF48" i="2"/>
  <c r="AF49" i="2"/>
  <c r="AK12" i="2"/>
  <c r="BH12" i="2"/>
  <c r="BI12" i="2"/>
  <c r="E14" i="4"/>
  <c r="D14" i="4"/>
  <c r="AB44" i="1"/>
  <c r="AB45" i="1"/>
  <c r="AB46" i="1"/>
  <c r="AB47" i="1"/>
  <c r="AF46" i="1"/>
  <c r="AF47" i="1"/>
  <c r="AF48" i="1"/>
  <c r="AF49" i="1"/>
  <c r="AK12" i="1"/>
  <c r="BJ12" i="1"/>
  <c r="BK12" i="1"/>
  <c r="C14" i="4"/>
  <c r="B14" i="4"/>
  <c r="AB40" i="3"/>
  <c r="AB41" i="3"/>
  <c r="AB42" i="3"/>
  <c r="AB43" i="3"/>
  <c r="AF42" i="3"/>
  <c r="AF43" i="3"/>
  <c r="AF44" i="3"/>
  <c r="AF45" i="3"/>
  <c r="AK11" i="3"/>
  <c r="BI11" i="3"/>
  <c r="BJ11" i="3"/>
  <c r="G13" i="4"/>
  <c r="F13" i="4"/>
  <c r="AB40" i="2"/>
  <c r="AB41" i="2"/>
  <c r="AB42" i="2"/>
  <c r="AB43" i="2"/>
  <c r="AF42" i="2"/>
  <c r="AF43" i="2"/>
  <c r="AF44" i="2"/>
  <c r="AF45" i="2"/>
  <c r="AK11" i="2"/>
  <c r="BH11" i="2"/>
  <c r="BI11" i="2"/>
  <c r="E13" i="4"/>
  <c r="D13" i="4"/>
  <c r="AB40" i="1"/>
  <c r="AB41" i="1"/>
  <c r="AB42" i="1"/>
  <c r="AB43" i="1"/>
  <c r="AF42" i="1"/>
  <c r="AF43" i="1"/>
  <c r="AF44" i="1"/>
  <c r="AF45" i="1"/>
  <c r="AK11" i="1"/>
  <c r="BJ11" i="1"/>
  <c r="BK11" i="1"/>
  <c r="C13" i="4"/>
  <c r="B13" i="4"/>
  <c r="AB36" i="3"/>
  <c r="AB37" i="3"/>
  <c r="AB38" i="3"/>
  <c r="AB39" i="3"/>
  <c r="AF38" i="3"/>
  <c r="AF39" i="3"/>
  <c r="AF40" i="3"/>
  <c r="AF41" i="3"/>
  <c r="AK10" i="3"/>
  <c r="BI10" i="3"/>
  <c r="BJ10" i="3"/>
  <c r="G12" i="4"/>
  <c r="F12" i="4"/>
  <c r="AB36" i="2"/>
  <c r="AB37" i="2"/>
  <c r="AB38" i="2"/>
  <c r="AB39" i="2"/>
  <c r="AF38" i="2"/>
  <c r="AF39" i="2"/>
  <c r="AF40" i="2"/>
  <c r="AF41" i="2"/>
  <c r="AK10" i="2"/>
  <c r="BH10" i="2"/>
  <c r="BI10" i="2"/>
  <c r="E12" i="4"/>
  <c r="D12" i="4"/>
  <c r="AB36" i="1"/>
  <c r="AB37" i="1"/>
  <c r="AB38" i="1"/>
  <c r="AB39" i="1"/>
  <c r="AF38" i="1"/>
  <c r="AF39" i="1"/>
  <c r="AF40" i="1"/>
  <c r="AF41" i="1"/>
  <c r="AK10" i="1"/>
  <c r="BJ10" i="1"/>
  <c r="BK10" i="1"/>
  <c r="C12" i="4"/>
  <c r="B12" i="4"/>
  <c r="AB32" i="3"/>
  <c r="AB33" i="3"/>
  <c r="AB34" i="3"/>
  <c r="AB35" i="3"/>
  <c r="AF34" i="3"/>
  <c r="AF35" i="3"/>
  <c r="AF36" i="3"/>
  <c r="AF37" i="3"/>
  <c r="AK9" i="3"/>
  <c r="BI9" i="3"/>
  <c r="BJ9" i="3"/>
  <c r="G11" i="4"/>
  <c r="F11" i="4"/>
  <c r="AB32" i="2"/>
  <c r="AB33" i="2"/>
  <c r="AB34" i="2"/>
  <c r="AB35" i="2"/>
  <c r="AF34" i="2"/>
  <c r="AF35" i="2"/>
  <c r="AF36" i="2"/>
  <c r="AF37" i="2"/>
  <c r="AK9" i="2"/>
  <c r="BH9" i="2"/>
  <c r="BI9" i="2"/>
  <c r="E11" i="4"/>
  <c r="D11" i="4"/>
  <c r="AB32" i="1"/>
  <c r="AB33" i="1"/>
  <c r="AB34" i="1"/>
  <c r="AB35" i="1"/>
  <c r="AF34" i="1"/>
  <c r="AF35" i="1"/>
  <c r="AF36" i="1"/>
  <c r="AF37" i="1"/>
  <c r="AK9" i="1"/>
  <c r="BJ9" i="1"/>
  <c r="BK9" i="1"/>
  <c r="C11" i="4"/>
  <c r="B11" i="4"/>
  <c r="AB28" i="3"/>
  <c r="AB29" i="3"/>
  <c r="AB30" i="3"/>
  <c r="AB31" i="3"/>
  <c r="AF30" i="3"/>
  <c r="AF31" i="3"/>
  <c r="AF32" i="3"/>
  <c r="AF33" i="3"/>
  <c r="AK8" i="3"/>
  <c r="BI8" i="3"/>
  <c r="BJ8" i="3"/>
  <c r="G10" i="4"/>
  <c r="F10" i="4"/>
  <c r="AB28" i="2"/>
  <c r="AB29" i="2"/>
  <c r="AB30" i="2"/>
  <c r="AB31" i="2"/>
  <c r="AF30" i="2"/>
  <c r="AF31" i="2"/>
  <c r="AF32" i="2"/>
  <c r="AF33" i="2"/>
  <c r="AK8" i="2"/>
  <c r="BH8" i="2"/>
  <c r="BI8" i="2"/>
  <c r="E10" i="4"/>
  <c r="D10" i="4"/>
  <c r="AB28" i="1"/>
  <c r="AB29" i="1"/>
  <c r="AB30" i="1"/>
  <c r="AB31" i="1"/>
  <c r="AF30" i="1"/>
  <c r="AF31" i="1"/>
  <c r="AF32" i="1"/>
  <c r="AF33" i="1"/>
  <c r="AK8" i="1"/>
  <c r="BJ8" i="1"/>
  <c r="BK8" i="1"/>
  <c r="C10" i="4"/>
  <c r="B10" i="4"/>
  <c r="AB24" i="3"/>
  <c r="AB25" i="3"/>
  <c r="AB26" i="3"/>
  <c r="AB27" i="3"/>
  <c r="AF26" i="3"/>
  <c r="AF27" i="3"/>
  <c r="AF28" i="3"/>
  <c r="AF29" i="3"/>
  <c r="AK7" i="3"/>
  <c r="BI7" i="3"/>
  <c r="BJ7" i="3"/>
  <c r="G9" i="4"/>
  <c r="F9" i="4"/>
  <c r="AB24" i="2"/>
  <c r="AB25" i="2"/>
  <c r="AB26" i="2"/>
  <c r="AB27" i="2"/>
  <c r="AF26" i="2"/>
  <c r="AF27" i="2"/>
  <c r="AF28" i="2"/>
  <c r="AF29" i="2"/>
  <c r="AK7" i="2"/>
  <c r="BH7" i="2"/>
  <c r="BI7" i="2"/>
  <c r="E9" i="4"/>
  <c r="D9" i="4"/>
  <c r="AB24" i="1"/>
  <c r="AB25" i="1"/>
  <c r="AB26" i="1"/>
  <c r="AB27" i="1"/>
  <c r="AF26" i="1"/>
  <c r="AF27" i="1"/>
  <c r="AF28" i="1"/>
  <c r="AF29" i="1"/>
  <c r="AK7" i="1"/>
  <c r="BJ7" i="1"/>
  <c r="BK7" i="1"/>
  <c r="C9" i="4"/>
  <c r="B9" i="4"/>
  <c r="AB20" i="3"/>
  <c r="AB21" i="3"/>
  <c r="AB22" i="3"/>
  <c r="AB23" i="3"/>
  <c r="AF22" i="3"/>
  <c r="AF23" i="3"/>
  <c r="AF24" i="3"/>
  <c r="AK6" i="3"/>
  <c r="BI6" i="3"/>
  <c r="BJ6" i="3"/>
  <c r="G8" i="4"/>
  <c r="F8" i="4"/>
  <c r="AB20" i="2"/>
  <c r="AB21" i="2"/>
  <c r="AB22" i="2"/>
  <c r="AB23" i="2"/>
  <c r="AF22" i="2"/>
  <c r="AF23" i="2"/>
  <c r="AF24" i="2"/>
  <c r="AK6" i="2"/>
  <c r="BH6" i="2"/>
  <c r="BI6" i="2"/>
  <c r="E8" i="4"/>
  <c r="D8" i="4"/>
  <c r="AB20" i="1"/>
  <c r="AB21" i="1"/>
  <c r="AB22" i="1"/>
  <c r="AB23" i="1"/>
  <c r="AF22" i="1"/>
  <c r="AF23" i="1"/>
  <c r="AF24" i="1"/>
  <c r="AK6" i="1"/>
  <c r="BJ6" i="1"/>
  <c r="BK6" i="1"/>
  <c r="C8" i="4"/>
  <c r="B8" i="4"/>
  <c r="AB16" i="3"/>
  <c r="AB17" i="3"/>
  <c r="AB18" i="3"/>
  <c r="AB19" i="3"/>
  <c r="AF18" i="3"/>
  <c r="AF19" i="3"/>
  <c r="AF20" i="3"/>
  <c r="AF21" i="3"/>
  <c r="AK5" i="3"/>
  <c r="BI5" i="3"/>
  <c r="BJ5" i="3"/>
  <c r="G7" i="4"/>
  <c r="F7" i="4"/>
  <c r="AB16" i="2"/>
  <c r="AB17" i="2"/>
  <c r="AB18" i="2"/>
  <c r="AB19" i="2"/>
  <c r="AF18" i="2"/>
  <c r="AF19" i="2"/>
  <c r="AF20" i="2"/>
  <c r="AF21" i="2"/>
  <c r="AK5" i="2"/>
  <c r="BH5" i="2"/>
  <c r="BI5" i="2"/>
  <c r="E7" i="4"/>
  <c r="D7" i="4"/>
  <c r="AB16" i="1"/>
  <c r="AB17" i="1"/>
  <c r="AB18" i="1"/>
  <c r="AB19" i="1"/>
  <c r="AF18" i="1"/>
  <c r="AF19" i="1"/>
  <c r="AF20" i="1"/>
  <c r="AF21" i="1"/>
  <c r="AK5" i="1"/>
  <c r="BJ5" i="1"/>
  <c r="BK5" i="1"/>
  <c r="C7" i="4"/>
  <c r="B7" i="4"/>
  <c r="AA7" i="3"/>
  <c r="AA8" i="3"/>
  <c r="AB14" i="3"/>
  <c r="AB15" i="3"/>
  <c r="AF14" i="3"/>
  <c r="AF15" i="3"/>
  <c r="AF16" i="3"/>
  <c r="AF17" i="3"/>
  <c r="AK4" i="3"/>
  <c r="BI4" i="3"/>
  <c r="BJ4" i="3"/>
  <c r="G6" i="4"/>
  <c r="F6" i="4"/>
  <c r="AB14" i="2"/>
  <c r="AB15" i="2"/>
  <c r="AA8" i="2"/>
  <c r="AA7" i="2"/>
  <c r="AF14" i="2"/>
  <c r="AF15" i="2"/>
  <c r="AF16" i="2"/>
  <c r="AF17" i="2"/>
  <c r="AK4" i="2"/>
  <c r="BH4" i="2"/>
  <c r="BI4" i="2"/>
  <c r="E6" i="4"/>
  <c r="D6" i="4"/>
  <c r="AB14" i="1"/>
  <c r="AB15" i="1"/>
  <c r="AA7" i="1"/>
  <c r="AA8" i="1"/>
  <c r="AF14" i="1"/>
  <c r="AF15" i="1"/>
  <c r="AF16" i="1"/>
  <c r="AF17" i="1"/>
  <c r="AK4" i="1"/>
  <c r="BJ4" i="1"/>
  <c r="BK4" i="1"/>
  <c r="C6" i="4"/>
  <c r="B6" i="4"/>
  <c r="AA3" i="3"/>
  <c r="AA4" i="3"/>
  <c r="AA5" i="3"/>
  <c r="AA6" i="3"/>
  <c r="AF3" i="3"/>
  <c r="AF4" i="3"/>
  <c r="AF5" i="3"/>
  <c r="AF6" i="3"/>
  <c r="AK3" i="3"/>
  <c r="BI3" i="3"/>
  <c r="BJ3" i="3"/>
  <c r="G5" i="4"/>
  <c r="F5" i="4"/>
  <c r="AA3" i="2"/>
  <c r="AA4" i="2"/>
  <c r="AA5" i="2"/>
  <c r="AA6" i="2"/>
  <c r="AF3" i="2"/>
  <c r="AF4" i="2"/>
  <c r="AF5" i="2"/>
  <c r="AF6" i="2"/>
  <c r="AK3" i="2"/>
  <c r="BH3" i="2"/>
  <c r="BI3" i="2"/>
  <c r="E5" i="4"/>
  <c r="D5" i="4"/>
  <c r="AA3" i="1"/>
  <c r="AA4" i="1"/>
  <c r="AA5" i="1"/>
  <c r="AA6" i="1"/>
  <c r="AF3" i="1"/>
  <c r="AF4" i="1"/>
  <c r="AF5" i="1"/>
  <c r="AF6" i="1"/>
  <c r="AK3" i="1"/>
  <c r="BJ3" i="1"/>
  <c r="BK3" i="1"/>
  <c r="C5" i="4"/>
  <c r="B5" i="4"/>
  <c r="AH33" i="1"/>
  <c r="AH37" i="1"/>
  <c r="AH41" i="1"/>
  <c r="AH45" i="1"/>
  <c r="AH49" i="1"/>
  <c r="AH53" i="1"/>
  <c r="AH57" i="1"/>
  <c r="AH61" i="1"/>
  <c r="AH65" i="1"/>
  <c r="AH69" i="1"/>
  <c r="AH73" i="1"/>
  <c r="AH77" i="1"/>
  <c r="AH81" i="1"/>
  <c r="AH85" i="1"/>
  <c r="AH89" i="1"/>
  <c r="AH93" i="1"/>
  <c r="AH97" i="1"/>
  <c r="AH101" i="1"/>
  <c r="AH105" i="1"/>
  <c r="AH109" i="1"/>
  <c r="AH113" i="1"/>
  <c r="AH117" i="1"/>
  <c r="AH119" i="1"/>
  <c r="AH120" i="3"/>
  <c r="AH33" i="2"/>
  <c r="AH37" i="2"/>
  <c r="AH41" i="2"/>
  <c r="AH45" i="2"/>
  <c r="AH49" i="2"/>
  <c r="AH53" i="2"/>
  <c r="AH57" i="2"/>
  <c r="AH61" i="2"/>
  <c r="AH65" i="2"/>
  <c r="AH69" i="2"/>
  <c r="AH73" i="2"/>
  <c r="AH77" i="2"/>
  <c r="AH81" i="2"/>
  <c r="AH85" i="2"/>
  <c r="AH89" i="2"/>
  <c r="AH93" i="2"/>
  <c r="AH97" i="2"/>
  <c r="AH101" i="2"/>
  <c r="AH105" i="2"/>
  <c r="AH109" i="2"/>
  <c r="AH113" i="2"/>
  <c r="AH117" i="2"/>
  <c r="AH119" i="2"/>
  <c r="AH121" i="3"/>
  <c r="AI121" i="3"/>
  <c r="AH33" i="3"/>
  <c r="AH37" i="3"/>
  <c r="AH41" i="3"/>
  <c r="AH45" i="3"/>
  <c r="AH49" i="3"/>
  <c r="AH53" i="3"/>
  <c r="AH57" i="3"/>
  <c r="AH61" i="3"/>
  <c r="AH65" i="3"/>
  <c r="AH69" i="3"/>
  <c r="AH73" i="3"/>
  <c r="AH77" i="3"/>
  <c r="AH81" i="3"/>
  <c r="AH85" i="3"/>
  <c r="AH89" i="3"/>
  <c r="AH93" i="3"/>
  <c r="AH97" i="3"/>
  <c r="AH101" i="3"/>
  <c r="AH105" i="3"/>
  <c r="AH109" i="3"/>
  <c r="AH113" i="3"/>
  <c r="AH117" i="3"/>
  <c r="AH119" i="3"/>
  <c r="AI120" i="3"/>
  <c r="BD117" i="3"/>
  <c r="AI117" i="3"/>
  <c r="AG117" i="3"/>
  <c r="BD116" i="3"/>
  <c r="AI116" i="3"/>
  <c r="AG116" i="3"/>
  <c r="BD115" i="3"/>
  <c r="BA24" i="3"/>
  <c r="BA25" i="3"/>
  <c r="BA26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52" i="3"/>
  <c r="BA53" i="3"/>
  <c r="BA54" i="3"/>
  <c r="BA55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77" i="3"/>
  <c r="BA78" i="3"/>
  <c r="BA79" i="3"/>
  <c r="BA80" i="3"/>
  <c r="BA81" i="3"/>
  <c r="BA82" i="3"/>
  <c r="BA83" i="3"/>
  <c r="BA84" i="3"/>
  <c r="BA85" i="3"/>
  <c r="BA86" i="3"/>
  <c r="BA87" i="3"/>
  <c r="BA88" i="3"/>
  <c r="BA89" i="3"/>
  <c r="BA90" i="3"/>
  <c r="BA91" i="3"/>
  <c r="BA92" i="3"/>
  <c r="BA93" i="3"/>
  <c r="BA94" i="3"/>
  <c r="BA95" i="3"/>
  <c r="BA96" i="3"/>
  <c r="BA97" i="3"/>
  <c r="BA98" i="3"/>
  <c r="BA99" i="3"/>
  <c r="BA100" i="3"/>
  <c r="BA101" i="3"/>
  <c r="BA102" i="3"/>
  <c r="BA103" i="3"/>
  <c r="BA104" i="3"/>
  <c r="BA105" i="3"/>
  <c r="BA106" i="3"/>
  <c r="BA107" i="3"/>
  <c r="BA108" i="3"/>
  <c r="BA109" i="3"/>
  <c r="BA110" i="3"/>
  <c r="BA111" i="3"/>
  <c r="BA112" i="3"/>
  <c r="BA113" i="3"/>
  <c r="BA114" i="3"/>
  <c r="BA115" i="3"/>
  <c r="AI115" i="3"/>
  <c r="AG115" i="3"/>
  <c r="Z1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79" i="3"/>
  <c r="B83" i="3"/>
  <c r="B87" i="3"/>
  <c r="B91" i="3"/>
  <c r="B95" i="3"/>
  <c r="B99" i="3"/>
  <c r="B103" i="3"/>
  <c r="B107" i="3"/>
  <c r="B111" i="3"/>
  <c r="B1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07" i="3"/>
  <c r="A111" i="3"/>
  <c r="A115" i="3"/>
  <c r="BD114" i="3"/>
  <c r="AI114" i="3"/>
  <c r="AG114" i="3"/>
  <c r="Z1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A18" i="3"/>
  <c r="A22" i="3"/>
  <c r="A26" i="3"/>
  <c r="A30" i="3"/>
  <c r="A34" i="3"/>
  <c r="A38" i="3"/>
  <c r="A42" i="3"/>
  <c r="A46" i="3"/>
  <c r="A50" i="3"/>
  <c r="A54" i="3"/>
  <c r="A58" i="3"/>
  <c r="A62" i="3"/>
  <c r="A66" i="3"/>
  <c r="A70" i="3"/>
  <c r="A74" i="3"/>
  <c r="A78" i="3"/>
  <c r="A82" i="3"/>
  <c r="A86" i="3"/>
  <c r="A90" i="3"/>
  <c r="A94" i="3"/>
  <c r="A98" i="3"/>
  <c r="A102" i="3"/>
  <c r="A106" i="3"/>
  <c r="A110" i="3"/>
  <c r="A114" i="3"/>
  <c r="BD113" i="3"/>
  <c r="AI113" i="3"/>
  <c r="AG113" i="3"/>
  <c r="Z113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BD112" i="3"/>
  <c r="AI112" i="3"/>
  <c r="AG112" i="3"/>
  <c r="Z112" i="3"/>
  <c r="B20" i="3"/>
  <c r="B24" i="3"/>
  <c r="B28" i="3"/>
  <c r="B32" i="3"/>
  <c r="B36" i="3"/>
  <c r="B40" i="3"/>
  <c r="B44" i="3"/>
  <c r="B48" i="3"/>
  <c r="B52" i="3"/>
  <c r="B56" i="3"/>
  <c r="B60" i="3"/>
  <c r="B64" i="3"/>
  <c r="B68" i="3"/>
  <c r="B72" i="3"/>
  <c r="B76" i="3"/>
  <c r="B80" i="3"/>
  <c r="B84" i="3"/>
  <c r="B88" i="3"/>
  <c r="B92" i="3"/>
  <c r="B96" i="3"/>
  <c r="B100" i="3"/>
  <c r="B104" i="3"/>
  <c r="B108" i="3"/>
  <c r="B112" i="3"/>
  <c r="A20" i="3"/>
  <c r="A24" i="3"/>
  <c r="A28" i="3"/>
  <c r="A32" i="3"/>
  <c r="A36" i="3"/>
  <c r="A40" i="3"/>
  <c r="A44" i="3"/>
  <c r="A48" i="3"/>
  <c r="A52" i="3"/>
  <c r="A56" i="3"/>
  <c r="A60" i="3"/>
  <c r="A64" i="3"/>
  <c r="A68" i="3"/>
  <c r="A72" i="3"/>
  <c r="A76" i="3"/>
  <c r="A80" i="3"/>
  <c r="A84" i="3"/>
  <c r="A88" i="3"/>
  <c r="A92" i="3"/>
  <c r="A96" i="3"/>
  <c r="A100" i="3"/>
  <c r="A104" i="3"/>
  <c r="A108" i="3"/>
  <c r="A112" i="3"/>
  <c r="BD111" i="3"/>
  <c r="AI111" i="3"/>
  <c r="AG111" i="3"/>
  <c r="Z111" i="3"/>
  <c r="BD110" i="3"/>
  <c r="AI110" i="3"/>
  <c r="AG110" i="3"/>
  <c r="Z110" i="3"/>
  <c r="BD109" i="3"/>
  <c r="AI109" i="3"/>
  <c r="AG109" i="3"/>
  <c r="Z109" i="3"/>
  <c r="BD108" i="3"/>
  <c r="AI108" i="3"/>
  <c r="AG108" i="3"/>
  <c r="Z108" i="3"/>
  <c r="BD107" i="3"/>
  <c r="AI107" i="3"/>
  <c r="AG107" i="3"/>
  <c r="Z107" i="3"/>
  <c r="BD106" i="3"/>
  <c r="AI106" i="3"/>
  <c r="AG106" i="3"/>
  <c r="Z106" i="3"/>
  <c r="BD105" i="3"/>
  <c r="AI105" i="3"/>
  <c r="AG105" i="3"/>
  <c r="Z105" i="3"/>
  <c r="BD104" i="3"/>
  <c r="AI104" i="3"/>
  <c r="AG104" i="3"/>
  <c r="Z104" i="3"/>
  <c r="BD103" i="3"/>
  <c r="AI103" i="3"/>
  <c r="AG103" i="3"/>
  <c r="Z103" i="3"/>
  <c r="BD102" i="3"/>
  <c r="AI102" i="3"/>
  <c r="AG102" i="3"/>
  <c r="Z102" i="3"/>
  <c r="BD101" i="3"/>
  <c r="AI101" i="3"/>
  <c r="AG101" i="3"/>
  <c r="Z101" i="3"/>
  <c r="BD100" i="3"/>
  <c r="AI100" i="3"/>
  <c r="AG100" i="3"/>
  <c r="Z100" i="3"/>
  <c r="BD99" i="3"/>
  <c r="AI99" i="3"/>
  <c r="AG99" i="3"/>
  <c r="Z99" i="3"/>
  <c r="BD98" i="3"/>
  <c r="AI98" i="3"/>
  <c r="AG98" i="3"/>
  <c r="Z98" i="3"/>
  <c r="BD97" i="3"/>
  <c r="AI97" i="3"/>
  <c r="AG97" i="3"/>
  <c r="Z97" i="3"/>
  <c r="BD96" i="3"/>
  <c r="AI96" i="3"/>
  <c r="AG96" i="3"/>
  <c r="Z96" i="3"/>
  <c r="BD95" i="3"/>
  <c r="AI95" i="3"/>
  <c r="AG95" i="3"/>
  <c r="Z95" i="3"/>
  <c r="BD94" i="3"/>
  <c r="AI94" i="3"/>
  <c r="AG94" i="3"/>
  <c r="Z94" i="3"/>
  <c r="BD93" i="3"/>
  <c r="AI93" i="3"/>
  <c r="AG93" i="3"/>
  <c r="Z93" i="3"/>
  <c r="BD92" i="3"/>
  <c r="AI92" i="3"/>
  <c r="AG92" i="3"/>
  <c r="Z92" i="3"/>
  <c r="BD91" i="3"/>
  <c r="AI91" i="3"/>
  <c r="AG91" i="3"/>
  <c r="Z91" i="3"/>
  <c r="BD90" i="3"/>
  <c r="AI90" i="3"/>
  <c r="AG90" i="3"/>
  <c r="Z90" i="3"/>
  <c r="BD89" i="3"/>
  <c r="AI89" i="3"/>
  <c r="AG89" i="3"/>
  <c r="Z89" i="3"/>
  <c r="BD88" i="3"/>
  <c r="AI88" i="3"/>
  <c r="AG88" i="3"/>
  <c r="Z88" i="3"/>
  <c r="BD87" i="3"/>
  <c r="AI87" i="3"/>
  <c r="AG87" i="3"/>
  <c r="Z87" i="3"/>
  <c r="BD86" i="3"/>
  <c r="AI86" i="3"/>
  <c r="AG86" i="3"/>
  <c r="Z86" i="3"/>
  <c r="BD85" i="3"/>
  <c r="AI85" i="3"/>
  <c r="AG85" i="3"/>
  <c r="Z85" i="3"/>
  <c r="BD84" i="3"/>
  <c r="AI84" i="3"/>
  <c r="AG84" i="3"/>
  <c r="Z84" i="3"/>
  <c r="BD83" i="3"/>
  <c r="AI83" i="3"/>
  <c r="AG83" i="3"/>
  <c r="Z83" i="3"/>
  <c r="BD82" i="3"/>
  <c r="AI82" i="3"/>
  <c r="AG82" i="3"/>
  <c r="Z82" i="3"/>
  <c r="BD81" i="3"/>
  <c r="AI81" i="3"/>
  <c r="AG81" i="3"/>
  <c r="Z81" i="3"/>
  <c r="BD80" i="3"/>
  <c r="AI80" i="3"/>
  <c r="AG80" i="3"/>
  <c r="Z80" i="3"/>
  <c r="BD79" i="3"/>
  <c r="AI79" i="3"/>
  <c r="AG79" i="3"/>
  <c r="Z79" i="3"/>
  <c r="BD78" i="3"/>
  <c r="AI78" i="3"/>
  <c r="AG78" i="3"/>
  <c r="Z78" i="3"/>
  <c r="BD77" i="3"/>
  <c r="AI77" i="3"/>
  <c r="AG77" i="3"/>
  <c r="Z77" i="3"/>
  <c r="BD76" i="3"/>
  <c r="AI76" i="3"/>
  <c r="AG76" i="3"/>
  <c r="Z76" i="3"/>
  <c r="BD75" i="3"/>
  <c r="AI75" i="3"/>
  <c r="AG75" i="3"/>
  <c r="Z75" i="3"/>
  <c r="BD74" i="3"/>
  <c r="AI74" i="3"/>
  <c r="AG74" i="3"/>
  <c r="Z74" i="3"/>
  <c r="BD73" i="3"/>
  <c r="AI73" i="3"/>
  <c r="AG73" i="3"/>
  <c r="Z73" i="3"/>
  <c r="BD72" i="3"/>
  <c r="AI72" i="3"/>
  <c r="AG72" i="3"/>
  <c r="Z72" i="3"/>
  <c r="BD71" i="3"/>
  <c r="AI71" i="3"/>
  <c r="AG71" i="3"/>
  <c r="Z71" i="3"/>
  <c r="BD70" i="3"/>
  <c r="AI70" i="3"/>
  <c r="AG70" i="3"/>
  <c r="Z70" i="3"/>
  <c r="BD69" i="3"/>
  <c r="AI69" i="3"/>
  <c r="AG69" i="3"/>
  <c r="Z69" i="3"/>
  <c r="BD68" i="3"/>
  <c r="AI68" i="3"/>
  <c r="AG68" i="3"/>
  <c r="Z68" i="3"/>
  <c r="BD67" i="3"/>
  <c r="AI67" i="3"/>
  <c r="AG67" i="3"/>
  <c r="Z67" i="3"/>
  <c r="BD66" i="3"/>
  <c r="AI66" i="3"/>
  <c r="AG66" i="3"/>
  <c r="Z66" i="3"/>
  <c r="BD65" i="3"/>
  <c r="AI65" i="3"/>
  <c r="AG65" i="3"/>
  <c r="Z65" i="3"/>
  <c r="BD64" i="3"/>
  <c r="AI64" i="3"/>
  <c r="AG64" i="3"/>
  <c r="Z64" i="3"/>
  <c r="BD63" i="3"/>
  <c r="AI63" i="3"/>
  <c r="AG63" i="3"/>
  <c r="Z63" i="3"/>
  <c r="BD62" i="3"/>
  <c r="AI62" i="3"/>
  <c r="AG62" i="3"/>
  <c r="Z62" i="3"/>
  <c r="BD61" i="3"/>
  <c r="AI61" i="3"/>
  <c r="AG61" i="3"/>
  <c r="Z61" i="3"/>
  <c r="BD60" i="3"/>
  <c r="AI60" i="3"/>
  <c r="AG60" i="3"/>
  <c r="Z60" i="3"/>
  <c r="BD59" i="3"/>
  <c r="AI59" i="3"/>
  <c r="AG59" i="3"/>
  <c r="Z59" i="3"/>
  <c r="BD58" i="3"/>
  <c r="AI58" i="3"/>
  <c r="AG58" i="3"/>
  <c r="Z58" i="3"/>
  <c r="BD57" i="3"/>
  <c r="AI57" i="3"/>
  <c r="AG57" i="3"/>
  <c r="Z57" i="3"/>
  <c r="BD56" i="3"/>
  <c r="AI56" i="3"/>
  <c r="AG56" i="3"/>
  <c r="Z56" i="3"/>
  <c r="BD55" i="3"/>
  <c r="AI55" i="3"/>
  <c r="AG55" i="3"/>
  <c r="Z55" i="3"/>
  <c r="BD54" i="3"/>
  <c r="AI54" i="3"/>
  <c r="AG54" i="3"/>
  <c r="Z54" i="3"/>
  <c r="BD53" i="3"/>
  <c r="AI53" i="3"/>
  <c r="AG53" i="3"/>
  <c r="Z53" i="3"/>
  <c r="BD52" i="3"/>
  <c r="AI52" i="3"/>
  <c r="AG52" i="3"/>
  <c r="Z52" i="3"/>
  <c r="BD51" i="3"/>
  <c r="AI51" i="3"/>
  <c r="AG51" i="3"/>
  <c r="Z51" i="3"/>
  <c r="BD50" i="3"/>
  <c r="AI50" i="3"/>
  <c r="AG50" i="3"/>
  <c r="Z50" i="3"/>
  <c r="BD49" i="3"/>
  <c r="AI49" i="3"/>
  <c r="AG49" i="3"/>
  <c r="Z49" i="3"/>
  <c r="BD48" i="3"/>
  <c r="AI48" i="3"/>
  <c r="AG48" i="3"/>
  <c r="Z48" i="3"/>
  <c r="BD47" i="3"/>
  <c r="AI47" i="3"/>
  <c r="AG47" i="3"/>
  <c r="Z47" i="3"/>
  <c r="BD46" i="3"/>
  <c r="AI46" i="3"/>
  <c r="AG46" i="3"/>
  <c r="Z46" i="3"/>
  <c r="BD45" i="3"/>
  <c r="AI45" i="3"/>
  <c r="AG45" i="3"/>
  <c r="Z45" i="3"/>
  <c r="BD44" i="3"/>
  <c r="AI44" i="3"/>
  <c r="AG44" i="3"/>
  <c r="Z44" i="3"/>
  <c r="BD43" i="3"/>
  <c r="AI43" i="3"/>
  <c r="AG43" i="3"/>
  <c r="Z43" i="3"/>
  <c r="BD42" i="3"/>
  <c r="AI42" i="3"/>
  <c r="AG42" i="3"/>
  <c r="Z42" i="3"/>
  <c r="BD41" i="3"/>
  <c r="AI41" i="3"/>
  <c r="AG41" i="3"/>
  <c r="Z41" i="3"/>
  <c r="BD40" i="3"/>
  <c r="AI40" i="3"/>
  <c r="AG40" i="3"/>
  <c r="Z40" i="3"/>
  <c r="BD39" i="3"/>
  <c r="AI39" i="3"/>
  <c r="AG39" i="3"/>
  <c r="Z39" i="3"/>
  <c r="BD38" i="3"/>
  <c r="AI38" i="3"/>
  <c r="AG38" i="3"/>
  <c r="Z38" i="3"/>
  <c r="BD37" i="3"/>
  <c r="AI37" i="3"/>
  <c r="AG37" i="3"/>
  <c r="Z37" i="3"/>
  <c r="BD36" i="3"/>
  <c r="AI36" i="3"/>
  <c r="AG36" i="3"/>
  <c r="Z36" i="3"/>
  <c r="BD35" i="3"/>
  <c r="AI35" i="3"/>
  <c r="AG35" i="3"/>
  <c r="Z35" i="3"/>
  <c r="BD34" i="3"/>
  <c r="AI34" i="3"/>
  <c r="AG34" i="3"/>
  <c r="Z34" i="3"/>
  <c r="BD33" i="3"/>
  <c r="AI33" i="3"/>
  <c r="AG33" i="3"/>
  <c r="Z33" i="3"/>
  <c r="BD32" i="3"/>
  <c r="AI32" i="3"/>
  <c r="AG32" i="3"/>
  <c r="Z32" i="3"/>
  <c r="BD31" i="3"/>
  <c r="AI31" i="3"/>
  <c r="AG31" i="3"/>
  <c r="Z31" i="3"/>
  <c r="BD30" i="3"/>
  <c r="AN7" i="3"/>
  <c r="AP7" i="3"/>
  <c r="AN8" i="3"/>
  <c r="AO7" i="3"/>
  <c r="AO8" i="3"/>
  <c r="AQ8" i="3"/>
  <c r="AN9" i="3"/>
  <c r="AQ9" i="3"/>
  <c r="AN10" i="3"/>
  <c r="AQ10" i="3"/>
  <c r="AN11" i="3"/>
  <c r="AQ11" i="3"/>
  <c r="AN12" i="3"/>
  <c r="AQ12" i="3"/>
  <c r="AN13" i="3"/>
  <c r="AQ13" i="3"/>
  <c r="AN14" i="3"/>
  <c r="AQ14" i="3"/>
  <c r="AN15" i="3"/>
  <c r="AQ15" i="3"/>
  <c r="AN16" i="3"/>
  <c r="AQ16" i="3"/>
  <c r="AN17" i="3"/>
  <c r="AQ17" i="3"/>
  <c r="AN18" i="3"/>
  <c r="AQ18" i="3"/>
  <c r="AN19" i="3"/>
  <c r="AQ19" i="3"/>
  <c r="AN20" i="3"/>
  <c r="AQ20" i="3"/>
  <c r="AN21" i="3"/>
  <c r="AQ21" i="3"/>
  <c r="AN22" i="3"/>
  <c r="AQ22" i="3"/>
  <c r="AN23" i="3"/>
  <c r="AQ23" i="3"/>
  <c r="AN24" i="3"/>
  <c r="AQ24" i="3"/>
  <c r="AN25" i="3"/>
  <c r="AQ25" i="3"/>
  <c r="AN26" i="3"/>
  <c r="AQ26" i="3"/>
  <c r="AN27" i="3"/>
  <c r="AQ27" i="3"/>
  <c r="AN28" i="3"/>
  <c r="AQ28" i="3"/>
  <c r="AN29" i="3"/>
  <c r="AQ29" i="3"/>
  <c r="AQ6" i="3"/>
  <c r="AQ30" i="3"/>
  <c r="AI30" i="3"/>
  <c r="AG30" i="3"/>
  <c r="Z30" i="3"/>
  <c r="C24" i="3"/>
  <c r="C25" i="3"/>
  <c r="C26" i="3"/>
  <c r="C27" i="3"/>
  <c r="C30" i="3"/>
  <c r="BH29" i="3"/>
  <c r="BK29" i="3"/>
  <c r="BG29" i="3"/>
  <c r="BF29" i="3"/>
  <c r="BE7" i="3"/>
  <c r="BE8" i="3"/>
  <c r="BE9" i="3"/>
  <c r="BE10" i="3"/>
  <c r="BE11" i="3"/>
  <c r="BE12" i="3"/>
  <c r="BE13" i="3"/>
  <c r="BE14" i="3"/>
  <c r="BE15" i="3"/>
  <c r="BE16" i="3"/>
  <c r="BE17" i="3"/>
  <c r="BE18" i="3"/>
  <c r="BE19" i="3"/>
  <c r="BE20" i="3"/>
  <c r="BE21" i="3"/>
  <c r="BE22" i="3"/>
  <c r="BE23" i="3"/>
  <c r="BE24" i="3"/>
  <c r="BE25" i="3"/>
  <c r="BE26" i="3"/>
  <c r="BE27" i="3"/>
  <c r="BE28" i="3"/>
  <c r="BE29" i="3"/>
  <c r="BD29" i="3"/>
  <c r="AS29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R29" i="3"/>
  <c r="AM29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I29" i="3"/>
  <c r="AG29" i="3"/>
  <c r="Z29" i="3"/>
  <c r="BH28" i="3"/>
  <c r="BK28" i="3"/>
  <c r="BG28" i="3"/>
  <c r="BF28" i="3"/>
  <c r="BD28" i="3"/>
  <c r="AS28" i="3"/>
  <c r="AR28" i="3"/>
  <c r="AM28" i="3"/>
  <c r="AI28" i="3"/>
  <c r="AG28" i="3"/>
  <c r="Z28" i="3"/>
  <c r="BH27" i="3"/>
  <c r="BK27" i="3"/>
  <c r="BG27" i="3"/>
  <c r="BF27" i="3"/>
  <c r="BD27" i="3"/>
  <c r="AS27" i="3"/>
  <c r="AR27" i="3"/>
  <c r="AM27" i="3"/>
  <c r="AI27" i="3"/>
  <c r="AG27" i="3"/>
  <c r="Z27" i="3"/>
  <c r="BH26" i="3"/>
  <c r="BK26" i="3"/>
  <c r="BG26" i="3"/>
  <c r="BF26" i="3"/>
  <c r="BD26" i="3"/>
  <c r="AS26" i="3"/>
  <c r="AR26" i="3"/>
  <c r="AM26" i="3"/>
  <c r="AI26" i="3"/>
  <c r="AG26" i="3"/>
  <c r="Z26" i="3"/>
  <c r="BH25" i="3"/>
  <c r="BK25" i="3"/>
  <c r="BG25" i="3"/>
  <c r="BF25" i="3"/>
  <c r="BD25" i="3"/>
  <c r="AS25" i="3"/>
  <c r="AR25" i="3"/>
  <c r="AM25" i="3"/>
  <c r="AI25" i="3"/>
  <c r="Z25" i="3"/>
  <c r="BH24" i="3"/>
  <c r="BK24" i="3"/>
  <c r="BG24" i="3"/>
  <c r="BF24" i="3"/>
  <c r="BD24" i="3"/>
  <c r="AS24" i="3"/>
  <c r="AR24" i="3"/>
  <c r="AM24" i="3"/>
  <c r="AI24" i="3"/>
  <c r="Z24" i="3"/>
  <c r="BH23" i="3"/>
  <c r="BK23" i="3"/>
  <c r="BG23" i="3"/>
  <c r="BF23" i="3"/>
  <c r="BD23" i="3"/>
  <c r="AZ23" i="3"/>
  <c r="AX23" i="3"/>
  <c r="AS23" i="3"/>
  <c r="AR23" i="3"/>
  <c r="AM23" i="3"/>
  <c r="AI23" i="3"/>
  <c r="Z23" i="3"/>
  <c r="BH22" i="3"/>
  <c r="BK22" i="3"/>
  <c r="BG22" i="3"/>
  <c r="BF22" i="3"/>
  <c r="BD22" i="3"/>
  <c r="AZ22" i="3"/>
  <c r="AX22" i="3"/>
  <c r="AS22" i="3"/>
  <c r="AR22" i="3"/>
  <c r="AM22" i="3"/>
  <c r="AI22" i="3"/>
  <c r="Z22" i="3"/>
  <c r="BH21" i="3"/>
  <c r="BK21" i="3"/>
  <c r="BG21" i="3"/>
  <c r="BF21" i="3"/>
  <c r="BD21" i="3"/>
  <c r="AZ21" i="3"/>
  <c r="AX21" i="3"/>
  <c r="AS21" i="3"/>
  <c r="AR21" i="3"/>
  <c r="AM21" i="3"/>
  <c r="AI21" i="3"/>
  <c r="Z21" i="3"/>
  <c r="BH20" i="3"/>
  <c r="BK20" i="3"/>
  <c r="BG20" i="3"/>
  <c r="BF20" i="3"/>
  <c r="BD20" i="3"/>
  <c r="AZ20" i="3"/>
  <c r="AX20" i="3"/>
  <c r="AS20" i="3"/>
  <c r="AR20" i="3"/>
  <c r="AM20" i="3"/>
  <c r="AI20" i="3"/>
  <c r="Z20" i="3"/>
  <c r="BH19" i="3"/>
  <c r="BK19" i="3"/>
  <c r="BG19" i="3"/>
  <c r="BF19" i="3"/>
  <c r="BD19" i="3"/>
  <c r="AZ19" i="3"/>
  <c r="AX19" i="3"/>
  <c r="AS19" i="3"/>
  <c r="AR19" i="3"/>
  <c r="AM19" i="3"/>
  <c r="AI19" i="3"/>
  <c r="Z19" i="3"/>
  <c r="BH18" i="3"/>
  <c r="BK18" i="3"/>
  <c r="BG18" i="3"/>
  <c r="BF18" i="3"/>
  <c r="BD18" i="3"/>
  <c r="AZ18" i="3"/>
  <c r="AX18" i="3"/>
  <c r="AS18" i="3"/>
  <c r="AR18" i="3"/>
  <c r="AM18" i="3"/>
  <c r="AI18" i="3"/>
  <c r="Z18" i="3"/>
  <c r="BH17" i="3"/>
  <c r="BK17" i="3"/>
  <c r="BG17" i="3"/>
  <c r="BF17" i="3"/>
  <c r="BD17" i="3"/>
  <c r="AZ17" i="3"/>
  <c r="AX17" i="3"/>
  <c r="AS17" i="3"/>
  <c r="AR17" i="3"/>
  <c r="AM17" i="3"/>
  <c r="AI17" i="3"/>
  <c r="Z17" i="3"/>
  <c r="BH16" i="3"/>
  <c r="BK16" i="3"/>
  <c r="BG16" i="3"/>
  <c r="BF16" i="3"/>
  <c r="BD16" i="3"/>
  <c r="AZ16" i="3"/>
  <c r="AX16" i="3"/>
  <c r="AS16" i="3"/>
  <c r="AR16" i="3"/>
  <c r="AM16" i="3"/>
  <c r="AI16" i="3"/>
  <c r="Z16" i="3"/>
  <c r="BH15" i="3"/>
  <c r="BK15" i="3"/>
  <c r="BG15" i="3"/>
  <c r="BF15" i="3"/>
  <c r="BD15" i="3"/>
  <c r="AZ15" i="3"/>
  <c r="AX15" i="3"/>
  <c r="AS15" i="3"/>
  <c r="AR15" i="3"/>
  <c r="AM15" i="3"/>
  <c r="AF8" i="3"/>
  <c r="AI8" i="3"/>
  <c r="AI15" i="3"/>
  <c r="Z15" i="3"/>
  <c r="BH14" i="3"/>
  <c r="BK14" i="3"/>
  <c r="BG14" i="3"/>
  <c r="BF14" i="3"/>
  <c r="BD14" i="3"/>
  <c r="AS14" i="3"/>
  <c r="AR14" i="3"/>
  <c r="AM14" i="3"/>
  <c r="AF7" i="3"/>
  <c r="AI7" i="3"/>
  <c r="AI14" i="3"/>
  <c r="Z14" i="3"/>
  <c r="BH13" i="3"/>
  <c r="BK13" i="3"/>
  <c r="BG13" i="3"/>
  <c r="BF13" i="3"/>
  <c r="BD13" i="3"/>
  <c r="AS13" i="3"/>
  <c r="AR13" i="3"/>
  <c r="AM13" i="3"/>
  <c r="BH12" i="3"/>
  <c r="BK12" i="3"/>
  <c r="BG12" i="3"/>
  <c r="BF12" i="3"/>
  <c r="BD12" i="3"/>
  <c r="AW12" i="3"/>
  <c r="AS12" i="3"/>
  <c r="AR12" i="3"/>
  <c r="AM12" i="3"/>
  <c r="BH11" i="3"/>
  <c r="BK11" i="3"/>
  <c r="BG11" i="3"/>
  <c r="BF11" i="3"/>
  <c r="BD11" i="3"/>
  <c r="AW11" i="3"/>
  <c r="AS11" i="3"/>
  <c r="AR11" i="3"/>
  <c r="AM11" i="3"/>
  <c r="BH10" i="3"/>
  <c r="BK10" i="3"/>
  <c r="BG10" i="3"/>
  <c r="BF10" i="3"/>
  <c r="BD10" i="3"/>
  <c r="AW10" i="3"/>
  <c r="AS10" i="3"/>
  <c r="AR10" i="3"/>
  <c r="AM10" i="3"/>
  <c r="BH9" i="3"/>
  <c r="BK9" i="3"/>
  <c r="BG9" i="3"/>
  <c r="BF9" i="3"/>
  <c r="BD9" i="3"/>
  <c r="AW9" i="3"/>
  <c r="AS9" i="3"/>
  <c r="AR9" i="3"/>
  <c r="AM9" i="3"/>
  <c r="BH8" i="3"/>
  <c r="BK8" i="3"/>
  <c r="BG8" i="3"/>
  <c r="BF8" i="3"/>
  <c r="BD8" i="3"/>
  <c r="AW8" i="3"/>
  <c r="AS8" i="3"/>
  <c r="AR8" i="3"/>
  <c r="AM8" i="3"/>
  <c r="Y8" i="3"/>
  <c r="BH7" i="3"/>
  <c r="BK7" i="3"/>
  <c r="BG7" i="3"/>
  <c r="BF7" i="3"/>
  <c r="BD7" i="3"/>
  <c r="AW7" i="3"/>
  <c r="AQ7" i="3"/>
  <c r="AS7" i="3"/>
  <c r="AR7" i="3"/>
  <c r="AM7" i="3"/>
  <c r="Y7" i="3"/>
  <c r="BH6" i="3"/>
  <c r="BK6" i="3"/>
  <c r="BG6" i="3"/>
  <c r="BF6" i="3"/>
  <c r="BD6" i="3"/>
  <c r="AW6" i="3"/>
  <c r="AS6" i="3"/>
  <c r="AR6" i="3"/>
  <c r="AI6" i="3"/>
  <c r="Y6" i="3"/>
  <c r="BH5" i="3"/>
  <c r="BK5" i="3"/>
  <c r="BG5" i="3"/>
  <c r="BF5" i="3"/>
  <c r="BD5" i="3"/>
  <c r="AW5" i="3"/>
  <c r="AQ5" i="3"/>
  <c r="AS5" i="3"/>
  <c r="AR5" i="3"/>
  <c r="AI5" i="3"/>
  <c r="Y5" i="3"/>
  <c r="BH4" i="3"/>
  <c r="BK4" i="3"/>
  <c r="BG4" i="3"/>
  <c r="BF4" i="3"/>
  <c r="BD4" i="3"/>
  <c r="AW4" i="3"/>
  <c r="AQ4" i="3"/>
  <c r="AS4" i="3"/>
  <c r="AR4" i="3"/>
  <c r="AI4" i="3"/>
  <c r="Y4" i="3"/>
  <c r="BH3" i="3"/>
  <c r="BK3" i="3"/>
  <c r="BG3" i="3"/>
  <c r="BF3" i="3"/>
  <c r="BD3" i="3"/>
  <c r="AI3" i="3"/>
  <c r="Y3" i="3"/>
  <c r="BC117" i="2"/>
  <c r="AI117" i="2"/>
  <c r="AG117" i="2"/>
  <c r="BC116" i="2"/>
  <c r="AI116" i="2"/>
  <c r="AG116" i="2"/>
  <c r="BC115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I115" i="2"/>
  <c r="AG115" i="2"/>
  <c r="Z1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A19" i="2"/>
  <c r="A23" i="2"/>
  <c r="A27" i="2"/>
  <c r="A31" i="2"/>
  <c r="A35" i="2"/>
  <c r="A39" i="2"/>
  <c r="A43" i="2"/>
  <c r="A47" i="2"/>
  <c r="A51" i="2"/>
  <c r="A55" i="2"/>
  <c r="A59" i="2"/>
  <c r="A63" i="2"/>
  <c r="A67" i="2"/>
  <c r="A71" i="2"/>
  <c r="A75" i="2"/>
  <c r="A79" i="2"/>
  <c r="A83" i="2"/>
  <c r="A87" i="2"/>
  <c r="A91" i="2"/>
  <c r="A95" i="2"/>
  <c r="A99" i="2"/>
  <c r="A103" i="2"/>
  <c r="A107" i="2"/>
  <c r="A111" i="2"/>
  <c r="A115" i="2"/>
  <c r="BC114" i="2"/>
  <c r="AI114" i="2"/>
  <c r="AG114" i="2"/>
  <c r="Z1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A18" i="2"/>
  <c r="A22" i="2"/>
  <c r="A26" i="2"/>
  <c r="A30" i="2"/>
  <c r="A34" i="2"/>
  <c r="A38" i="2"/>
  <c r="A42" i="2"/>
  <c r="A46" i="2"/>
  <c r="A50" i="2"/>
  <c r="A54" i="2"/>
  <c r="A58" i="2"/>
  <c r="A62" i="2"/>
  <c r="A66" i="2"/>
  <c r="A70" i="2"/>
  <c r="A74" i="2"/>
  <c r="A78" i="2"/>
  <c r="A82" i="2"/>
  <c r="A86" i="2"/>
  <c r="A90" i="2"/>
  <c r="A94" i="2"/>
  <c r="A98" i="2"/>
  <c r="A102" i="2"/>
  <c r="A106" i="2"/>
  <c r="A110" i="2"/>
  <c r="A114" i="2"/>
  <c r="BC113" i="2"/>
  <c r="AI113" i="2"/>
  <c r="AG113" i="2"/>
  <c r="Z113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A21" i="2"/>
  <c r="A25" i="2"/>
  <c r="A29" i="2"/>
  <c r="A33" i="2"/>
  <c r="A37" i="2"/>
  <c r="A41" i="2"/>
  <c r="A45" i="2"/>
  <c r="A49" i="2"/>
  <c r="A53" i="2"/>
  <c r="A57" i="2"/>
  <c r="A61" i="2"/>
  <c r="A65" i="2"/>
  <c r="A69" i="2"/>
  <c r="A73" i="2"/>
  <c r="A77" i="2"/>
  <c r="A81" i="2"/>
  <c r="A85" i="2"/>
  <c r="A89" i="2"/>
  <c r="A93" i="2"/>
  <c r="A97" i="2"/>
  <c r="A101" i="2"/>
  <c r="A105" i="2"/>
  <c r="A109" i="2"/>
  <c r="A113" i="2"/>
  <c r="BC112" i="2"/>
  <c r="AI112" i="2"/>
  <c r="AG112" i="2"/>
  <c r="Z112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A20" i="2"/>
  <c r="A24" i="2"/>
  <c r="A28" i="2"/>
  <c r="A32" i="2"/>
  <c r="A36" i="2"/>
  <c r="A40" i="2"/>
  <c r="A44" i="2"/>
  <c r="A48" i="2"/>
  <c r="A52" i="2"/>
  <c r="A56" i="2"/>
  <c r="A60" i="2"/>
  <c r="A64" i="2"/>
  <c r="A68" i="2"/>
  <c r="A72" i="2"/>
  <c r="A76" i="2"/>
  <c r="A80" i="2"/>
  <c r="A84" i="2"/>
  <c r="A88" i="2"/>
  <c r="A92" i="2"/>
  <c r="A96" i="2"/>
  <c r="A100" i="2"/>
  <c r="A104" i="2"/>
  <c r="A108" i="2"/>
  <c r="A112" i="2"/>
  <c r="BC111" i="2"/>
  <c r="AI111" i="2"/>
  <c r="AG111" i="2"/>
  <c r="Z111" i="2"/>
  <c r="BC110" i="2"/>
  <c r="AI110" i="2"/>
  <c r="AG110" i="2"/>
  <c r="Z110" i="2"/>
  <c r="BC109" i="2"/>
  <c r="AI109" i="2"/>
  <c r="AG109" i="2"/>
  <c r="Z109" i="2"/>
  <c r="BC108" i="2"/>
  <c r="AI108" i="2"/>
  <c r="AG108" i="2"/>
  <c r="Z108" i="2"/>
  <c r="BC107" i="2"/>
  <c r="AI107" i="2"/>
  <c r="AG107" i="2"/>
  <c r="Z107" i="2"/>
  <c r="BC106" i="2"/>
  <c r="AI106" i="2"/>
  <c r="AG106" i="2"/>
  <c r="Z106" i="2"/>
  <c r="BC105" i="2"/>
  <c r="AI105" i="2"/>
  <c r="AG105" i="2"/>
  <c r="Z105" i="2"/>
  <c r="BC104" i="2"/>
  <c r="AI104" i="2"/>
  <c r="AG104" i="2"/>
  <c r="Z104" i="2"/>
  <c r="BC103" i="2"/>
  <c r="AI103" i="2"/>
  <c r="AG103" i="2"/>
  <c r="Z103" i="2"/>
  <c r="BC102" i="2"/>
  <c r="AI102" i="2"/>
  <c r="AG102" i="2"/>
  <c r="Z102" i="2"/>
  <c r="BC101" i="2"/>
  <c r="AI101" i="2"/>
  <c r="AG101" i="2"/>
  <c r="Z101" i="2"/>
  <c r="BC100" i="2"/>
  <c r="AI100" i="2"/>
  <c r="AG100" i="2"/>
  <c r="Z100" i="2"/>
  <c r="BC99" i="2"/>
  <c r="AI99" i="2"/>
  <c r="AG99" i="2"/>
  <c r="Z99" i="2"/>
  <c r="BC98" i="2"/>
  <c r="AI98" i="2"/>
  <c r="AG98" i="2"/>
  <c r="Z98" i="2"/>
  <c r="BC97" i="2"/>
  <c r="AI97" i="2"/>
  <c r="AG97" i="2"/>
  <c r="Z97" i="2"/>
  <c r="BC96" i="2"/>
  <c r="AI96" i="2"/>
  <c r="AG96" i="2"/>
  <c r="Z96" i="2"/>
  <c r="BC95" i="2"/>
  <c r="AI95" i="2"/>
  <c r="AG95" i="2"/>
  <c r="Z95" i="2"/>
  <c r="BC94" i="2"/>
  <c r="AI94" i="2"/>
  <c r="AG94" i="2"/>
  <c r="Z94" i="2"/>
  <c r="BC93" i="2"/>
  <c r="AI93" i="2"/>
  <c r="AG93" i="2"/>
  <c r="Z93" i="2"/>
  <c r="BC92" i="2"/>
  <c r="AI92" i="2"/>
  <c r="AG92" i="2"/>
  <c r="Z92" i="2"/>
  <c r="BC91" i="2"/>
  <c r="AI91" i="2"/>
  <c r="AG91" i="2"/>
  <c r="Z91" i="2"/>
  <c r="BC90" i="2"/>
  <c r="AI90" i="2"/>
  <c r="AG90" i="2"/>
  <c r="Z90" i="2"/>
  <c r="BC89" i="2"/>
  <c r="AI89" i="2"/>
  <c r="AG89" i="2"/>
  <c r="Z89" i="2"/>
  <c r="BC88" i="2"/>
  <c r="AI88" i="2"/>
  <c r="AG88" i="2"/>
  <c r="Z88" i="2"/>
  <c r="BC87" i="2"/>
  <c r="AI87" i="2"/>
  <c r="AG87" i="2"/>
  <c r="Z87" i="2"/>
  <c r="BC86" i="2"/>
  <c r="AI86" i="2"/>
  <c r="AG86" i="2"/>
  <c r="Z86" i="2"/>
  <c r="BC85" i="2"/>
  <c r="AI85" i="2"/>
  <c r="AG85" i="2"/>
  <c r="Z85" i="2"/>
  <c r="BC84" i="2"/>
  <c r="AI84" i="2"/>
  <c r="AG84" i="2"/>
  <c r="Z84" i="2"/>
  <c r="BC83" i="2"/>
  <c r="AI83" i="2"/>
  <c r="AG83" i="2"/>
  <c r="Z83" i="2"/>
  <c r="BC82" i="2"/>
  <c r="AI82" i="2"/>
  <c r="AG82" i="2"/>
  <c r="Z82" i="2"/>
  <c r="BC81" i="2"/>
  <c r="AI81" i="2"/>
  <c r="AG81" i="2"/>
  <c r="Z81" i="2"/>
  <c r="BC80" i="2"/>
  <c r="AI80" i="2"/>
  <c r="AG80" i="2"/>
  <c r="Z80" i="2"/>
  <c r="BC79" i="2"/>
  <c r="AI79" i="2"/>
  <c r="AG79" i="2"/>
  <c r="Z79" i="2"/>
  <c r="BC78" i="2"/>
  <c r="AI78" i="2"/>
  <c r="AG78" i="2"/>
  <c r="Z78" i="2"/>
  <c r="BC77" i="2"/>
  <c r="AI77" i="2"/>
  <c r="AG77" i="2"/>
  <c r="Z77" i="2"/>
  <c r="BC76" i="2"/>
  <c r="AI76" i="2"/>
  <c r="AG76" i="2"/>
  <c r="Z76" i="2"/>
  <c r="BC75" i="2"/>
  <c r="AI75" i="2"/>
  <c r="AG75" i="2"/>
  <c r="Z75" i="2"/>
  <c r="BC74" i="2"/>
  <c r="AI74" i="2"/>
  <c r="AG74" i="2"/>
  <c r="Z74" i="2"/>
  <c r="BC73" i="2"/>
  <c r="AI73" i="2"/>
  <c r="AG73" i="2"/>
  <c r="Z73" i="2"/>
  <c r="BC72" i="2"/>
  <c r="AI72" i="2"/>
  <c r="AG72" i="2"/>
  <c r="Z72" i="2"/>
  <c r="BC71" i="2"/>
  <c r="AI71" i="2"/>
  <c r="AG71" i="2"/>
  <c r="Z71" i="2"/>
  <c r="BC70" i="2"/>
  <c r="AI70" i="2"/>
  <c r="AG70" i="2"/>
  <c r="Z70" i="2"/>
  <c r="BC69" i="2"/>
  <c r="AI69" i="2"/>
  <c r="AG69" i="2"/>
  <c r="Z69" i="2"/>
  <c r="BC68" i="2"/>
  <c r="AI68" i="2"/>
  <c r="AG68" i="2"/>
  <c r="Z68" i="2"/>
  <c r="BC67" i="2"/>
  <c r="AI67" i="2"/>
  <c r="AG67" i="2"/>
  <c r="Z67" i="2"/>
  <c r="BC66" i="2"/>
  <c r="AI66" i="2"/>
  <c r="AG66" i="2"/>
  <c r="Z66" i="2"/>
  <c r="BC65" i="2"/>
  <c r="AI65" i="2"/>
  <c r="AG65" i="2"/>
  <c r="Z65" i="2"/>
  <c r="BC64" i="2"/>
  <c r="AI64" i="2"/>
  <c r="AG64" i="2"/>
  <c r="Z64" i="2"/>
  <c r="BC63" i="2"/>
  <c r="AI63" i="2"/>
  <c r="AG63" i="2"/>
  <c r="Z63" i="2"/>
  <c r="BC62" i="2"/>
  <c r="AI62" i="2"/>
  <c r="AG62" i="2"/>
  <c r="Z62" i="2"/>
  <c r="BC61" i="2"/>
  <c r="AI61" i="2"/>
  <c r="AG61" i="2"/>
  <c r="Z61" i="2"/>
  <c r="BC60" i="2"/>
  <c r="AI60" i="2"/>
  <c r="AG60" i="2"/>
  <c r="Z60" i="2"/>
  <c r="BC59" i="2"/>
  <c r="AI59" i="2"/>
  <c r="AG59" i="2"/>
  <c r="Z59" i="2"/>
  <c r="BC58" i="2"/>
  <c r="AI58" i="2"/>
  <c r="AG58" i="2"/>
  <c r="Z58" i="2"/>
  <c r="BC57" i="2"/>
  <c r="AI57" i="2"/>
  <c r="AG57" i="2"/>
  <c r="Z57" i="2"/>
  <c r="BC56" i="2"/>
  <c r="AI56" i="2"/>
  <c r="AG56" i="2"/>
  <c r="Z56" i="2"/>
  <c r="BC55" i="2"/>
  <c r="AI55" i="2"/>
  <c r="AG55" i="2"/>
  <c r="Z55" i="2"/>
  <c r="BC54" i="2"/>
  <c r="AI54" i="2"/>
  <c r="AG54" i="2"/>
  <c r="Z54" i="2"/>
  <c r="BC53" i="2"/>
  <c r="AI53" i="2"/>
  <c r="AG53" i="2"/>
  <c r="Z53" i="2"/>
  <c r="BC52" i="2"/>
  <c r="AI52" i="2"/>
  <c r="AG52" i="2"/>
  <c r="Z52" i="2"/>
  <c r="BC51" i="2"/>
  <c r="AI51" i="2"/>
  <c r="AG51" i="2"/>
  <c r="Z51" i="2"/>
  <c r="BC50" i="2"/>
  <c r="AI50" i="2"/>
  <c r="AG50" i="2"/>
  <c r="Z50" i="2"/>
  <c r="BC49" i="2"/>
  <c r="AI49" i="2"/>
  <c r="AG49" i="2"/>
  <c r="Z49" i="2"/>
  <c r="BC48" i="2"/>
  <c r="AI48" i="2"/>
  <c r="AG48" i="2"/>
  <c r="Z48" i="2"/>
  <c r="BC47" i="2"/>
  <c r="AI47" i="2"/>
  <c r="AG47" i="2"/>
  <c r="Z47" i="2"/>
  <c r="BC46" i="2"/>
  <c r="AI46" i="2"/>
  <c r="AG46" i="2"/>
  <c r="Z46" i="2"/>
  <c r="BC45" i="2"/>
  <c r="AI45" i="2"/>
  <c r="AG45" i="2"/>
  <c r="Z45" i="2"/>
  <c r="BC44" i="2"/>
  <c r="AI44" i="2"/>
  <c r="AG44" i="2"/>
  <c r="Z44" i="2"/>
  <c r="BC43" i="2"/>
  <c r="AI43" i="2"/>
  <c r="AG43" i="2"/>
  <c r="Z43" i="2"/>
  <c r="BC42" i="2"/>
  <c r="AI42" i="2"/>
  <c r="AG42" i="2"/>
  <c r="Z42" i="2"/>
  <c r="BC41" i="2"/>
  <c r="AI41" i="2"/>
  <c r="AG41" i="2"/>
  <c r="Z41" i="2"/>
  <c r="BC40" i="2"/>
  <c r="AI40" i="2"/>
  <c r="AG40" i="2"/>
  <c r="Z40" i="2"/>
  <c r="BC39" i="2"/>
  <c r="AI39" i="2"/>
  <c r="AG39" i="2"/>
  <c r="Z39" i="2"/>
  <c r="BC38" i="2"/>
  <c r="AI38" i="2"/>
  <c r="AG38" i="2"/>
  <c r="Z38" i="2"/>
  <c r="BC37" i="2"/>
  <c r="AI37" i="2"/>
  <c r="AG37" i="2"/>
  <c r="Z37" i="2"/>
  <c r="BC36" i="2"/>
  <c r="AI36" i="2"/>
  <c r="AG36" i="2"/>
  <c r="Z36" i="2"/>
  <c r="BC35" i="2"/>
  <c r="AI35" i="2"/>
  <c r="AG35" i="2"/>
  <c r="Z35" i="2"/>
  <c r="BC34" i="2"/>
  <c r="AI34" i="2"/>
  <c r="AG34" i="2"/>
  <c r="Z34" i="2"/>
  <c r="BC33" i="2"/>
  <c r="AI33" i="2"/>
  <c r="AG33" i="2"/>
  <c r="Z33" i="2"/>
  <c r="BC32" i="2"/>
  <c r="AI32" i="2"/>
  <c r="AG32" i="2"/>
  <c r="Z32" i="2"/>
  <c r="BC31" i="2"/>
  <c r="AI31" i="2"/>
  <c r="AG31" i="2"/>
  <c r="Z31" i="2"/>
  <c r="BC30" i="2"/>
  <c r="AN7" i="2"/>
  <c r="AP7" i="2"/>
  <c r="AN8" i="2"/>
  <c r="AO7" i="2"/>
  <c r="AO8" i="2"/>
  <c r="AQ8" i="2"/>
  <c r="AN9" i="2"/>
  <c r="AQ9" i="2"/>
  <c r="AN10" i="2"/>
  <c r="AQ10" i="2"/>
  <c r="AN11" i="2"/>
  <c r="AQ11" i="2"/>
  <c r="AN12" i="2"/>
  <c r="AQ12" i="2"/>
  <c r="AN13" i="2"/>
  <c r="AQ13" i="2"/>
  <c r="AN14" i="2"/>
  <c r="AQ14" i="2"/>
  <c r="AN15" i="2"/>
  <c r="AQ15" i="2"/>
  <c r="AN16" i="2"/>
  <c r="AQ16" i="2"/>
  <c r="AN17" i="2"/>
  <c r="AQ17" i="2"/>
  <c r="AN18" i="2"/>
  <c r="AQ18" i="2"/>
  <c r="AN19" i="2"/>
  <c r="AQ19" i="2"/>
  <c r="AN20" i="2"/>
  <c r="AQ20" i="2"/>
  <c r="AN21" i="2"/>
  <c r="AQ21" i="2"/>
  <c r="AN22" i="2"/>
  <c r="AQ22" i="2"/>
  <c r="AN23" i="2"/>
  <c r="AQ23" i="2"/>
  <c r="AN24" i="2"/>
  <c r="AQ24" i="2"/>
  <c r="AN25" i="2"/>
  <c r="AQ25" i="2"/>
  <c r="AN26" i="2"/>
  <c r="AQ26" i="2"/>
  <c r="AN27" i="2"/>
  <c r="AQ27" i="2"/>
  <c r="AN28" i="2"/>
  <c r="AQ28" i="2"/>
  <c r="AN29" i="2"/>
  <c r="AQ29" i="2"/>
  <c r="AQ6" i="2"/>
  <c r="AQ30" i="2"/>
  <c r="AI30" i="2"/>
  <c r="AG30" i="2"/>
  <c r="Z30" i="2"/>
  <c r="C24" i="2"/>
  <c r="C25" i="2"/>
  <c r="C26" i="2"/>
  <c r="C27" i="2"/>
  <c r="C30" i="2"/>
  <c r="BG29" i="2"/>
  <c r="BJ29" i="2"/>
  <c r="BF29" i="2"/>
  <c r="BE29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C29" i="2"/>
  <c r="AS29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R29" i="2"/>
  <c r="AM29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I29" i="2"/>
  <c r="AG29" i="2"/>
  <c r="Z29" i="2"/>
  <c r="BG28" i="2"/>
  <c r="BJ28" i="2"/>
  <c r="BF28" i="2"/>
  <c r="BE28" i="2"/>
  <c r="BC28" i="2"/>
  <c r="AS28" i="2"/>
  <c r="AR28" i="2"/>
  <c r="AM28" i="2"/>
  <c r="AI28" i="2"/>
  <c r="AG28" i="2"/>
  <c r="Z28" i="2"/>
  <c r="BG27" i="2"/>
  <c r="BJ27" i="2"/>
  <c r="BF27" i="2"/>
  <c r="BE27" i="2"/>
  <c r="BC27" i="2"/>
  <c r="AS27" i="2"/>
  <c r="AR27" i="2"/>
  <c r="AM27" i="2"/>
  <c r="AI27" i="2"/>
  <c r="AG27" i="2"/>
  <c r="Z27" i="2"/>
  <c r="BG26" i="2"/>
  <c r="BJ26" i="2"/>
  <c r="BF26" i="2"/>
  <c r="BE26" i="2"/>
  <c r="BC26" i="2"/>
  <c r="AS26" i="2"/>
  <c r="AR26" i="2"/>
  <c r="AM26" i="2"/>
  <c r="AI26" i="2"/>
  <c r="AG26" i="2"/>
  <c r="Z26" i="2"/>
  <c r="BG25" i="2"/>
  <c r="BJ25" i="2"/>
  <c r="BF25" i="2"/>
  <c r="BE25" i="2"/>
  <c r="BC25" i="2"/>
  <c r="AS25" i="2"/>
  <c r="AR25" i="2"/>
  <c r="AM25" i="2"/>
  <c r="AI25" i="2"/>
  <c r="Z25" i="2"/>
  <c r="BG24" i="2"/>
  <c r="BJ24" i="2"/>
  <c r="BF24" i="2"/>
  <c r="BE24" i="2"/>
  <c r="BC24" i="2"/>
  <c r="AS24" i="2"/>
  <c r="AR24" i="2"/>
  <c r="AM24" i="2"/>
  <c r="AI24" i="2"/>
  <c r="Z24" i="2"/>
  <c r="BG23" i="2"/>
  <c r="BJ23" i="2"/>
  <c r="BF23" i="2"/>
  <c r="BE23" i="2"/>
  <c r="BC23" i="2"/>
  <c r="AY23" i="2"/>
  <c r="AW23" i="2"/>
  <c r="AS23" i="2"/>
  <c r="AR23" i="2"/>
  <c r="AM23" i="2"/>
  <c r="AI23" i="2"/>
  <c r="Z23" i="2"/>
  <c r="BG22" i="2"/>
  <c r="BJ22" i="2"/>
  <c r="BF22" i="2"/>
  <c r="BE22" i="2"/>
  <c r="BC22" i="2"/>
  <c r="AY22" i="2"/>
  <c r="AW22" i="2"/>
  <c r="AS22" i="2"/>
  <c r="AR22" i="2"/>
  <c r="AM22" i="2"/>
  <c r="AI22" i="2"/>
  <c r="Z22" i="2"/>
  <c r="BG21" i="2"/>
  <c r="BJ21" i="2"/>
  <c r="BF21" i="2"/>
  <c r="BE21" i="2"/>
  <c r="BC21" i="2"/>
  <c r="AY21" i="2"/>
  <c r="AW21" i="2"/>
  <c r="AS21" i="2"/>
  <c r="AR21" i="2"/>
  <c r="AM21" i="2"/>
  <c r="AI21" i="2"/>
  <c r="Z21" i="2"/>
  <c r="BG20" i="2"/>
  <c r="BJ20" i="2"/>
  <c r="BF20" i="2"/>
  <c r="BE20" i="2"/>
  <c r="BC20" i="2"/>
  <c r="AY20" i="2"/>
  <c r="AW20" i="2"/>
  <c r="AS20" i="2"/>
  <c r="AR20" i="2"/>
  <c r="AM20" i="2"/>
  <c r="AI20" i="2"/>
  <c r="Z20" i="2"/>
  <c r="BG19" i="2"/>
  <c r="BJ19" i="2"/>
  <c r="BF19" i="2"/>
  <c r="BE19" i="2"/>
  <c r="BC19" i="2"/>
  <c r="AY19" i="2"/>
  <c r="AW19" i="2"/>
  <c r="AS19" i="2"/>
  <c r="AR19" i="2"/>
  <c r="AM19" i="2"/>
  <c r="AI19" i="2"/>
  <c r="Z19" i="2"/>
  <c r="BG18" i="2"/>
  <c r="BJ18" i="2"/>
  <c r="BF18" i="2"/>
  <c r="BE18" i="2"/>
  <c r="BC18" i="2"/>
  <c r="AY18" i="2"/>
  <c r="AW18" i="2"/>
  <c r="AS18" i="2"/>
  <c r="AR18" i="2"/>
  <c r="AM18" i="2"/>
  <c r="AI18" i="2"/>
  <c r="Z18" i="2"/>
  <c r="BG17" i="2"/>
  <c r="BJ17" i="2"/>
  <c r="BF17" i="2"/>
  <c r="BE17" i="2"/>
  <c r="BC17" i="2"/>
  <c r="AY17" i="2"/>
  <c r="AW17" i="2"/>
  <c r="AS17" i="2"/>
  <c r="AR17" i="2"/>
  <c r="AM17" i="2"/>
  <c r="AI17" i="2"/>
  <c r="Z17" i="2"/>
  <c r="BG16" i="2"/>
  <c r="BJ16" i="2"/>
  <c r="BF16" i="2"/>
  <c r="BE16" i="2"/>
  <c r="BC16" i="2"/>
  <c r="AY16" i="2"/>
  <c r="AW16" i="2"/>
  <c r="AS16" i="2"/>
  <c r="AR16" i="2"/>
  <c r="AM16" i="2"/>
  <c r="AI16" i="2"/>
  <c r="Z16" i="2"/>
  <c r="BG15" i="2"/>
  <c r="BJ15" i="2"/>
  <c r="BF15" i="2"/>
  <c r="BE15" i="2"/>
  <c r="BC15" i="2"/>
  <c r="AY15" i="2"/>
  <c r="AW15" i="2"/>
  <c r="AS15" i="2"/>
  <c r="AR15" i="2"/>
  <c r="AM15" i="2"/>
  <c r="AF8" i="2"/>
  <c r="AI8" i="2"/>
  <c r="AI15" i="2"/>
  <c r="Z15" i="2"/>
  <c r="BG14" i="2"/>
  <c r="BJ14" i="2"/>
  <c r="BF14" i="2"/>
  <c r="BE14" i="2"/>
  <c r="BC14" i="2"/>
  <c r="AS14" i="2"/>
  <c r="AR14" i="2"/>
  <c r="AM14" i="2"/>
  <c r="AF7" i="2"/>
  <c r="AI7" i="2"/>
  <c r="AI14" i="2"/>
  <c r="Z14" i="2"/>
  <c r="BG13" i="2"/>
  <c r="BJ13" i="2"/>
  <c r="BF13" i="2"/>
  <c r="BE13" i="2"/>
  <c r="BC13" i="2"/>
  <c r="AS13" i="2"/>
  <c r="AR13" i="2"/>
  <c r="AM13" i="2"/>
  <c r="BG12" i="2"/>
  <c r="BJ12" i="2"/>
  <c r="BF12" i="2"/>
  <c r="BE12" i="2"/>
  <c r="BC12" i="2"/>
  <c r="AV12" i="2"/>
  <c r="AS12" i="2"/>
  <c r="AR12" i="2"/>
  <c r="AM12" i="2"/>
  <c r="BG11" i="2"/>
  <c r="BJ11" i="2"/>
  <c r="BF11" i="2"/>
  <c r="BE11" i="2"/>
  <c r="BC11" i="2"/>
  <c r="AV11" i="2"/>
  <c r="AS11" i="2"/>
  <c r="AR11" i="2"/>
  <c r="AM11" i="2"/>
  <c r="BG10" i="2"/>
  <c r="BJ10" i="2"/>
  <c r="BF10" i="2"/>
  <c r="BE10" i="2"/>
  <c r="BC10" i="2"/>
  <c r="AV10" i="2"/>
  <c r="AS10" i="2"/>
  <c r="AR10" i="2"/>
  <c r="AM10" i="2"/>
  <c r="BG9" i="2"/>
  <c r="BJ9" i="2"/>
  <c r="BF9" i="2"/>
  <c r="BE9" i="2"/>
  <c r="BC9" i="2"/>
  <c r="AV9" i="2"/>
  <c r="AS9" i="2"/>
  <c r="AR9" i="2"/>
  <c r="AM9" i="2"/>
  <c r="BG8" i="2"/>
  <c r="BJ8" i="2"/>
  <c r="BF8" i="2"/>
  <c r="BE8" i="2"/>
  <c r="BC8" i="2"/>
  <c r="AV8" i="2"/>
  <c r="AS8" i="2"/>
  <c r="AR8" i="2"/>
  <c r="AM8" i="2"/>
  <c r="Y8" i="2"/>
  <c r="BG7" i="2"/>
  <c r="BJ7" i="2"/>
  <c r="BF7" i="2"/>
  <c r="BE7" i="2"/>
  <c r="BC7" i="2"/>
  <c r="AV7" i="2"/>
  <c r="AQ7" i="2"/>
  <c r="AS7" i="2"/>
  <c r="AR7" i="2"/>
  <c r="AM7" i="2"/>
  <c r="Y7" i="2"/>
  <c r="BG6" i="2"/>
  <c r="BJ6" i="2"/>
  <c r="BF6" i="2"/>
  <c r="BE6" i="2"/>
  <c r="BC6" i="2"/>
  <c r="AV6" i="2"/>
  <c r="AS6" i="2"/>
  <c r="AR6" i="2"/>
  <c r="AI6" i="2"/>
  <c r="Y6" i="2"/>
  <c r="BG5" i="2"/>
  <c r="BJ5" i="2"/>
  <c r="BF5" i="2"/>
  <c r="BE5" i="2"/>
  <c r="BC5" i="2"/>
  <c r="AV5" i="2"/>
  <c r="AQ5" i="2"/>
  <c r="AS5" i="2"/>
  <c r="AR5" i="2"/>
  <c r="AI5" i="2"/>
  <c r="Y5" i="2"/>
  <c r="BG4" i="2"/>
  <c r="BJ4" i="2"/>
  <c r="BF4" i="2"/>
  <c r="BE4" i="2"/>
  <c r="BC4" i="2"/>
  <c r="AV4" i="2"/>
  <c r="AQ4" i="2"/>
  <c r="AS4" i="2"/>
  <c r="AR4" i="2"/>
  <c r="AI4" i="2"/>
  <c r="Y4" i="2"/>
  <c r="BG3" i="2"/>
  <c r="BJ3" i="2"/>
  <c r="BF3" i="2"/>
  <c r="BE3" i="2"/>
  <c r="BC3" i="2"/>
  <c r="AI3" i="2"/>
  <c r="Y3" i="2"/>
  <c r="AF230" i="1"/>
  <c r="AF226" i="1"/>
  <c r="AI230" i="1"/>
  <c r="AE134" i="1"/>
  <c r="AE138" i="1"/>
  <c r="AE142" i="1"/>
  <c r="AE146" i="1"/>
  <c r="AE150" i="1"/>
  <c r="AE154" i="1"/>
  <c r="AE158" i="1"/>
  <c r="AE162" i="1"/>
  <c r="AE166" i="1"/>
  <c r="AE170" i="1"/>
  <c r="AE174" i="1"/>
  <c r="AE178" i="1"/>
  <c r="AE182" i="1"/>
  <c r="AE186" i="1"/>
  <c r="AE190" i="1"/>
  <c r="AE194" i="1"/>
  <c r="AE198" i="1"/>
  <c r="AE202" i="1"/>
  <c r="AE206" i="1"/>
  <c r="AE210" i="1"/>
  <c r="AE214" i="1"/>
  <c r="AE218" i="1"/>
  <c r="AE222" i="1"/>
  <c r="AE226" i="1"/>
  <c r="AE230" i="1"/>
  <c r="AF229" i="1"/>
  <c r="AE133" i="1"/>
  <c r="AE137" i="1"/>
  <c r="AE141" i="1"/>
  <c r="AE145" i="1"/>
  <c r="AE149" i="1"/>
  <c r="AE153" i="1"/>
  <c r="AE157" i="1"/>
  <c r="AE161" i="1"/>
  <c r="AE165" i="1"/>
  <c r="AE169" i="1"/>
  <c r="AE173" i="1"/>
  <c r="AE177" i="1"/>
  <c r="AE181" i="1"/>
  <c r="AE185" i="1"/>
  <c r="AE189" i="1"/>
  <c r="AE193" i="1"/>
  <c r="AE197" i="1"/>
  <c r="AE201" i="1"/>
  <c r="AE205" i="1"/>
  <c r="AE209" i="1"/>
  <c r="AE213" i="1"/>
  <c r="AE217" i="1"/>
  <c r="AE221" i="1"/>
  <c r="AE225" i="1"/>
  <c r="AE229" i="1"/>
  <c r="AF228" i="1"/>
  <c r="AE132" i="1"/>
  <c r="AE136" i="1"/>
  <c r="AE140" i="1"/>
  <c r="AE144" i="1"/>
  <c r="AE148" i="1"/>
  <c r="AE152" i="1"/>
  <c r="AE156" i="1"/>
  <c r="AE160" i="1"/>
  <c r="AE164" i="1"/>
  <c r="AE168" i="1"/>
  <c r="AE172" i="1"/>
  <c r="AE176" i="1"/>
  <c r="AE180" i="1"/>
  <c r="AE184" i="1"/>
  <c r="AE188" i="1"/>
  <c r="AE192" i="1"/>
  <c r="AE196" i="1"/>
  <c r="AE200" i="1"/>
  <c r="AE204" i="1"/>
  <c r="AE208" i="1"/>
  <c r="AE212" i="1"/>
  <c r="AE216" i="1"/>
  <c r="AE220" i="1"/>
  <c r="AE224" i="1"/>
  <c r="AE228" i="1"/>
  <c r="AF227" i="1"/>
  <c r="AE131" i="1"/>
  <c r="AE135" i="1"/>
  <c r="AE139" i="1"/>
  <c r="AE143" i="1"/>
  <c r="AE147" i="1"/>
  <c r="AE151" i="1"/>
  <c r="AE155" i="1"/>
  <c r="AE159" i="1"/>
  <c r="AE163" i="1"/>
  <c r="AE167" i="1"/>
  <c r="AE171" i="1"/>
  <c r="AE175" i="1"/>
  <c r="AE179" i="1"/>
  <c r="AE183" i="1"/>
  <c r="AE187" i="1"/>
  <c r="AE191" i="1"/>
  <c r="AE195" i="1"/>
  <c r="AE199" i="1"/>
  <c r="AE203" i="1"/>
  <c r="AE207" i="1"/>
  <c r="AE211" i="1"/>
  <c r="AE215" i="1"/>
  <c r="AE219" i="1"/>
  <c r="AE223" i="1"/>
  <c r="AE227" i="1"/>
  <c r="AF222" i="1"/>
  <c r="AI226" i="1"/>
  <c r="AF225" i="1"/>
  <c r="AF224" i="1"/>
  <c r="AF223" i="1"/>
  <c r="AF218" i="1"/>
  <c r="AI222" i="1"/>
  <c r="AF221" i="1"/>
  <c r="AF220" i="1"/>
  <c r="AF219" i="1"/>
  <c r="AF214" i="1"/>
  <c r="AI218" i="1"/>
  <c r="AF217" i="1"/>
  <c r="AF216" i="1"/>
  <c r="AF215" i="1"/>
  <c r="AF210" i="1"/>
  <c r="AI214" i="1"/>
  <c r="AF213" i="1"/>
  <c r="AF212" i="1"/>
  <c r="AF211" i="1"/>
  <c r="AF206" i="1"/>
  <c r="AI210" i="1"/>
  <c r="AF209" i="1"/>
  <c r="AF208" i="1"/>
  <c r="AF207" i="1"/>
  <c r="AF202" i="1"/>
  <c r="AI206" i="1"/>
  <c r="AF205" i="1"/>
  <c r="AF204" i="1"/>
  <c r="AF203" i="1"/>
  <c r="AF198" i="1"/>
  <c r="AI202" i="1"/>
  <c r="AF201" i="1"/>
  <c r="AF200" i="1"/>
  <c r="AF199" i="1"/>
  <c r="AF194" i="1"/>
  <c r="AI198" i="1"/>
  <c r="AF197" i="1"/>
  <c r="AF196" i="1"/>
  <c r="AF195" i="1"/>
  <c r="AF190" i="1"/>
  <c r="AI194" i="1"/>
  <c r="AF193" i="1"/>
  <c r="AF192" i="1"/>
  <c r="AF191" i="1"/>
  <c r="AF186" i="1"/>
  <c r="AI190" i="1"/>
  <c r="AF189" i="1"/>
  <c r="AF188" i="1"/>
  <c r="AF187" i="1"/>
  <c r="AF182" i="1"/>
  <c r="AI186" i="1"/>
  <c r="AF185" i="1"/>
  <c r="AF184" i="1"/>
  <c r="AF183" i="1"/>
  <c r="AF178" i="1"/>
  <c r="AI182" i="1"/>
  <c r="AF181" i="1"/>
  <c r="AF180" i="1"/>
  <c r="AF179" i="1"/>
  <c r="AF174" i="1"/>
  <c r="AI178" i="1"/>
  <c r="AF177" i="1"/>
  <c r="AF176" i="1"/>
  <c r="AF175" i="1"/>
  <c r="AF170" i="1"/>
  <c r="AI174" i="1"/>
  <c r="AF173" i="1"/>
  <c r="AF172" i="1"/>
  <c r="AF171" i="1"/>
  <c r="AF166" i="1"/>
  <c r="AI170" i="1"/>
  <c r="AF169" i="1"/>
  <c r="AF168" i="1"/>
  <c r="AF167" i="1"/>
  <c r="AF162" i="1"/>
  <c r="AI166" i="1"/>
  <c r="AF165" i="1"/>
  <c r="AF164" i="1"/>
  <c r="AF163" i="1"/>
  <c r="AF158" i="1"/>
  <c r="AI162" i="1"/>
  <c r="AF161" i="1"/>
  <c r="AF160" i="1"/>
  <c r="AF159" i="1"/>
  <c r="AF154" i="1"/>
  <c r="AI158" i="1"/>
  <c r="AF157" i="1"/>
  <c r="AF156" i="1"/>
  <c r="AF155" i="1"/>
  <c r="AF150" i="1"/>
  <c r="AI154" i="1"/>
  <c r="AF153" i="1"/>
  <c r="AF152" i="1"/>
  <c r="AF151" i="1"/>
  <c r="AF146" i="1"/>
  <c r="AI150" i="1"/>
  <c r="AF138" i="1"/>
  <c r="AF134" i="1"/>
  <c r="AI138" i="1"/>
  <c r="AF142" i="1"/>
  <c r="AI142" i="1"/>
  <c r="AI146" i="1"/>
  <c r="AG149" i="1"/>
  <c r="AF149" i="1"/>
  <c r="AF148" i="1"/>
  <c r="AJ147" i="1"/>
  <c r="AK147" i="1"/>
  <c r="AF147" i="1"/>
  <c r="AF145" i="1"/>
  <c r="AF144" i="1"/>
  <c r="AF143" i="1"/>
  <c r="AF141" i="1"/>
  <c r="AF140" i="1"/>
  <c r="AF139" i="1"/>
  <c r="AJ138" i="1"/>
  <c r="AF137" i="1"/>
  <c r="AF136" i="1"/>
  <c r="AF135" i="1"/>
  <c r="AF133" i="1"/>
  <c r="AF132" i="1"/>
  <c r="AF131" i="1"/>
  <c r="AF130" i="1"/>
  <c r="AF129" i="1"/>
  <c r="AF128" i="1"/>
  <c r="AF127" i="1"/>
  <c r="AI117" i="1"/>
  <c r="AG117" i="1"/>
  <c r="AI116" i="1"/>
  <c r="AG116" i="1"/>
  <c r="BC115" i="1"/>
  <c r="AI115" i="1"/>
  <c r="AG115" i="1"/>
  <c r="Z1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I114" i="1"/>
  <c r="AG114" i="1"/>
  <c r="Z1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I113" i="1"/>
  <c r="AG113" i="1"/>
  <c r="Z113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T112" i="1"/>
  <c r="AI112" i="1"/>
  <c r="AG112" i="1"/>
  <c r="Z112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BC111" i="1"/>
  <c r="AI111" i="1"/>
  <c r="AG111" i="1"/>
  <c r="Z111" i="1"/>
  <c r="BE110" i="1"/>
  <c r="AI110" i="1"/>
  <c r="AG110" i="1"/>
  <c r="Z110" i="1"/>
  <c r="BE109" i="1"/>
  <c r="AI109" i="1"/>
  <c r="AG109" i="1"/>
  <c r="Z109" i="1"/>
  <c r="BE108" i="1"/>
  <c r="AT108" i="1"/>
  <c r="AI108" i="1"/>
  <c r="AG108" i="1"/>
  <c r="Z108" i="1"/>
  <c r="BE107" i="1"/>
  <c r="BC107" i="1"/>
  <c r="AI107" i="1"/>
  <c r="AG107" i="1"/>
  <c r="Z107" i="1"/>
  <c r="BE106" i="1"/>
  <c r="AI106" i="1"/>
  <c r="AG106" i="1"/>
  <c r="Z106" i="1"/>
  <c r="BE105" i="1"/>
  <c r="AI105" i="1"/>
  <c r="AG105" i="1"/>
  <c r="Z105" i="1"/>
  <c r="BE104" i="1"/>
  <c r="AT104" i="1"/>
  <c r="AI104" i="1"/>
  <c r="AG104" i="1"/>
  <c r="Z104" i="1"/>
  <c r="BE103" i="1"/>
  <c r="BC103" i="1"/>
  <c r="AI103" i="1"/>
  <c r="AG103" i="1"/>
  <c r="Z103" i="1"/>
  <c r="BE102" i="1"/>
  <c r="AI102" i="1"/>
  <c r="AG102" i="1"/>
  <c r="Z102" i="1"/>
  <c r="BE101" i="1"/>
  <c r="AI101" i="1"/>
  <c r="AG101" i="1"/>
  <c r="Z101" i="1"/>
  <c r="BE100" i="1"/>
  <c r="AT100" i="1"/>
  <c r="AI100" i="1"/>
  <c r="AG100" i="1"/>
  <c r="Z100" i="1"/>
  <c r="BE99" i="1"/>
  <c r="BC99" i="1"/>
  <c r="AI99" i="1"/>
  <c r="AG99" i="1"/>
  <c r="Z99" i="1"/>
  <c r="BE98" i="1"/>
  <c r="AI98" i="1"/>
  <c r="AG98" i="1"/>
  <c r="Z98" i="1"/>
  <c r="BE97" i="1"/>
  <c r="AI97" i="1"/>
  <c r="AG97" i="1"/>
  <c r="Z97" i="1"/>
  <c r="BE96" i="1"/>
  <c r="AT96" i="1"/>
  <c r="AI96" i="1"/>
  <c r="AG96" i="1"/>
  <c r="Z96" i="1"/>
  <c r="BE95" i="1"/>
  <c r="BC95" i="1"/>
  <c r="AI95" i="1"/>
  <c r="AG95" i="1"/>
  <c r="Z95" i="1"/>
  <c r="BE94" i="1"/>
  <c r="AI94" i="1"/>
  <c r="AG94" i="1"/>
  <c r="Z94" i="1"/>
  <c r="BE93" i="1"/>
  <c r="AI93" i="1"/>
  <c r="AG93" i="1"/>
  <c r="Z93" i="1"/>
  <c r="BE92" i="1"/>
  <c r="AT92" i="1"/>
  <c r="AI92" i="1"/>
  <c r="AG92" i="1"/>
  <c r="Z92" i="1"/>
  <c r="BE91" i="1"/>
  <c r="BC91" i="1"/>
  <c r="AI91" i="1"/>
  <c r="AG91" i="1"/>
  <c r="Z91" i="1"/>
  <c r="BE90" i="1"/>
  <c r="AI90" i="1"/>
  <c r="AG90" i="1"/>
  <c r="Z90" i="1"/>
  <c r="BE89" i="1"/>
  <c r="AI89" i="1"/>
  <c r="AG89" i="1"/>
  <c r="Z89" i="1"/>
  <c r="BE88" i="1"/>
  <c r="AT88" i="1"/>
  <c r="AI88" i="1"/>
  <c r="AG88" i="1"/>
  <c r="Z88" i="1"/>
  <c r="BE87" i="1"/>
  <c r="BC87" i="1"/>
  <c r="AI87" i="1"/>
  <c r="AG87" i="1"/>
  <c r="Z87" i="1"/>
  <c r="BE86" i="1"/>
  <c r="AI86" i="1"/>
  <c r="AG86" i="1"/>
  <c r="Z86" i="1"/>
  <c r="BE85" i="1"/>
  <c r="AI85" i="1"/>
  <c r="AG85" i="1"/>
  <c r="Z85" i="1"/>
  <c r="BE84" i="1"/>
  <c r="AT84" i="1"/>
  <c r="AI84" i="1"/>
  <c r="AG84" i="1"/>
  <c r="Z84" i="1"/>
  <c r="BE83" i="1"/>
  <c r="BC83" i="1"/>
  <c r="AI83" i="1"/>
  <c r="AG83" i="1"/>
  <c r="Z83" i="1"/>
  <c r="BE82" i="1"/>
  <c r="AI82" i="1"/>
  <c r="AG82" i="1"/>
  <c r="Z82" i="1"/>
  <c r="BE81" i="1"/>
  <c r="AI81" i="1"/>
  <c r="AG81" i="1"/>
  <c r="Z81" i="1"/>
  <c r="BE80" i="1"/>
  <c r="AT80" i="1"/>
  <c r="AI80" i="1"/>
  <c r="AG80" i="1"/>
  <c r="Z80" i="1"/>
  <c r="BE79" i="1"/>
  <c r="BC79" i="1"/>
  <c r="AI79" i="1"/>
  <c r="AG79" i="1"/>
  <c r="Z79" i="1"/>
  <c r="BE78" i="1"/>
  <c r="AI78" i="1"/>
  <c r="AG78" i="1"/>
  <c r="Z78" i="1"/>
  <c r="BE77" i="1"/>
  <c r="AI77" i="1"/>
  <c r="AG77" i="1"/>
  <c r="Z77" i="1"/>
  <c r="BE76" i="1"/>
  <c r="AT76" i="1"/>
  <c r="AI76" i="1"/>
  <c r="AG76" i="1"/>
  <c r="Z76" i="1"/>
  <c r="BE75" i="1"/>
  <c r="BC75" i="1"/>
  <c r="AI75" i="1"/>
  <c r="AG75" i="1"/>
  <c r="Z75" i="1"/>
  <c r="BE74" i="1"/>
  <c r="AI74" i="1"/>
  <c r="AG74" i="1"/>
  <c r="Z74" i="1"/>
  <c r="BE73" i="1"/>
  <c r="AI73" i="1"/>
  <c r="AG73" i="1"/>
  <c r="Z73" i="1"/>
  <c r="BE72" i="1"/>
  <c r="AT72" i="1"/>
  <c r="AI72" i="1"/>
  <c r="AG72" i="1"/>
  <c r="Z72" i="1"/>
  <c r="BE71" i="1"/>
  <c r="BC71" i="1"/>
  <c r="AI71" i="1"/>
  <c r="AG71" i="1"/>
  <c r="Z71" i="1"/>
  <c r="BE70" i="1"/>
  <c r="AI70" i="1"/>
  <c r="AG70" i="1"/>
  <c r="Z70" i="1"/>
  <c r="BE69" i="1"/>
  <c r="AI69" i="1"/>
  <c r="AG69" i="1"/>
  <c r="Z69" i="1"/>
  <c r="BE68" i="1"/>
  <c r="AT68" i="1"/>
  <c r="AI68" i="1"/>
  <c r="AG68" i="1"/>
  <c r="Z68" i="1"/>
  <c r="BE67" i="1"/>
  <c r="BC67" i="1"/>
  <c r="AI67" i="1"/>
  <c r="AG67" i="1"/>
  <c r="Z67" i="1"/>
  <c r="BE66" i="1"/>
  <c r="AI66" i="1"/>
  <c r="AG66" i="1"/>
  <c r="Z66" i="1"/>
  <c r="BE65" i="1"/>
  <c r="AI65" i="1"/>
  <c r="AG65" i="1"/>
  <c r="Z65" i="1"/>
  <c r="BE64" i="1"/>
  <c r="AT64" i="1"/>
  <c r="AI64" i="1"/>
  <c r="AG64" i="1"/>
  <c r="Z64" i="1"/>
  <c r="BE63" i="1"/>
  <c r="BC63" i="1"/>
  <c r="AI63" i="1"/>
  <c r="AG63" i="1"/>
  <c r="Z63" i="1"/>
  <c r="BE62" i="1"/>
  <c r="AI62" i="1"/>
  <c r="AG62" i="1"/>
  <c r="Z62" i="1"/>
  <c r="BE61" i="1"/>
  <c r="AI61" i="1"/>
  <c r="AG61" i="1"/>
  <c r="Z61" i="1"/>
  <c r="BE60" i="1"/>
  <c r="AT60" i="1"/>
  <c r="AI60" i="1"/>
  <c r="AG60" i="1"/>
  <c r="Z60" i="1"/>
  <c r="BE59" i="1"/>
  <c r="BC59" i="1"/>
  <c r="AI59" i="1"/>
  <c r="AG59" i="1"/>
  <c r="Z59" i="1"/>
  <c r="BE58" i="1"/>
  <c r="AI58" i="1"/>
  <c r="AG58" i="1"/>
  <c r="Z58" i="1"/>
  <c r="BE57" i="1"/>
  <c r="AI57" i="1"/>
  <c r="AG57" i="1"/>
  <c r="Z57" i="1"/>
  <c r="BE56" i="1"/>
  <c r="AT56" i="1"/>
  <c r="AI56" i="1"/>
  <c r="AG56" i="1"/>
  <c r="Z56" i="1"/>
  <c r="BE55" i="1"/>
  <c r="BC55" i="1"/>
  <c r="AI55" i="1"/>
  <c r="AG55" i="1"/>
  <c r="Z55" i="1"/>
  <c r="BE54" i="1"/>
  <c r="AI54" i="1"/>
  <c r="AG54" i="1"/>
  <c r="Z54" i="1"/>
  <c r="BE53" i="1"/>
  <c r="AI53" i="1"/>
  <c r="AG53" i="1"/>
  <c r="Z53" i="1"/>
  <c r="BE52" i="1"/>
  <c r="AT52" i="1"/>
  <c r="AI52" i="1"/>
  <c r="AG52" i="1"/>
  <c r="Z52" i="1"/>
  <c r="BE51" i="1"/>
  <c r="BC51" i="1"/>
  <c r="AI51" i="1"/>
  <c r="AG51" i="1"/>
  <c r="Z51" i="1"/>
  <c r="BE50" i="1"/>
  <c r="AI50" i="1"/>
  <c r="AG50" i="1"/>
  <c r="Z50" i="1"/>
  <c r="BE49" i="1"/>
  <c r="AI49" i="1"/>
  <c r="AG49" i="1"/>
  <c r="Z49" i="1"/>
  <c r="BE48" i="1"/>
  <c r="AT48" i="1"/>
  <c r="AI48" i="1"/>
  <c r="AG48" i="1"/>
  <c r="Z48" i="1"/>
  <c r="BE47" i="1"/>
  <c r="BC47" i="1"/>
  <c r="AI47" i="1"/>
  <c r="AG47" i="1"/>
  <c r="Z47" i="1"/>
  <c r="BE46" i="1"/>
  <c r="AI46" i="1"/>
  <c r="AG46" i="1"/>
  <c r="Z46" i="1"/>
  <c r="BE45" i="1"/>
  <c r="AI45" i="1"/>
  <c r="AG45" i="1"/>
  <c r="Z45" i="1"/>
  <c r="BE44" i="1"/>
  <c r="AT44" i="1"/>
  <c r="AI44" i="1"/>
  <c r="AG44" i="1"/>
  <c r="Z44" i="1"/>
  <c r="BE43" i="1"/>
  <c r="BC43" i="1"/>
  <c r="AI43" i="1"/>
  <c r="AG43" i="1"/>
  <c r="Z43" i="1"/>
  <c r="S43" i="1"/>
  <c r="BE42" i="1"/>
  <c r="AI42" i="1"/>
  <c r="AG42" i="1"/>
  <c r="Z42" i="1"/>
  <c r="BE41" i="1"/>
  <c r="AI41" i="1"/>
  <c r="AG41" i="1"/>
  <c r="Z41" i="1"/>
  <c r="BE40" i="1"/>
  <c r="AT40" i="1"/>
  <c r="AI40" i="1"/>
  <c r="AG40" i="1"/>
  <c r="Z40" i="1"/>
  <c r="BE39" i="1"/>
  <c r="BC39" i="1"/>
  <c r="AI39" i="1"/>
  <c r="AG39" i="1"/>
  <c r="Z39" i="1"/>
  <c r="BE38" i="1"/>
  <c r="AI38" i="1"/>
  <c r="AG38" i="1"/>
  <c r="Z38" i="1"/>
  <c r="BE37" i="1"/>
  <c r="AI37" i="1"/>
  <c r="AG37" i="1"/>
  <c r="Z37" i="1"/>
  <c r="BE36" i="1"/>
  <c r="AT36" i="1"/>
  <c r="AI36" i="1"/>
  <c r="AG36" i="1"/>
  <c r="Z36" i="1"/>
  <c r="BE35" i="1"/>
  <c r="BC35" i="1"/>
  <c r="AI35" i="1"/>
  <c r="AG35" i="1"/>
  <c r="Z35" i="1"/>
  <c r="BE34" i="1"/>
  <c r="AI34" i="1"/>
  <c r="AG34" i="1"/>
  <c r="Z34" i="1"/>
  <c r="BE33" i="1"/>
  <c r="AI33" i="1"/>
  <c r="AG33" i="1"/>
  <c r="Z33" i="1"/>
  <c r="BE32" i="1"/>
  <c r="AT32" i="1"/>
  <c r="AN7" i="1"/>
  <c r="AP7" i="1"/>
  <c r="AN8" i="1"/>
  <c r="AO7" i="1"/>
  <c r="AO8" i="1"/>
  <c r="AQ8" i="1"/>
  <c r="AN9" i="1"/>
  <c r="AQ9" i="1"/>
  <c r="AN10" i="1"/>
  <c r="AQ10" i="1"/>
  <c r="AN11" i="1"/>
  <c r="AQ11" i="1"/>
  <c r="AN12" i="1"/>
  <c r="AQ12" i="1"/>
  <c r="AN13" i="1"/>
  <c r="AQ13" i="1"/>
  <c r="AN14" i="1"/>
  <c r="AQ14" i="1"/>
  <c r="AN15" i="1"/>
  <c r="AQ15" i="1"/>
  <c r="AN16" i="1"/>
  <c r="AQ16" i="1"/>
  <c r="AN17" i="1"/>
  <c r="AQ17" i="1"/>
  <c r="AN18" i="1"/>
  <c r="AQ18" i="1"/>
  <c r="AN19" i="1"/>
  <c r="AQ19" i="1"/>
  <c r="AN20" i="1"/>
  <c r="AQ20" i="1"/>
  <c r="AN21" i="1"/>
  <c r="AQ21" i="1"/>
  <c r="AN22" i="1"/>
  <c r="AQ22" i="1"/>
  <c r="AN23" i="1"/>
  <c r="AQ23" i="1"/>
  <c r="AN24" i="1"/>
  <c r="AQ24" i="1"/>
  <c r="AN25" i="1"/>
  <c r="AQ25" i="1"/>
  <c r="AN26" i="1"/>
  <c r="AQ26" i="1"/>
  <c r="AN27" i="1"/>
  <c r="AQ27" i="1"/>
  <c r="AN28" i="1"/>
  <c r="AQ28" i="1"/>
  <c r="AN29" i="1"/>
  <c r="AQ32" i="1"/>
  <c r="AI32" i="1"/>
  <c r="AG32" i="1"/>
  <c r="Z32" i="1"/>
  <c r="BE31" i="1"/>
  <c r="BC31" i="1"/>
  <c r="AQ31" i="1"/>
  <c r="AI31" i="1"/>
  <c r="AG31" i="1"/>
  <c r="Z31" i="1"/>
  <c r="BE30" i="1"/>
  <c r="AQ29" i="1"/>
  <c r="AQ6" i="1"/>
  <c r="AQ30" i="1"/>
  <c r="AI30" i="1"/>
  <c r="AG30" i="1"/>
  <c r="Z30" i="1"/>
  <c r="C24" i="1"/>
  <c r="C25" i="1"/>
  <c r="C26" i="1"/>
  <c r="C27" i="1"/>
  <c r="C30" i="1"/>
  <c r="BI29" i="1"/>
  <c r="BL29" i="1"/>
  <c r="BH29" i="1"/>
  <c r="BG29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E29" i="1"/>
  <c r="AS29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R29" i="1"/>
  <c r="AM29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I29" i="1"/>
  <c r="AG29" i="1"/>
  <c r="Z29" i="1"/>
  <c r="BI28" i="1"/>
  <c r="BL28" i="1"/>
  <c r="BH28" i="1"/>
  <c r="BG28" i="1"/>
  <c r="BE28" i="1"/>
  <c r="AT28" i="1"/>
  <c r="AS28" i="1"/>
  <c r="AR28" i="1"/>
  <c r="AM28" i="1"/>
  <c r="AI28" i="1"/>
  <c r="AG28" i="1"/>
  <c r="Z28" i="1"/>
  <c r="BI27" i="1"/>
  <c r="BL27" i="1"/>
  <c r="BH27" i="1"/>
  <c r="BG27" i="1"/>
  <c r="BE27" i="1"/>
  <c r="BC27" i="1"/>
  <c r="AS27" i="1"/>
  <c r="AR27" i="1"/>
  <c r="AM27" i="1"/>
  <c r="AI27" i="1"/>
  <c r="AG27" i="1"/>
  <c r="Z27" i="1"/>
  <c r="BI26" i="1"/>
  <c r="BL26" i="1"/>
  <c r="BH26" i="1"/>
  <c r="BG26" i="1"/>
  <c r="BE26" i="1"/>
  <c r="AS26" i="1"/>
  <c r="AR26" i="1"/>
  <c r="AM26" i="1"/>
  <c r="AI26" i="1"/>
  <c r="AG26" i="1"/>
  <c r="Z26" i="1"/>
  <c r="BI25" i="1"/>
  <c r="BL25" i="1"/>
  <c r="BH25" i="1"/>
  <c r="BG25" i="1"/>
  <c r="BE25" i="1"/>
  <c r="AS25" i="1"/>
  <c r="AR25" i="1"/>
  <c r="AM25" i="1"/>
  <c r="AI25" i="1"/>
  <c r="Z25" i="1"/>
  <c r="BI24" i="1"/>
  <c r="BL24" i="1"/>
  <c r="BH24" i="1"/>
  <c r="BG24" i="1"/>
  <c r="BE24" i="1"/>
  <c r="BD24" i="1"/>
  <c r="AT24" i="1"/>
  <c r="AS24" i="1"/>
  <c r="AR24" i="1"/>
  <c r="AM24" i="1"/>
  <c r="AI24" i="1"/>
  <c r="Z24" i="1"/>
  <c r="BI23" i="1"/>
  <c r="BL23" i="1"/>
  <c r="BH23" i="1"/>
  <c r="BG23" i="1"/>
  <c r="BE23" i="1"/>
  <c r="AZ23" i="1"/>
  <c r="AX23" i="1"/>
  <c r="AS23" i="1"/>
  <c r="AR23" i="1"/>
  <c r="AM23" i="1"/>
  <c r="AI23" i="1"/>
  <c r="Z23" i="1"/>
  <c r="BI22" i="1"/>
  <c r="BL22" i="1"/>
  <c r="BH22" i="1"/>
  <c r="BG22" i="1"/>
  <c r="BE22" i="1"/>
  <c r="AZ22" i="1"/>
  <c r="AX22" i="1"/>
  <c r="AS22" i="1"/>
  <c r="AR22" i="1"/>
  <c r="AM22" i="1"/>
  <c r="AI22" i="1"/>
  <c r="Z22" i="1"/>
  <c r="BI21" i="1"/>
  <c r="BL21" i="1"/>
  <c r="BH21" i="1"/>
  <c r="BG21" i="1"/>
  <c r="BE21" i="1"/>
  <c r="AZ21" i="1"/>
  <c r="AX21" i="1"/>
  <c r="AS21" i="1"/>
  <c r="AR21" i="1"/>
  <c r="AM21" i="1"/>
  <c r="AI21" i="1"/>
  <c r="Z21" i="1"/>
  <c r="BI20" i="1"/>
  <c r="BL20" i="1"/>
  <c r="BH20" i="1"/>
  <c r="BG20" i="1"/>
  <c r="BE20" i="1"/>
  <c r="AZ20" i="1"/>
  <c r="AX20" i="1"/>
  <c r="AS20" i="1"/>
  <c r="AR20" i="1"/>
  <c r="AM20" i="1"/>
  <c r="AI20" i="1"/>
  <c r="Z20" i="1"/>
  <c r="BI19" i="1"/>
  <c r="BL19" i="1"/>
  <c r="BH19" i="1"/>
  <c r="BG19" i="1"/>
  <c r="BE19" i="1"/>
  <c r="AZ19" i="1"/>
  <c r="AX19" i="1"/>
  <c r="AS19" i="1"/>
  <c r="AR19" i="1"/>
  <c r="AM19" i="1"/>
  <c r="AI19" i="1"/>
  <c r="Z19" i="1"/>
  <c r="BI18" i="1"/>
  <c r="BL18" i="1"/>
  <c r="BH18" i="1"/>
  <c r="BG18" i="1"/>
  <c r="BE18" i="1"/>
  <c r="AZ18" i="1"/>
  <c r="AX18" i="1"/>
  <c r="AS18" i="1"/>
  <c r="AR18" i="1"/>
  <c r="AM18" i="1"/>
  <c r="AI18" i="1"/>
  <c r="Z18" i="1"/>
  <c r="BI17" i="1"/>
  <c r="BL17" i="1"/>
  <c r="BH17" i="1"/>
  <c r="BG17" i="1"/>
  <c r="BE17" i="1"/>
  <c r="AZ17" i="1"/>
  <c r="AX17" i="1"/>
  <c r="AS17" i="1"/>
  <c r="AR17" i="1"/>
  <c r="AM17" i="1"/>
  <c r="AI17" i="1"/>
  <c r="Z17" i="1"/>
  <c r="BI16" i="1"/>
  <c r="BL16" i="1"/>
  <c r="BH16" i="1"/>
  <c r="BG16" i="1"/>
  <c r="BE16" i="1"/>
  <c r="AZ16" i="1"/>
  <c r="AX16" i="1"/>
  <c r="AS16" i="1"/>
  <c r="AR16" i="1"/>
  <c r="AM16" i="1"/>
  <c r="AI16" i="1"/>
  <c r="Z16" i="1"/>
  <c r="BI15" i="1"/>
  <c r="BL15" i="1"/>
  <c r="BH15" i="1"/>
  <c r="BG15" i="1"/>
  <c r="BE15" i="1"/>
  <c r="AZ15" i="1"/>
  <c r="AX15" i="1"/>
  <c r="AS15" i="1"/>
  <c r="AR15" i="1"/>
  <c r="AM15" i="1"/>
  <c r="AI15" i="1"/>
  <c r="Z15" i="1"/>
  <c r="BI14" i="1"/>
  <c r="BL14" i="1"/>
  <c r="BH14" i="1"/>
  <c r="BG14" i="1"/>
  <c r="BE14" i="1"/>
  <c r="AS14" i="1"/>
  <c r="AR14" i="1"/>
  <c r="AM14" i="1"/>
  <c r="AI14" i="1"/>
  <c r="Z14" i="1"/>
  <c r="BI13" i="1"/>
  <c r="BL13" i="1"/>
  <c r="BH13" i="1"/>
  <c r="BG13" i="1"/>
  <c r="BE13" i="1"/>
  <c r="AS13" i="1"/>
  <c r="AR13" i="1"/>
  <c r="AM13" i="1"/>
  <c r="BI12" i="1"/>
  <c r="BL12" i="1"/>
  <c r="BH12" i="1"/>
  <c r="BG12" i="1"/>
  <c r="BE12" i="1"/>
  <c r="AW12" i="1"/>
  <c r="AS12" i="1"/>
  <c r="AR12" i="1"/>
  <c r="AM12" i="1"/>
  <c r="BI11" i="1"/>
  <c r="BL11" i="1"/>
  <c r="BH11" i="1"/>
  <c r="BG11" i="1"/>
  <c r="BE11" i="1"/>
  <c r="AW11" i="1"/>
  <c r="AS11" i="1"/>
  <c r="AR11" i="1"/>
  <c r="AM11" i="1"/>
  <c r="BI10" i="1"/>
  <c r="BH10" i="1"/>
  <c r="BG10" i="1"/>
  <c r="BE10" i="1"/>
  <c r="AW10" i="1"/>
  <c r="AS10" i="1"/>
  <c r="AR10" i="1"/>
  <c r="AM10" i="1"/>
  <c r="BI9" i="1"/>
  <c r="BH9" i="1"/>
  <c r="BG9" i="1"/>
  <c r="BE9" i="1"/>
  <c r="AW9" i="1"/>
  <c r="AS9" i="1"/>
  <c r="AR9" i="1"/>
  <c r="AM9" i="1"/>
  <c r="BI8" i="1"/>
  <c r="BH8" i="1"/>
  <c r="BG8" i="1"/>
  <c r="BE8" i="1"/>
  <c r="AW8" i="1"/>
  <c r="AS8" i="1"/>
  <c r="AR8" i="1"/>
  <c r="AM8" i="1"/>
  <c r="AF8" i="1"/>
  <c r="AI8" i="1"/>
  <c r="Y8" i="1"/>
  <c r="BI7" i="1"/>
  <c r="BH7" i="1"/>
  <c r="BG7" i="1"/>
  <c r="BE7" i="1"/>
  <c r="AW7" i="1"/>
  <c r="AQ7" i="1"/>
  <c r="AS7" i="1"/>
  <c r="AR7" i="1"/>
  <c r="AM7" i="1"/>
  <c r="AF7" i="1"/>
  <c r="AI7" i="1"/>
  <c r="Y7" i="1"/>
  <c r="BI6" i="1"/>
  <c r="BL6" i="1"/>
  <c r="BH6" i="1"/>
  <c r="BG6" i="1"/>
  <c r="BE6" i="1"/>
  <c r="AW6" i="1"/>
  <c r="AS6" i="1"/>
  <c r="AR6" i="1"/>
  <c r="AI6" i="1"/>
  <c r="Y6" i="1"/>
  <c r="BI5" i="1"/>
  <c r="BH5" i="1"/>
  <c r="BG5" i="1"/>
  <c r="BE5" i="1"/>
  <c r="AW5" i="1"/>
  <c r="AQ5" i="1"/>
  <c r="AS5" i="1"/>
  <c r="AR5" i="1"/>
  <c r="AI5" i="1"/>
  <c r="Y5" i="1"/>
  <c r="BI4" i="1"/>
  <c r="BH4" i="1"/>
  <c r="BG4" i="1"/>
  <c r="BE4" i="1"/>
  <c r="AW4" i="1"/>
  <c r="AQ4" i="1"/>
  <c r="AS4" i="1"/>
  <c r="AR4" i="1"/>
  <c r="AI4" i="1"/>
  <c r="Y4" i="1"/>
  <c r="BI3" i="1"/>
  <c r="BH3" i="1"/>
  <c r="BG3" i="1"/>
  <c r="BE3" i="1"/>
  <c r="AI3" i="1"/>
  <c r="Y3" i="1"/>
</calcChain>
</file>

<file path=xl/sharedStrings.xml><?xml version="1.0" encoding="utf-8"?>
<sst xmlns="http://schemas.openxmlformats.org/spreadsheetml/2006/main" count="223" uniqueCount="69">
  <si>
    <t>Año</t>
  </si>
  <si>
    <t>Trimestre</t>
  </si>
  <si>
    <t>Prestaciones seguridad social, harmonizadas (sin pensión universal)</t>
  </si>
  <si>
    <t>Prestaciones seguridad social (sin pensión universal)</t>
  </si>
  <si>
    <t>Pensión universal neta</t>
  </si>
  <si>
    <t>Transferencias PAMI por pensión universal neta</t>
  </si>
  <si>
    <t>Asignaciones familiares</t>
  </si>
  <si>
    <t>Transferencias PAMI desde ANSES</t>
  </si>
  <si>
    <t>Transferencias corrientes al sector privado, harmonizadas</t>
  </si>
  <si>
    <t>Contribuciones a ANSES</t>
  </si>
  <si>
    <t>Contribuciones a ANSES, harmonizadas</t>
  </si>
  <si>
    <t>Impuesto integrado monotributo</t>
  </si>
  <si>
    <t>Impuesto integrado monotributo, harmonizado</t>
  </si>
  <si>
    <t>Déficit simulado, no harmonizado</t>
  </si>
  <si>
    <t>Déficit simulado, harmonizado (sin el impuesto integrado)</t>
  </si>
  <si>
    <t>PIB en pesos corrientes (precio de mercado)</t>
  </si>
  <si>
    <t>IPC 2014 noviembre</t>
  </si>
  <si>
    <t>PIB en pesos constantes noviembre 2014</t>
  </si>
  <si>
    <t>Crecimiento real del PIB</t>
  </si>
  <si>
    <t>Déficit trimestral bismarckiano</t>
  </si>
  <si>
    <t>Deficit annual bismarckiano</t>
  </si>
  <si>
    <t>Costo reparación histórica estimado,miles de pesos de noviembre 2014</t>
  </si>
  <si>
    <t>Crecimiento anual PIB (4to trim a 4to trim)</t>
  </si>
  <si>
    <t>Fondos blanqueo disponibles (Diciembre)</t>
  </si>
  <si>
    <t>Evolución futura del FGS, financiando reparación histórica (valores Diciembre)</t>
  </si>
  <si>
    <t>Evolución futura del FGS, financiando reparación histórica (valores Diciembre) % PIB</t>
  </si>
  <si>
    <t>Crecimiento anual del PIB</t>
  </si>
  <si>
    <t>total_active</t>
  </si>
  <si>
    <t>Crecimiento población activa</t>
  </si>
  <si>
    <t>Crecimiento salarios reales simulados</t>
  </si>
  <si>
    <t>Crecimiento PIB real con salarios aumentando 2% annual</t>
  </si>
  <si>
    <t>Contribuciones a SIPA en porcentaje PIB, simulado</t>
  </si>
  <si>
    <t>Contribuciones anuales en % PIB</t>
  </si>
  <si>
    <t>Asignaciones familiares + transferencias a PAMI en % PIB</t>
  </si>
  <si>
    <t>Prestaciones de seguridad social en % PIB</t>
  </si>
  <si>
    <t>Costo de la pensión universal en % del PIB</t>
  </si>
  <si>
    <t>Déficit incluyendo el costo de la pensión unviersal</t>
  </si>
  <si>
    <t>Medidas EPH</t>
  </si>
  <si>
    <t>Simuladas</t>
  </si>
  <si>
    <t>Simulado</t>
  </si>
  <si>
    <t>A escala</t>
  </si>
  <si>
    <t>Medido EPH</t>
  </si>
  <si>
    <t>Salarios reales</t>
  </si>
  <si>
    <t>Crecimiento</t>
  </si>
  <si>
    <t>Sin financiar</t>
  </si>
  <si>
    <t>Financiando</t>
  </si>
  <si>
    <t>158 vs 160</t>
  </si>
  <si>
    <t>Prestaciones seguridad social, harmonizadas</t>
  </si>
  <si>
    <t>Prestaciones seguridad social</t>
  </si>
  <si>
    <t>Crecimiento PIB real con salarios aumentando 1% annual</t>
  </si>
  <si>
    <t>Crecimiento PIB real con salarios aumentando 3% annual</t>
  </si>
  <si>
    <t>Déficit incluyendo el costo de la pensión universal</t>
  </si>
  <si>
    <t>197 vs 208!</t>
  </si>
  <si>
    <t>CENTRAL</t>
  </si>
  <si>
    <t>LOW</t>
  </si>
  <si>
    <t>HIGH</t>
  </si>
  <si>
    <t>Central scenario, ANSES bismarckian deficit</t>
  </si>
  <si>
    <t>Central scenario, bismarckian deficit including universal pension</t>
  </si>
  <si>
    <t>Low scenario, ANSES bismarckian deficit</t>
  </si>
  <si>
    <t>Low scenario, bismarckian deficit including universal pension</t>
  </si>
  <si>
    <t>High scenario, ANSES bismarckian deficit</t>
  </si>
  <si>
    <t>High scenario, bismarckian deficit including universal pension</t>
  </si>
  <si>
    <t>Historical values</t>
  </si>
  <si>
    <t>Central scenario</t>
  </si>
  <si>
    <t>Central scenario, including universal pension</t>
  </si>
  <si>
    <t>Low scenario</t>
  </si>
  <si>
    <t>Low scenario, including universal pension</t>
  </si>
  <si>
    <t>High scenario</t>
  </si>
  <si>
    <t>High scenario, including universal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</si>
</sst>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\-??\ _€_-;_-@_-"/>
  </numFmts>
  <fonts count="6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83CAFF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164" fontId="1" fillId="0" borderId="0" applyBorder="0" applyProtection="0"/>
    <xf numFmtId="9" fontId="1" fillId="0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0" xfId="0" applyFont="1" applyFill="1" applyBorder="1" applyAlignment="1">
      <alignment horizontal="justify"/>
    </xf>
    <xf numFmtId="0" fontId="0" fillId="2" borderId="0" xfId="0" applyFont="1" applyFill="1" applyAlignment="1">
      <alignment horizontal="justify"/>
    </xf>
    <xf numFmtId="3" fontId="0" fillId="2" borderId="0" xfId="0" applyNumberFormat="1" applyFont="1" applyFill="1" applyAlignment="1">
      <alignment horizontal="justify"/>
    </xf>
    <xf numFmtId="0" fontId="0" fillId="2" borderId="0" xfId="0" applyFill="1" applyAlignment="1">
      <alignment horizontal="justify"/>
    </xf>
    <xf numFmtId="0" fontId="0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2" fillId="2" borderId="0" xfId="0" applyFont="1" applyFill="1" applyAlignment="1">
      <alignment wrapText="1"/>
    </xf>
    <xf numFmtId="0" fontId="0" fillId="3" borderId="0" xfId="0" applyFill="1"/>
    <xf numFmtId="3" fontId="0" fillId="3" borderId="0" xfId="0" applyNumberFormat="1" applyFont="1" applyFill="1"/>
    <xf numFmtId="0" fontId="2" fillId="3" borderId="0" xfId="0" applyFont="1" applyFill="1"/>
    <xf numFmtId="3" fontId="0" fillId="3" borderId="0" xfId="0" applyNumberFormat="1" applyFill="1"/>
    <xf numFmtId="3" fontId="0" fillId="2" borderId="0" xfId="0" applyNumberFormat="1" applyFill="1"/>
    <xf numFmtId="10" fontId="0" fillId="3" borderId="0" xfId="0" applyNumberFormat="1" applyFill="1"/>
    <xf numFmtId="10" fontId="2" fillId="3" borderId="0" xfId="0" applyNumberFormat="1" applyFont="1" applyFill="1"/>
    <xf numFmtId="10" fontId="0" fillId="0" borderId="0" xfId="0" applyNumberFormat="1"/>
    <xf numFmtId="10" fontId="0" fillId="3" borderId="0" xfId="2" applyNumberFormat="1" applyFont="1" applyFill="1" applyBorder="1" applyAlignment="1" applyProtection="1"/>
    <xf numFmtId="3" fontId="0" fillId="4" borderId="0" xfId="0" applyNumberFormat="1" applyFill="1"/>
    <xf numFmtId="3" fontId="0" fillId="5" borderId="0" xfId="0" applyNumberFormat="1" applyFill="1"/>
    <xf numFmtId="3" fontId="0" fillId="0" borderId="0" xfId="0" applyNumberFormat="1" applyFont="1"/>
    <xf numFmtId="3" fontId="0" fillId="0" borderId="0" xfId="0" applyNumberFormat="1"/>
    <xf numFmtId="3" fontId="0" fillId="2" borderId="0" xfId="0" applyNumberFormat="1" applyFont="1" applyFill="1"/>
    <xf numFmtId="0" fontId="2" fillId="0" borderId="0" xfId="0" applyFont="1"/>
    <xf numFmtId="10" fontId="2" fillId="0" borderId="0" xfId="0" applyNumberFormat="1" applyFont="1"/>
    <xf numFmtId="10" fontId="0" fillId="0" borderId="0" xfId="2" applyNumberFormat="1" applyFont="1" applyBorder="1" applyAlignment="1" applyProtection="1"/>
    <xf numFmtId="0" fontId="0" fillId="5" borderId="0" xfId="0" applyFill="1"/>
    <xf numFmtId="3" fontId="0" fillId="5" borderId="0" xfId="0" applyNumberFormat="1" applyFont="1" applyFill="1"/>
    <xf numFmtId="10" fontId="0" fillId="4" borderId="0" xfId="0" applyNumberFormat="1" applyFill="1"/>
    <xf numFmtId="0" fontId="2" fillId="4" borderId="0" xfId="0" applyFont="1" applyFill="1"/>
    <xf numFmtId="10" fontId="2" fillId="4" borderId="0" xfId="0" applyNumberFormat="1" applyFont="1" applyFill="1"/>
    <xf numFmtId="10" fontId="0" fillId="4" borderId="0" xfId="2" applyNumberFormat="1" applyFont="1" applyFill="1" applyBorder="1" applyAlignment="1" applyProtection="1"/>
    <xf numFmtId="4" fontId="0" fillId="5" borderId="0" xfId="0" applyNumberFormat="1" applyFill="1"/>
    <xf numFmtId="10" fontId="0" fillId="5" borderId="0" xfId="0" applyNumberFormat="1" applyFill="1"/>
    <xf numFmtId="0" fontId="0" fillId="4" borderId="0" xfId="0" applyFill="1"/>
    <xf numFmtId="0" fontId="2" fillId="5" borderId="0" xfId="0" applyFont="1" applyFill="1"/>
    <xf numFmtId="10" fontId="2" fillId="5" borderId="0" xfId="0" applyNumberFormat="1" applyFont="1" applyFill="1"/>
    <xf numFmtId="10" fontId="0" fillId="5" borderId="0" xfId="2" applyNumberFormat="1" applyFont="1" applyFill="1" applyBorder="1" applyAlignment="1" applyProtection="1"/>
    <xf numFmtId="3" fontId="0" fillId="4" borderId="0" xfId="0" applyNumberFormat="1" applyFont="1" applyFill="1"/>
    <xf numFmtId="4" fontId="0" fillId="4" borderId="0" xfId="0" applyNumberFormat="1" applyFill="1"/>
    <xf numFmtId="10" fontId="1" fillId="0" borderId="0" xfId="2" applyNumberFormat="1" applyBorder="1" applyProtection="1"/>
    <xf numFmtId="9" fontId="0" fillId="4" borderId="0" xfId="2" applyFont="1" applyFill="1" applyBorder="1" applyAlignment="1" applyProtection="1"/>
    <xf numFmtId="0" fontId="0" fillId="5" borderId="0" xfId="0" applyFill="1" applyAlignment="1">
      <alignment wrapText="1"/>
    </xf>
    <xf numFmtId="3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right" wrapText="1"/>
    </xf>
    <xf numFmtId="2" fontId="0" fillId="5" borderId="0" xfId="0" applyNumberFormat="1" applyFill="1"/>
    <xf numFmtId="3" fontId="0" fillId="4" borderId="0" xfId="0" applyNumberFormat="1" applyFill="1" applyAlignment="1">
      <alignment horizontal="right" wrapText="1"/>
    </xf>
    <xf numFmtId="0" fontId="0" fillId="4" borderId="0" xfId="0" applyFill="1" applyAlignment="1">
      <alignment horizontal="right" wrapText="1"/>
    </xf>
    <xf numFmtId="2" fontId="0" fillId="4" borderId="0" xfId="0" applyNumberFormat="1" applyFill="1"/>
    <xf numFmtId="1" fontId="0" fillId="5" borderId="0" xfId="0" applyNumberFormat="1" applyFill="1" applyAlignment="1">
      <alignment horizontal="right" wrapText="1"/>
    </xf>
    <xf numFmtId="164" fontId="1" fillId="0" borderId="0" xfId="1" applyBorder="1" applyAlignment="1" applyProtection="1"/>
    <xf numFmtId="0" fontId="3" fillId="6" borderId="1" xfId="0" applyFont="1" applyFill="1" applyBorder="1"/>
    <xf numFmtId="10" fontId="3" fillId="7" borderId="2" xfId="0" applyNumberFormat="1" applyFont="1" applyFill="1" applyBorder="1" applyAlignment="1">
      <alignment horizontal="right"/>
    </xf>
    <xf numFmtId="10" fontId="3" fillId="5" borderId="2" xfId="0" applyNumberFormat="1" applyFont="1" applyFill="1" applyBorder="1" applyAlignment="1">
      <alignment horizontal="right"/>
    </xf>
  </cellXfs>
  <cellStyles count="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'Graphiques déficit'!$B$3:$B$4</c:f>
              <c:strCache>
                <c:ptCount val="1"/>
                <c:pt idx="0">
                  <c:v>Central scenario, ANSES bismarckian deficit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'Graphiques déficit'!$A$5:$A$31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cat>
          <c:val>
            <c:numRef>
              <c:f>'Graphiques déficit'!$B$5:$B$31</c:f>
              <c:numCache>
                <c:formatCode>0.00%</c:formatCode>
                <c:ptCount val="27"/>
                <c:pt idx="0">
                  <c:v>-0.0207644505662547</c:v>
                </c:pt>
                <c:pt idx="1">
                  <c:v>-0.0301446856045611</c:v>
                </c:pt>
                <c:pt idx="2">
                  <c:v>-0.0333069422495347</c:v>
                </c:pt>
                <c:pt idx="3">
                  <c:v>-0.0384825884981416</c:v>
                </c:pt>
                <c:pt idx="4">
                  <c:v>-0.0370109552329993</c:v>
                </c:pt>
                <c:pt idx="5">
                  <c:v>-0.0386379445312578</c:v>
                </c:pt>
                <c:pt idx="6">
                  <c:v>-0.040920927675003</c:v>
                </c:pt>
                <c:pt idx="7">
                  <c:v>-0.0418579918275181</c:v>
                </c:pt>
                <c:pt idx="8">
                  <c:v>-0.0427730881938849</c:v>
                </c:pt>
                <c:pt idx="9">
                  <c:v>-0.0412972239271763</c:v>
                </c:pt>
                <c:pt idx="10">
                  <c:v>-0.0399509025636852</c:v>
                </c:pt>
                <c:pt idx="11">
                  <c:v>-0.038228061951209</c:v>
                </c:pt>
                <c:pt idx="12">
                  <c:v>-0.0373540562672838</c:v>
                </c:pt>
                <c:pt idx="13">
                  <c:v>-0.036513186434725</c:v>
                </c:pt>
                <c:pt idx="14">
                  <c:v>-0.0347028258592377</c:v>
                </c:pt>
                <c:pt idx="15">
                  <c:v>-0.034338588033491</c:v>
                </c:pt>
                <c:pt idx="16">
                  <c:v>-0.0331692616063815</c:v>
                </c:pt>
                <c:pt idx="17">
                  <c:v>-0.0320341937426147</c:v>
                </c:pt>
                <c:pt idx="18">
                  <c:v>-0.0314462903548744</c:v>
                </c:pt>
                <c:pt idx="19">
                  <c:v>-0.0318223396626028</c:v>
                </c:pt>
                <c:pt idx="20">
                  <c:v>-0.0315411168992443</c:v>
                </c:pt>
                <c:pt idx="21">
                  <c:v>-0.0306031824689069</c:v>
                </c:pt>
                <c:pt idx="22">
                  <c:v>-0.0304318180494739</c:v>
                </c:pt>
                <c:pt idx="23">
                  <c:v>-0.0302608790314295</c:v>
                </c:pt>
                <c:pt idx="24">
                  <c:v>-0.0303190296393815</c:v>
                </c:pt>
                <c:pt idx="25">
                  <c:v>-0.0300729978997815</c:v>
                </c:pt>
                <c:pt idx="26">
                  <c:v>-0.0298976665197694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'Graphiques déficit'!$C$3:$C$4</c:f>
              <c:strCache>
                <c:ptCount val="1"/>
                <c:pt idx="0">
                  <c:v>Central scenario, bismarckian deficit including universal pension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'Graphiques déficit'!$A$5:$A$31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cat>
          <c:val>
            <c:numRef>
              <c:f>'Graphiques déficit'!$C$5:$C$31</c:f>
              <c:numCache>
                <c:formatCode>0.00%</c:formatCode>
                <c:ptCount val="27"/>
                <c:pt idx="0">
                  <c:v>-0.0207644505662547</c:v>
                </c:pt>
                <c:pt idx="1">
                  <c:v>-0.0301446856045611</c:v>
                </c:pt>
                <c:pt idx="2">
                  <c:v>-0.0333427927372119</c:v>
                </c:pt>
                <c:pt idx="3">
                  <c:v>-0.0389344817742664</c:v>
                </c:pt>
                <c:pt idx="4">
                  <c:v>-0.0378389592401252</c:v>
                </c:pt>
                <c:pt idx="5">
                  <c:v>-0.0398115981566916</c:v>
                </c:pt>
                <c:pt idx="6">
                  <c:v>-0.0425076031641921</c:v>
                </c:pt>
                <c:pt idx="7">
                  <c:v>-0.0438309496055214</c:v>
                </c:pt>
                <c:pt idx="8">
                  <c:v>-0.0451956461902915</c:v>
                </c:pt>
                <c:pt idx="9">
                  <c:v>-0.0441000911613026</c:v>
                </c:pt>
                <c:pt idx="10">
                  <c:v>-0.0430381296661769</c:v>
                </c:pt>
                <c:pt idx="11">
                  <c:v>-0.0422246089552352</c:v>
                </c:pt>
                <c:pt idx="12">
                  <c:v>-0.0424466707064481</c:v>
                </c:pt>
                <c:pt idx="13">
                  <c:v>-0.0427278833581615</c:v>
                </c:pt>
                <c:pt idx="14">
                  <c:v>-0.0420476983011942</c:v>
                </c:pt>
                <c:pt idx="15">
                  <c:v>-0.042554354442923</c:v>
                </c:pt>
                <c:pt idx="16">
                  <c:v>-0.0422855973979048</c:v>
                </c:pt>
                <c:pt idx="17">
                  <c:v>-0.0421579586086833</c:v>
                </c:pt>
                <c:pt idx="18">
                  <c:v>-0.0424631533490088</c:v>
                </c:pt>
                <c:pt idx="19">
                  <c:v>-0.0435743069251708</c:v>
                </c:pt>
                <c:pt idx="20">
                  <c:v>-0.0441333560292524</c:v>
                </c:pt>
                <c:pt idx="21">
                  <c:v>-0.0443491144525628</c:v>
                </c:pt>
                <c:pt idx="22">
                  <c:v>-0.0451486285290137</c:v>
                </c:pt>
                <c:pt idx="23">
                  <c:v>-0.0458800508150418</c:v>
                </c:pt>
                <c:pt idx="24">
                  <c:v>-0.0467822453714504</c:v>
                </c:pt>
                <c:pt idx="25">
                  <c:v>-0.0473293241128303</c:v>
                </c:pt>
                <c:pt idx="26">
                  <c:v>-0.0481478294363993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'Graphiques déficit'!$D$3:$D$4</c:f>
              <c:strCache>
                <c:ptCount val="1"/>
                <c:pt idx="0">
                  <c:v>Low scenario, ANSES bismarckian deficit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'Graphiques déficit'!$A$5:$A$31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cat>
          <c:val>
            <c:numRef>
              <c:f>'Graphiques déficit'!$D$5:$D$31</c:f>
              <c:numCache>
                <c:formatCode>0.00%</c:formatCode>
                <c:ptCount val="27"/>
                <c:pt idx="0">
                  <c:v>-0.0207644505662547</c:v>
                </c:pt>
                <c:pt idx="1">
                  <c:v>-0.0301446856045611</c:v>
                </c:pt>
                <c:pt idx="2">
                  <c:v>-0.0333069422495347</c:v>
                </c:pt>
                <c:pt idx="3">
                  <c:v>-0.0385370839167227</c:v>
                </c:pt>
                <c:pt idx="4">
                  <c:v>-0.0374804060367195</c:v>
                </c:pt>
                <c:pt idx="5">
                  <c:v>-0.0392363316740834</c:v>
                </c:pt>
                <c:pt idx="6">
                  <c:v>-0.0420322631483252</c:v>
                </c:pt>
                <c:pt idx="7">
                  <c:v>-0.0446105364350725</c:v>
                </c:pt>
                <c:pt idx="8">
                  <c:v>-0.0470744829101894</c:v>
                </c:pt>
                <c:pt idx="9">
                  <c:v>-0.0463069863117901</c:v>
                </c:pt>
                <c:pt idx="10">
                  <c:v>-0.0457488147417599</c:v>
                </c:pt>
                <c:pt idx="11">
                  <c:v>-0.0447975684909192</c:v>
                </c:pt>
                <c:pt idx="12">
                  <c:v>-0.0446683824645946</c:v>
                </c:pt>
                <c:pt idx="13">
                  <c:v>-0.0439460330225316</c:v>
                </c:pt>
                <c:pt idx="14">
                  <c:v>-0.0432896410918959</c:v>
                </c:pt>
                <c:pt idx="15">
                  <c:v>-0.0434787454668147</c:v>
                </c:pt>
                <c:pt idx="16">
                  <c:v>-0.0427314855765237</c:v>
                </c:pt>
                <c:pt idx="17">
                  <c:v>-0.0420453397544286</c:v>
                </c:pt>
                <c:pt idx="18">
                  <c:v>-0.042554265534184</c:v>
                </c:pt>
                <c:pt idx="19">
                  <c:v>-0.0422371306531944</c:v>
                </c:pt>
                <c:pt idx="20">
                  <c:v>-0.0424482745949837</c:v>
                </c:pt>
                <c:pt idx="21">
                  <c:v>-0.0422595914643899</c:v>
                </c:pt>
                <c:pt idx="22">
                  <c:v>-0.0418600611749576</c:v>
                </c:pt>
                <c:pt idx="23">
                  <c:v>-0.0427012004981874</c:v>
                </c:pt>
                <c:pt idx="24">
                  <c:v>-0.043144634111856</c:v>
                </c:pt>
                <c:pt idx="25">
                  <c:v>-0.0436691036429808</c:v>
                </c:pt>
                <c:pt idx="26">
                  <c:v>-0.0437102330783321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'Graphiques déficit'!$E$3:$E$4</c:f>
              <c:strCache>
                <c:ptCount val="1"/>
                <c:pt idx="0">
                  <c:v>Low scenario, bismarckian deficit including universal pension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'Graphiques déficit'!$A$5:$A$31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cat>
          <c:val>
            <c:numRef>
              <c:f>'Graphiques déficit'!$E$5:$E$31</c:f>
              <c:numCache>
                <c:formatCode>0.00%</c:formatCode>
                <c:ptCount val="27"/>
                <c:pt idx="0">
                  <c:v>-0.0207644505662547</c:v>
                </c:pt>
                <c:pt idx="1">
                  <c:v>-0.0301446856045611</c:v>
                </c:pt>
                <c:pt idx="2">
                  <c:v>-0.0333427927372119</c:v>
                </c:pt>
                <c:pt idx="3">
                  <c:v>-0.0389889771928474</c:v>
                </c:pt>
                <c:pt idx="4">
                  <c:v>-0.0383109701693901</c:v>
                </c:pt>
                <c:pt idx="5">
                  <c:v>-0.0404182723032221</c:v>
                </c:pt>
                <c:pt idx="6">
                  <c:v>-0.0436146028810422</c:v>
                </c:pt>
                <c:pt idx="7">
                  <c:v>-0.0466925631013555</c:v>
                </c:pt>
                <c:pt idx="8">
                  <c:v>-0.0496779595635672</c:v>
                </c:pt>
                <c:pt idx="9">
                  <c:v>-0.0493146404019398</c:v>
                </c:pt>
                <c:pt idx="10">
                  <c:v>-0.0491163062398249</c:v>
                </c:pt>
                <c:pt idx="11">
                  <c:v>-0.0492138320590268</c:v>
                </c:pt>
                <c:pt idx="12">
                  <c:v>-0.0503027361842482</c:v>
                </c:pt>
                <c:pt idx="13">
                  <c:v>-0.0509349414860818</c:v>
                </c:pt>
                <c:pt idx="14">
                  <c:v>-0.051559951745393</c:v>
                </c:pt>
                <c:pt idx="15">
                  <c:v>-0.0528778883944316</c:v>
                </c:pt>
                <c:pt idx="16">
                  <c:v>-0.0532549541524123</c:v>
                </c:pt>
                <c:pt idx="17">
                  <c:v>-0.0537943681938703</c:v>
                </c:pt>
                <c:pt idx="18">
                  <c:v>-0.0554911885449498</c:v>
                </c:pt>
                <c:pt idx="19">
                  <c:v>-0.0561366237839219</c:v>
                </c:pt>
                <c:pt idx="20">
                  <c:v>-0.0574350163588415</c:v>
                </c:pt>
                <c:pt idx="21">
                  <c:v>-0.0586057702387298</c:v>
                </c:pt>
                <c:pt idx="22">
                  <c:v>-0.059088831062451</c:v>
                </c:pt>
                <c:pt idx="23">
                  <c:v>-0.0611885498308502</c:v>
                </c:pt>
                <c:pt idx="24">
                  <c:v>-0.062898206780911</c:v>
                </c:pt>
                <c:pt idx="25">
                  <c:v>-0.0647287619688103</c:v>
                </c:pt>
                <c:pt idx="26">
                  <c:v>-0.0661474687874843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'Graphiques déficit'!$F$3:$F$4</c:f>
              <c:strCache>
                <c:ptCount val="1"/>
                <c:pt idx="0">
                  <c:v>High scenario, ANSES bismarckian deficit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'Graphiques déficit'!$A$5:$A$31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cat>
          <c:val>
            <c:numRef>
              <c:f>'Graphiques déficit'!$F$5:$F$31</c:f>
              <c:numCache>
                <c:formatCode>0.00%</c:formatCode>
                <c:ptCount val="27"/>
                <c:pt idx="0">
                  <c:v>-0.0207644505662547</c:v>
                </c:pt>
                <c:pt idx="1">
                  <c:v>-0.0301446856045611</c:v>
                </c:pt>
                <c:pt idx="2">
                  <c:v>-0.0333069422495347</c:v>
                </c:pt>
                <c:pt idx="3">
                  <c:v>-0.0384172095016992</c:v>
                </c:pt>
                <c:pt idx="4">
                  <c:v>-0.0365114874442461</c:v>
                </c:pt>
                <c:pt idx="5">
                  <c:v>-0.0368944273961639</c:v>
                </c:pt>
                <c:pt idx="6">
                  <c:v>-0.0379042436947396</c:v>
                </c:pt>
                <c:pt idx="7">
                  <c:v>-0.0384762882955507</c:v>
                </c:pt>
                <c:pt idx="8">
                  <c:v>-0.0387717718605734</c:v>
                </c:pt>
                <c:pt idx="9">
                  <c:v>-0.0366081177519414</c:v>
                </c:pt>
                <c:pt idx="10">
                  <c:v>-0.0346160318657088</c:v>
                </c:pt>
                <c:pt idx="11">
                  <c:v>-0.0321937783259402</c:v>
                </c:pt>
                <c:pt idx="12">
                  <c:v>-0.029316084729249</c:v>
                </c:pt>
                <c:pt idx="13">
                  <c:v>-0.0279960110548522</c:v>
                </c:pt>
                <c:pt idx="14">
                  <c:v>-0.0262944818141531</c:v>
                </c:pt>
                <c:pt idx="15">
                  <c:v>-0.0245405378259972</c:v>
                </c:pt>
                <c:pt idx="16">
                  <c:v>-0.0229573631295917</c:v>
                </c:pt>
                <c:pt idx="17">
                  <c:v>-0.0222718241012453</c:v>
                </c:pt>
                <c:pt idx="18">
                  <c:v>-0.0217705566002321</c:v>
                </c:pt>
                <c:pt idx="19">
                  <c:v>-0.021525347005856</c:v>
                </c:pt>
                <c:pt idx="20">
                  <c:v>-0.0216114456272679</c:v>
                </c:pt>
                <c:pt idx="21">
                  <c:v>-0.0205850022739398</c:v>
                </c:pt>
                <c:pt idx="22">
                  <c:v>-0.0204387818346981</c:v>
                </c:pt>
                <c:pt idx="23">
                  <c:v>-0.0202090800301442</c:v>
                </c:pt>
                <c:pt idx="24">
                  <c:v>-0.0195743445492685</c:v>
                </c:pt>
                <c:pt idx="25">
                  <c:v>-0.0191946054724458</c:v>
                </c:pt>
                <c:pt idx="26">
                  <c:v>-0.0192408338415467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'Graphiques déficit'!$G$3:$G$4</c:f>
              <c:strCache>
                <c:ptCount val="1"/>
                <c:pt idx="0">
                  <c:v>High scenario, bismarckian deficit including universal pension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'Graphiques déficit'!$A$5:$A$31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cat>
          <c:val>
            <c:numRef>
              <c:f>'Graphiques déficit'!$G$5:$G$31</c:f>
              <c:numCache>
                <c:formatCode>0.00%</c:formatCode>
                <c:ptCount val="27"/>
                <c:pt idx="0">
                  <c:v>-0.0207644505662547</c:v>
                </c:pt>
                <c:pt idx="1">
                  <c:v>-0.0301446856045611</c:v>
                </c:pt>
                <c:pt idx="2">
                  <c:v>-0.0333427927372119</c:v>
                </c:pt>
                <c:pt idx="3">
                  <c:v>-0.0388691027778239</c:v>
                </c:pt>
                <c:pt idx="4">
                  <c:v>-0.0373450268499277</c:v>
                </c:pt>
                <c:pt idx="5">
                  <c:v>-0.0380562642937834</c:v>
                </c:pt>
                <c:pt idx="6">
                  <c:v>-0.0394235034073811</c:v>
                </c:pt>
                <c:pt idx="7">
                  <c:v>-0.0404361268169473</c:v>
                </c:pt>
                <c:pt idx="8">
                  <c:v>-0.0411769952961668</c:v>
                </c:pt>
                <c:pt idx="9">
                  <c:v>-0.0393666968330229</c:v>
                </c:pt>
                <c:pt idx="10">
                  <c:v>-0.0376428423050975</c:v>
                </c:pt>
                <c:pt idx="11">
                  <c:v>-0.0361795164788719</c:v>
                </c:pt>
                <c:pt idx="12">
                  <c:v>-0.0342758253522097</c:v>
                </c:pt>
                <c:pt idx="13">
                  <c:v>-0.03395417622322</c:v>
                </c:pt>
                <c:pt idx="14">
                  <c:v>-0.0330876426447836</c:v>
                </c:pt>
                <c:pt idx="15">
                  <c:v>-0.0320570025546867</c:v>
                </c:pt>
                <c:pt idx="16">
                  <c:v>-0.0311524409406593</c:v>
                </c:pt>
                <c:pt idx="17">
                  <c:v>-0.031283684646027</c:v>
                </c:pt>
                <c:pt idx="18">
                  <c:v>-0.0315253295199749</c:v>
                </c:pt>
                <c:pt idx="19">
                  <c:v>-0.0319503976238563</c:v>
                </c:pt>
                <c:pt idx="20">
                  <c:v>-0.0327304706330853</c:v>
                </c:pt>
                <c:pt idx="21">
                  <c:v>-0.0323709118262578</c:v>
                </c:pt>
                <c:pt idx="22">
                  <c:v>-0.0329642229322991</c:v>
                </c:pt>
                <c:pt idx="23">
                  <c:v>-0.0335325375306108</c:v>
                </c:pt>
                <c:pt idx="24">
                  <c:v>-0.0335371920866427</c:v>
                </c:pt>
                <c:pt idx="25">
                  <c:v>-0.0337385830563693</c:v>
                </c:pt>
                <c:pt idx="26">
                  <c:v>-0.034540184765089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-2145753624"/>
        <c:axId val="-2145750152"/>
      </c:lineChart>
      <c:catAx>
        <c:axId val="-214575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lang="es-AR" sz="1000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-2145750152"/>
        <c:crosses val="autoZero"/>
        <c:auto val="1"/>
        <c:lblAlgn val="ctr"/>
        <c:lblOffset val="100"/>
        <c:noMultiLvlLbl val="1"/>
      </c:catAx>
      <c:valAx>
        <c:axId val="-2145750152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lang="es-AR" sz="1000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-214575362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315000</xdr:colOff>
      <xdr:row>0</xdr:row>
      <xdr:rowOff>46080</xdr:rowOff>
    </xdr:from>
    <xdr:to>
      <xdr:col>20</xdr:col>
      <xdr:colOff>580680</xdr:colOff>
      <xdr:row>37</xdr:row>
      <xdr:rowOff>56160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0"/>
  <sheetViews>
    <sheetView workbookViewId="0">
      <pane xSplit="2" topLeftCell="BH1" activePane="topRight" state="frozen"/>
      <selection pane="topRight" activeCell="BJ7" sqref="BJ7"/>
    </sheetView>
  </sheetViews>
  <sheetFormatPr baseColWidth="10" defaultColWidth="8.83203125" defaultRowHeight="12" x14ac:dyDescent="0"/>
  <sheetData>
    <row r="1" spans="1:64" s="5" customFormat="1" ht="50.25" customHeight="1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2"/>
      <c r="O1" s="2" t="s">
        <v>8</v>
      </c>
      <c r="P1" s="4"/>
      <c r="Q1" s="2" t="s">
        <v>9</v>
      </c>
      <c r="R1" s="2"/>
      <c r="S1" s="2" t="s">
        <v>10</v>
      </c>
      <c r="T1" s="2"/>
      <c r="U1" s="4" t="s">
        <v>11</v>
      </c>
      <c r="V1" s="2"/>
      <c r="W1" s="2" t="s">
        <v>12</v>
      </c>
      <c r="X1" s="2"/>
      <c r="Y1" s="5" t="s">
        <v>13</v>
      </c>
      <c r="AA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I1" s="5" t="s">
        <v>19</v>
      </c>
      <c r="AJ1" s="6" t="s">
        <v>20</v>
      </c>
      <c r="AK1" s="6"/>
      <c r="AL1" s="1" t="s">
        <v>21</v>
      </c>
      <c r="AM1" s="1"/>
      <c r="AN1" s="7" t="s">
        <v>22</v>
      </c>
      <c r="AO1" s="8" t="s">
        <v>23</v>
      </c>
      <c r="AP1" s="1" t="s">
        <v>24</v>
      </c>
      <c r="AQ1" s="1"/>
      <c r="AR1" s="1" t="s">
        <v>25</v>
      </c>
      <c r="AS1" s="1"/>
      <c r="AT1" s="5" t="s">
        <v>26</v>
      </c>
      <c r="AU1" s="5" t="s">
        <v>27</v>
      </c>
      <c r="AW1" s="5" t="s">
        <v>28</v>
      </c>
      <c r="AY1" s="5" t="s">
        <v>29</v>
      </c>
      <c r="BA1" s="5" t="s">
        <v>30</v>
      </c>
      <c r="BE1" s="5" t="s">
        <v>31</v>
      </c>
      <c r="BG1" s="5" t="s">
        <v>32</v>
      </c>
      <c r="BH1" s="5" t="s">
        <v>33</v>
      </c>
      <c r="BI1" s="5" t="s">
        <v>34</v>
      </c>
      <c r="BJ1" s="5" t="s">
        <v>35</v>
      </c>
      <c r="BK1" s="6" t="s">
        <v>36</v>
      </c>
    </row>
    <row r="2" spans="1:64" s="9" customFormat="1">
      <c r="C2" s="9" t="s">
        <v>37</v>
      </c>
      <c r="D2" s="9" t="s">
        <v>38</v>
      </c>
      <c r="E2" s="9" t="s">
        <v>37</v>
      </c>
      <c r="F2" s="10" t="s">
        <v>38</v>
      </c>
      <c r="G2" s="10" t="s">
        <v>39</v>
      </c>
      <c r="H2" s="10" t="s">
        <v>40</v>
      </c>
      <c r="I2" s="10" t="s">
        <v>39</v>
      </c>
      <c r="J2" s="9" t="s">
        <v>40</v>
      </c>
      <c r="K2" s="9" t="s">
        <v>37</v>
      </c>
      <c r="L2" s="10" t="s">
        <v>38</v>
      </c>
      <c r="M2" s="10" t="s">
        <v>37</v>
      </c>
      <c r="N2" s="10" t="s">
        <v>38</v>
      </c>
      <c r="O2" s="9" t="s">
        <v>37</v>
      </c>
      <c r="P2" s="9" t="s">
        <v>38</v>
      </c>
      <c r="Q2" s="10" t="s">
        <v>37</v>
      </c>
      <c r="R2" s="10" t="s">
        <v>38</v>
      </c>
      <c r="S2" s="10" t="s">
        <v>37</v>
      </c>
      <c r="T2" s="9" t="s">
        <v>38</v>
      </c>
      <c r="U2" s="9" t="s">
        <v>37</v>
      </c>
      <c r="V2" s="9" t="s">
        <v>38</v>
      </c>
      <c r="W2" s="9" t="s">
        <v>37</v>
      </c>
      <c r="X2" s="10" t="s">
        <v>38</v>
      </c>
      <c r="AC2" s="5"/>
      <c r="AJ2" s="11"/>
      <c r="AK2" s="11"/>
      <c r="AL2" s="11"/>
      <c r="AM2" s="11"/>
      <c r="AN2" s="11"/>
      <c r="AO2" s="11"/>
      <c r="AP2" s="11"/>
      <c r="AQ2" s="11"/>
      <c r="AR2" s="11"/>
      <c r="AS2" s="11"/>
      <c r="AU2" s="9" t="s">
        <v>41</v>
      </c>
      <c r="AV2" s="9" t="s">
        <v>39</v>
      </c>
      <c r="AW2" s="9" t="s">
        <v>41</v>
      </c>
      <c r="AX2" s="9" t="s">
        <v>39</v>
      </c>
      <c r="AY2" s="9" t="s">
        <v>42</v>
      </c>
      <c r="AZ2" s="9" t="s">
        <v>43</v>
      </c>
      <c r="BK2" s="11"/>
    </row>
    <row r="3" spans="1:64">
      <c r="A3" s="9">
        <v>2014</v>
      </c>
      <c r="B3" s="9">
        <v>1</v>
      </c>
      <c r="C3" s="10">
        <v>73541829.264479399</v>
      </c>
      <c r="D3" s="10"/>
      <c r="E3" s="10">
        <v>13367097.642000001</v>
      </c>
      <c r="F3" s="10"/>
      <c r="G3" s="10"/>
      <c r="H3" s="10"/>
      <c r="I3" s="10"/>
      <c r="J3" s="12"/>
      <c r="K3" s="12">
        <v>2431521.2590999999</v>
      </c>
      <c r="L3" s="10"/>
      <c r="M3" s="10">
        <v>552644.92299999902</v>
      </c>
      <c r="N3" s="10"/>
      <c r="O3" s="10">
        <v>15657663.7612308</v>
      </c>
      <c r="P3" s="10"/>
      <c r="Q3" s="10">
        <v>16188956.83674</v>
      </c>
      <c r="R3" s="10"/>
      <c r="S3" s="10">
        <v>61899879.651203699</v>
      </c>
      <c r="T3" s="10"/>
      <c r="U3" s="10">
        <v>147745.90426000001</v>
      </c>
      <c r="V3" s="12"/>
      <c r="W3" s="12">
        <v>371095.07358448301</v>
      </c>
      <c r="X3" s="10"/>
      <c r="Y3" s="10">
        <f t="shared" ref="Y3:Y8" si="0">Q3+U3-M3-K3-E3</f>
        <v>-14561.083099998534</v>
      </c>
      <c r="Z3" s="10"/>
      <c r="AA3" s="10">
        <f t="shared" ref="AA3:AA8" si="1">S3-O3-C3</f>
        <v>-27299613.374506503</v>
      </c>
      <c r="AB3" s="10"/>
      <c r="AC3" s="13"/>
      <c r="AD3" s="10">
        <v>3917648861.1710801</v>
      </c>
      <c r="AE3" s="10">
        <v>87.364011981999994</v>
      </c>
      <c r="AF3" s="10">
        <f t="shared" ref="AF3:AF8" si="2">AD3*100/AE3</f>
        <v>4484282225.9333181</v>
      </c>
      <c r="AG3" s="10"/>
      <c r="AH3" s="10"/>
      <c r="AI3" s="14">
        <f t="shared" ref="AI3:AI8" si="3">AA3/AF3</f>
        <v>-6.087844609027615E-3</v>
      </c>
      <c r="AJ3" s="11">
        <v>2014</v>
      </c>
      <c r="AK3" s="15">
        <f>(SUM(AA3:AA6)/AVERAGE(AF3:AF6))</f>
        <v>-2.0764450566254731E-2</v>
      </c>
      <c r="AL3" s="15"/>
      <c r="AM3" s="15"/>
      <c r="AN3" s="15"/>
      <c r="AO3" s="15"/>
      <c r="AP3" s="10" t="s">
        <v>44</v>
      </c>
      <c r="AQ3" s="15" t="s">
        <v>45</v>
      </c>
      <c r="AR3" s="15" t="s">
        <v>44</v>
      </c>
      <c r="AS3" s="15" t="s">
        <v>45</v>
      </c>
      <c r="AT3" s="16"/>
      <c r="AU3" s="9">
        <v>10923418</v>
      </c>
      <c r="BE3" s="14">
        <f>S3/AF3</f>
        <v>1.3803743059084649E-2</v>
      </c>
      <c r="BF3" s="9">
        <v>2014</v>
      </c>
      <c r="BG3" s="14">
        <f>(SUM(S3:S6)/AVERAGE(AF3:AF6))</f>
        <v>5.6918105137217651E-2</v>
      </c>
      <c r="BH3" s="14">
        <f>(SUM(O3:O6)/AVERAGE(AF3:AF6))</f>
        <v>1.3201759021596645E-2</v>
      </c>
      <c r="BI3" s="14">
        <f>(SUM(C3:C6)/AVERAGE(AF3:AF6))</f>
        <v>6.4480796681875729E-2</v>
      </c>
      <c r="BJ3" s="14">
        <f>(SUM(H3:H6)+SUM(J3:J6))/AVERAGE(AF3:AF6)</f>
        <v>0</v>
      </c>
      <c r="BK3" s="15">
        <f t="shared" ref="BK3:BK29" si="4">AK3-BJ3</f>
        <v>-2.0764450566254731E-2</v>
      </c>
    </row>
    <row r="4" spans="1:64">
      <c r="A4" s="9">
        <v>2014</v>
      </c>
      <c r="B4" s="9">
        <v>2</v>
      </c>
      <c r="C4" s="10">
        <v>76536005.645554796</v>
      </c>
      <c r="D4" s="10"/>
      <c r="E4" s="10">
        <v>13911324.754000001</v>
      </c>
      <c r="F4" s="10"/>
      <c r="G4" s="10"/>
      <c r="H4" s="10"/>
      <c r="I4" s="10"/>
      <c r="J4" s="12"/>
      <c r="K4" s="12">
        <v>2156056.4542999999</v>
      </c>
      <c r="L4" s="10"/>
      <c r="M4" s="10">
        <v>571465.44299999997</v>
      </c>
      <c r="N4" s="10"/>
      <c r="O4" s="10">
        <v>14331816.6540251</v>
      </c>
      <c r="P4" s="10"/>
      <c r="Q4" s="10">
        <v>18889074.98367</v>
      </c>
      <c r="R4" s="10"/>
      <c r="S4" s="10">
        <v>72224015.420081005</v>
      </c>
      <c r="T4" s="10"/>
      <c r="U4" s="10">
        <v>150093.53833000001</v>
      </c>
      <c r="V4" s="12"/>
      <c r="W4" s="12">
        <v>376991.65286577999</v>
      </c>
      <c r="X4" s="10"/>
      <c r="Y4" s="10">
        <f t="shared" si="0"/>
        <v>2400321.8706999999</v>
      </c>
      <c r="Z4" s="10"/>
      <c r="AA4" s="10">
        <f t="shared" si="1"/>
        <v>-18643806.879498892</v>
      </c>
      <c r="AB4" s="10"/>
      <c r="AC4" s="13"/>
      <c r="AD4" s="10">
        <v>4702629524.92031</v>
      </c>
      <c r="AE4" s="10">
        <v>92.542254682000006</v>
      </c>
      <c r="AF4" s="10">
        <f t="shared" si="2"/>
        <v>5081602497.2374029</v>
      </c>
      <c r="AG4" s="10"/>
      <c r="AH4" s="10"/>
      <c r="AI4" s="14">
        <f t="shared" si="3"/>
        <v>-3.6688833669368155E-3</v>
      </c>
      <c r="AJ4" s="11">
        <v>2015</v>
      </c>
      <c r="AK4" s="15">
        <f>(SUM(AB14:AB15)+AA7+AA8)/AVERAGE(AF14:AF17)</f>
        <v>-3.0144685604561124E-2</v>
      </c>
      <c r="AL4" s="15"/>
      <c r="AM4" s="15"/>
      <c r="AN4" s="15"/>
      <c r="AO4" s="15"/>
      <c r="AP4" s="10">
        <v>545118865</v>
      </c>
      <c r="AQ4" s="10">
        <f>AP4</f>
        <v>545118865</v>
      </c>
      <c r="AR4" s="17">
        <f>AP4/AF17</f>
        <v>9.6335892011156887E-2</v>
      </c>
      <c r="AS4" s="17">
        <f>AQ4/AF17</f>
        <v>9.6335892011156887E-2</v>
      </c>
      <c r="AT4" s="16"/>
      <c r="AU4" s="9">
        <v>10933469</v>
      </c>
      <c r="AW4" s="9">
        <f t="shared" ref="AW4:AW12" si="5">(AU4-AU3)/AU3</f>
        <v>9.2013324034656552E-4</v>
      </c>
      <c r="BE4" s="14">
        <f>S4/AF4</f>
        <v>1.4212842397520341E-2</v>
      </c>
      <c r="BF4" s="9">
        <v>2015</v>
      </c>
      <c r="BG4" s="14">
        <f>SUM(T14:T15)/AVERAGE(AF14:AF17)</f>
        <v>2.8760297618737794E-2</v>
      </c>
      <c r="BH4" s="14">
        <f>SUM(P14:P15)/AVERAGE(AF14:AF17)</f>
        <v>6.8949138437464667E-3</v>
      </c>
      <c r="BI4" s="14">
        <f>SUM(D14:D15)/AVERAGE(AF14:AF17)</f>
        <v>4.0032874372892872E-2</v>
      </c>
      <c r="BJ4" s="14">
        <f>(SUM(H14:H15)+SUM(J14:J15))/AVERAGE(AF14:AF17)</f>
        <v>0</v>
      </c>
      <c r="BK4" s="15">
        <f t="shared" si="4"/>
        <v>-3.0144685604561124E-2</v>
      </c>
    </row>
    <row r="5" spans="1:64">
      <c r="A5" s="9">
        <v>2014</v>
      </c>
      <c r="B5" s="9">
        <v>3</v>
      </c>
      <c r="C5" s="10">
        <v>79948619.698482305</v>
      </c>
      <c r="D5" s="10"/>
      <c r="E5" s="10">
        <v>14531608.437999999</v>
      </c>
      <c r="F5" s="10"/>
      <c r="G5" s="10"/>
      <c r="H5" s="10"/>
      <c r="I5" s="10"/>
      <c r="J5" s="12"/>
      <c r="K5" s="12">
        <v>2697105.9034000002</v>
      </c>
      <c r="L5" s="10"/>
      <c r="M5" s="10">
        <v>618357.67000000004</v>
      </c>
      <c r="N5" s="10"/>
      <c r="O5" s="10">
        <v>17397319.126396801</v>
      </c>
      <c r="P5" s="10"/>
      <c r="Q5" s="10">
        <v>16666086.76898</v>
      </c>
      <c r="R5" s="10"/>
      <c r="S5" s="10">
        <v>63724227.302598797</v>
      </c>
      <c r="T5" s="10"/>
      <c r="U5" s="10">
        <v>145660.84302</v>
      </c>
      <c r="V5" s="12"/>
      <c r="W5" s="12">
        <v>365858.00147638301</v>
      </c>
      <c r="X5" s="10"/>
      <c r="Y5" s="10">
        <f t="shared" si="0"/>
        <v>-1035324.3993999995</v>
      </c>
      <c r="Z5" s="10"/>
      <c r="AA5" s="10">
        <f t="shared" si="1"/>
        <v>-33621711.522280306</v>
      </c>
      <c r="AB5" s="10"/>
      <c r="AC5" s="13"/>
      <c r="AD5" s="10">
        <v>4685503118.6782703</v>
      </c>
      <c r="AE5" s="10">
        <v>96.348619912999993</v>
      </c>
      <c r="AF5" s="10">
        <f t="shared" si="2"/>
        <v>4863072374.995245</v>
      </c>
      <c r="AG5" s="10"/>
      <c r="AH5" s="10"/>
      <c r="AI5" s="14">
        <f t="shared" si="3"/>
        <v>-6.9136769781908049E-3</v>
      </c>
      <c r="AJ5" s="11">
        <v>2016</v>
      </c>
      <c r="AK5" s="15">
        <f>SUM(AB16:AB19)/AVERAGE(AF18:AF21)</f>
        <v>-3.3306942249534711E-2</v>
      </c>
      <c r="AL5" s="15"/>
      <c r="AM5" s="15"/>
      <c r="AN5" s="15"/>
      <c r="AO5" s="15"/>
      <c r="AP5" s="10">
        <v>527406836</v>
      </c>
      <c r="AQ5" s="10">
        <f>AP5</f>
        <v>527406836</v>
      </c>
      <c r="AR5" s="17">
        <f>AP5/AF21</f>
        <v>9.6733053127945015E-2</v>
      </c>
      <c r="AS5" s="17">
        <f>AQ5/AF21</f>
        <v>9.6733053127945015E-2</v>
      </c>
      <c r="AT5" s="16"/>
      <c r="AU5" s="9">
        <v>10927942</v>
      </c>
      <c r="AW5" s="9">
        <f t="shared" si="5"/>
        <v>-5.0551202001853203E-4</v>
      </c>
      <c r="BE5" s="14">
        <f>S5/AF5</f>
        <v>1.3103697084635945E-2</v>
      </c>
      <c r="BF5" s="9">
        <v>2016</v>
      </c>
      <c r="BG5" s="14">
        <f>SUM(T16:T19)/AVERAGE(AF18:AF21)</f>
        <v>5.471114300888693E-2</v>
      </c>
      <c r="BH5" s="14">
        <f>SUM(P16:P19)/AVERAGE(AF18:AF21)</f>
        <v>1.3710176617263908E-2</v>
      </c>
      <c r="BI5" s="14">
        <f>SUM(D16:D19)/AVERAGE(AF18:AF21)</f>
        <v>7.4307908641157744E-2</v>
      </c>
      <c r="BJ5" s="14">
        <f>(SUM(H16:H19)+SUM(J16:J19))/AVERAGE(AF18:AF21)</f>
        <v>3.5850487677192361E-5</v>
      </c>
      <c r="BK5" s="15">
        <f t="shared" si="4"/>
        <v>-3.3342792737211906E-2</v>
      </c>
    </row>
    <row r="6" spans="1:64">
      <c r="A6" s="9">
        <v>2014</v>
      </c>
      <c r="B6" s="9">
        <v>4</v>
      </c>
      <c r="C6" s="10">
        <v>83342500.446047202</v>
      </c>
      <c r="D6" s="10"/>
      <c r="E6" s="10">
        <v>15148485.804</v>
      </c>
      <c r="F6" s="10"/>
      <c r="G6" s="10"/>
      <c r="H6" s="10"/>
      <c r="I6" s="10"/>
      <c r="J6" s="12"/>
      <c r="K6" s="12">
        <v>2598760.7445</v>
      </c>
      <c r="L6" s="10"/>
      <c r="M6" s="10">
        <v>597485.603</v>
      </c>
      <c r="N6" s="10"/>
      <c r="O6" s="10">
        <v>16772169.366415</v>
      </c>
      <c r="P6" s="10"/>
      <c r="Q6" s="10">
        <v>20600306.344000001</v>
      </c>
      <c r="R6" s="10"/>
      <c r="S6" s="10">
        <v>78767056.8481365</v>
      </c>
      <c r="T6" s="10"/>
      <c r="U6" s="10">
        <v>143630.44399999999</v>
      </c>
      <c r="V6" s="12"/>
      <c r="W6" s="12">
        <v>360758.22508998099</v>
      </c>
      <c r="X6" s="10"/>
      <c r="Y6" s="10">
        <f t="shared" si="0"/>
        <v>2399204.6364999991</v>
      </c>
      <c r="Z6" s="10"/>
      <c r="AA6" s="10">
        <f t="shared" si="1"/>
        <v>-21347612.964325704</v>
      </c>
      <c r="AB6" s="10"/>
      <c r="AC6" s="13"/>
      <c r="AD6" s="10">
        <v>5010564196.8707304</v>
      </c>
      <c r="AE6" s="10">
        <v>100</v>
      </c>
      <c r="AF6" s="10">
        <f t="shared" si="2"/>
        <v>5010564196.8707304</v>
      </c>
      <c r="AG6" s="10"/>
      <c r="AH6" s="10"/>
      <c r="AI6" s="14">
        <f t="shared" si="3"/>
        <v>-4.260520796771354E-3</v>
      </c>
      <c r="AJ6" s="11">
        <v>2017</v>
      </c>
      <c r="AK6" s="15">
        <f>SUM(AB20:AB23)/AVERAGE(AF22:AF25)</f>
        <v>-3.8482588498141644E-2</v>
      </c>
      <c r="AL6" s="15"/>
      <c r="AM6" s="15"/>
      <c r="AN6" s="15"/>
      <c r="AO6" s="10">
        <v>46349018</v>
      </c>
      <c r="AP6" s="10">
        <v>580675520</v>
      </c>
      <c r="AQ6" s="10">
        <f>AP6</f>
        <v>580675520</v>
      </c>
      <c r="AR6" s="17">
        <f>AP6/AF25</f>
        <v>0.10103933176461725</v>
      </c>
      <c r="AS6" s="17">
        <f>AQ6/AF25</f>
        <v>0.10103933176461725</v>
      </c>
      <c r="AT6" s="16"/>
      <c r="AU6" s="9">
        <v>11163575</v>
      </c>
      <c r="AW6" s="9">
        <f t="shared" si="5"/>
        <v>2.1562431425789046E-2</v>
      </c>
      <c r="BE6" s="14">
        <f>S6/AF6</f>
        <v>1.5720197118186657E-2</v>
      </c>
      <c r="BF6" s="9">
        <v>2017</v>
      </c>
      <c r="BG6" s="14">
        <f>SUM(T20:T23)/AVERAGE(AF22:AF25)</f>
        <v>5.4444268924421037E-2</v>
      </c>
      <c r="BH6" s="14">
        <f>SUM(P20:P23)/AVERAGE(AF22:AF25)</f>
        <v>1.691563151370987E-2</v>
      </c>
      <c r="BI6" s="14">
        <f>SUM(D20:D23)/AVERAGE(AF22:AF25)</f>
        <v>7.6011225908852814E-2</v>
      </c>
      <c r="BJ6" s="14">
        <f>(SUM(H20:H23)+SUM(J20:J23))/AVERAGE(AF22:AF25)</f>
        <v>4.5189327612476452E-4</v>
      </c>
      <c r="BK6" s="15">
        <f t="shared" si="4"/>
        <v>-3.8934481774266408E-2</v>
      </c>
      <c r="BL6" s="16">
        <f>BI6+BJ6</f>
        <v>7.6463119184977585E-2</v>
      </c>
    </row>
    <row r="7" spans="1:64">
      <c r="A7" s="9">
        <v>2015</v>
      </c>
      <c r="B7" s="9">
        <v>1</v>
      </c>
      <c r="C7" s="10">
        <v>87220448.7038403</v>
      </c>
      <c r="D7" s="10"/>
      <c r="E7" s="10">
        <v>15853348.733999999</v>
      </c>
      <c r="F7" s="10"/>
      <c r="G7" s="10"/>
      <c r="H7" s="10"/>
      <c r="I7" s="10"/>
      <c r="J7" s="12"/>
      <c r="K7" s="12">
        <v>3002195.4358999999</v>
      </c>
      <c r="L7" s="10"/>
      <c r="M7" s="10">
        <v>654530.51300000004</v>
      </c>
      <c r="N7" s="10"/>
      <c r="O7" s="10">
        <v>19179435.069263499</v>
      </c>
      <c r="P7" s="10"/>
      <c r="Q7" s="10">
        <v>18139908.10636</v>
      </c>
      <c r="R7" s="10"/>
      <c r="S7" s="10">
        <v>69359510.930272505</v>
      </c>
      <c r="T7" s="10"/>
      <c r="U7" s="10">
        <v>167252.22263999999</v>
      </c>
      <c r="V7" s="12"/>
      <c r="W7" s="12">
        <v>420089.31603637501</v>
      </c>
      <c r="X7" s="10"/>
      <c r="Y7" s="10">
        <f t="shared" si="0"/>
        <v>-1202914.3538999986</v>
      </c>
      <c r="Z7" s="10"/>
      <c r="AA7" s="10">
        <f t="shared" si="1"/>
        <v>-37040372.842831299</v>
      </c>
      <c r="AB7" s="10"/>
      <c r="AC7" s="13"/>
      <c r="AD7" s="18">
        <v>5092693740.32864</v>
      </c>
      <c r="AE7" s="18">
        <v>103.09103866</v>
      </c>
      <c r="AF7" s="18">
        <f t="shared" si="2"/>
        <v>4939996537.5502996</v>
      </c>
      <c r="AG7" s="10"/>
      <c r="AH7" s="10"/>
      <c r="AI7" s="14">
        <f t="shared" si="3"/>
        <v>-7.4980564381527462E-3</v>
      </c>
      <c r="AJ7" s="11">
        <f t="shared" ref="AJ7:AJ29" si="6">AJ6+1</f>
        <v>2018</v>
      </c>
      <c r="AK7" s="15">
        <f>SUM(AB24:AB27)/AVERAGE(AF26:AF29)</f>
        <v>-3.7010955232999299E-2</v>
      </c>
      <c r="AL7" s="10">
        <v>34286154</v>
      </c>
      <c r="AM7" s="15">
        <f>AL7/AVERAGE(AF26:AF29)</f>
        <v>5.9749440912698244E-3</v>
      </c>
      <c r="AN7" s="15">
        <f>(AF29-AF25)/AF25</f>
        <v>1.1135897043477632E-2</v>
      </c>
      <c r="AO7" s="10">
        <f>+ (((((((((((AO6*((1+AN7)^(1/12))-AL7/12)*((1+AN7)^(1/12))-AL7/12)*((1+AN7)^(1/12))-AL7/12)*((1+AN7)^(1/12))-AL7/12)*((1+AN7)^(1/12))-AL7/12)*((1+AN7)^(1/12))-AL7/12)*((1+AN7)^(1/12))-AL7/12)*((1+AN7)^(1/12))-AL7/12)*((1+AN7)^(1/12))-AL7/12)*((1+AN7)^(1/12))-AL7/12)*((1+AN7)^(1/12))-AL7/12)*((1+AN7)^(1/12))-AL7/12</f>
        <v>12404356.888194067</v>
      </c>
      <c r="AP7" s="10">
        <f t="shared" ref="AP7:AP29" si="7">AP6*(1+AN7)</f>
        <v>587141862.80638778</v>
      </c>
      <c r="AQ7" s="10">
        <f>AP7</f>
        <v>587141862.80638778</v>
      </c>
      <c r="AR7" s="17">
        <f>AP7/AF29</f>
        <v>0.10103933176461724</v>
      </c>
      <c r="AS7" s="17">
        <f>AQ7/AF29</f>
        <v>0.10103933176461724</v>
      </c>
      <c r="AU7" s="9">
        <v>11012334</v>
      </c>
      <c r="AW7" s="9">
        <f t="shared" si="5"/>
        <v>-1.3547721048140941E-2</v>
      </c>
      <c r="BE7" s="14">
        <f>T14/AF14</f>
        <v>1.4725113587232476E-2</v>
      </c>
      <c r="BF7" s="9">
        <f t="shared" ref="BF7:BF29" si="8">BF6+1</f>
        <v>2018</v>
      </c>
      <c r="BG7" s="14">
        <f>SUM(T24:T27)/AVERAGE(AF26:AF29)</f>
        <v>5.144010435124878E-2</v>
      </c>
      <c r="BH7" s="14">
        <f>SUM(P24:P27)/AVERAGE(AF26:AF29)</f>
        <v>1.4619426382274663E-2</v>
      </c>
      <c r="BI7" s="14">
        <f>SUM(D24:D27)/AVERAGE(AF26:AF29)</f>
        <v>7.3831633201973418E-2</v>
      </c>
      <c r="BJ7" s="14">
        <f>(SUM(H24:H27)+SUM(J24:J27))/AVERAGE(AF26:AF29)</f>
        <v>8.2800400712590753E-4</v>
      </c>
      <c r="BK7" s="15">
        <f t="shared" si="4"/>
        <v>-3.7838959240125203E-2</v>
      </c>
    </row>
    <row r="8" spans="1:64">
      <c r="A8" s="9">
        <v>2015</v>
      </c>
      <c r="B8" s="9">
        <v>2</v>
      </c>
      <c r="C8" s="10">
        <v>94524704.7581871</v>
      </c>
      <c r="D8" s="10"/>
      <c r="E8" s="10">
        <v>17180984.028999999</v>
      </c>
      <c r="F8" s="10"/>
      <c r="G8" s="10"/>
      <c r="H8" s="10"/>
      <c r="I8" s="10"/>
      <c r="J8" s="12"/>
      <c r="K8" s="12">
        <v>2371185.1833000001</v>
      </c>
      <c r="L8" s="10"/>
      <c r="M8" s="10">
        <v>696491.069000002</v>
      </c>
      <c r="N8" s="12"/>
      <c r="O8" s="12">
        <v>16135978.221071601</v>
      </c>
      <c r="P8" s="12"/>
      <c r="Q8" s="10">
        <v>21552530.200959999</v>
      </c>
      <c r="R8" s="10"/>
      <c r="S8" s="10">
        <v>82407967.299702004</v>
      </c>
      <c r="T8" s="12"/>
      <c r="U8" s="12">
        <v>188439.08603999999</v>
      </c>
      <c r="V8" s="12"/>
      <c r="W8" s="12">
        <v>473304.60259085899</v>
      </c>
      <c r="X8" s="10"/>
      <c r="Y8" s="10">
        <f t="shared" si="0"/>
        <v>1492309.0056999996</v>
      </c>
      <c r="Z8" s="10"/>
      <c r="AA8" s="10">
        <f t="shared" si="1"/>
        <v>-28252715.679556698</v>
      </c>
      <c r="AB8" s="10"/>
      <c r="AC8" s="13"/>
      <c r="AD8" s="19">
        <v>5951478855.3666</v>
      </c>
      <c r="AE8" s="19">
        <v>106.73436665</v>
      </c>
      <c r="AF8" s="19">
        <f t="shared" si="2"/>
        <v>5575972427.7771788</v>
      </c>
      <c r="AG8" s="10"/>
      <c r="AH8" s="10"/>
      <c r="AI8" s="14">
        <f t="shared" si="3"/>
        <v>-5.066867895331297E-3</v>
      </c>
      <c r="AJ8" s="11">
        <f t="shared" si="6"/>
        <v>2019</v>
      </c>
      <c r="AK8" s="15">
        <f>SUM(AB28:AB31)/AVERAGE(AF30:AF33)</f>
        <v>-3.8637944531257809E-2</v>
      </c>
      <c r="AL8" s="10">
        <v>32784694</v>
      </c>
      <c r="AM8" s="15">
        <f>AL8/AVERAGE(AF30:AF33)</f>
        <v>5.5801780457529898E-3</v>
      </c>
      <c r="AN8" s="15">
        <f>(AF33-AF29)/AF29</f>
        <v>1.695374614479165E-2</v>
      </c>
      <c r="AO8" s="10">
        <f>((((AO7*((1+AN8)^(1/12))-AL8/12)*((1+AN8)^(1/12))-AL8/12)*((1+AN8)^(1/12))-AL8/12)*((1+AN8)^(1/12))-AL8/12)*((1+AN8)^(1/12))-AL8/12</f>
        <v>-1207092.4626771342</v>
      </c>
      <c r="AP8" s="10">
        <f t="shared" si="7"/>
        <v>597096116.89938736</v>
      </c>
      <c r="AQ8" s="10">
        <f>((((((((AP7*((1+AN8)^(4/12)))*((1+AN8)^(1/12))+AO8)*((1+AN8)^(1/12))-AL8/12)*((1+AN8)^(1/12))-AL8/12)*((1+AN8)^(1/12))-AL8/12)*((1+AN8)^(1/12))-AL8/12)*((1+AN8)^(1/12))-AL8/12)*((1+AN8)^(1/12))-AL8/12)*((1+AN8)^(1/12))-AL8/12</f>
        <v>576672101.00349295</v>
      </c>
      <c r="AR8" s="17">
        <f>AP8/AF33</f>
        <v>0.10103933176461724</v>
      </c>
      <c r="AS8" s="17">
        <f>AQ8/AF33</f>
        <v>9.7583223343100212E-2</v>
      </c>
      <c r="AT8" s="16"/>
      <c r="AU8" s="9">
        <v>11082939</v>
      </c>
      <c r="AW8" s="9">
        <f t="shared" si="5"/>
        <v>6.4114473825439729E-3</v>
      </c>
      <c r="BE8" s="14">
        <f>T15/AF15</f>
        <v>1.507240872248281E-2</v>
      </c>
      <c r="BF8" s="9">
        <f t="shared" si="8"/>
        <v>2019</v>
      </c>
      <c r="BG8" s="14">
        <f>SUM(T28:T31)/AVERAGE(AF30:AF33)</f>
        <v>4.8004783617923971E-2</v>
      </c>
      <c r="BH8" s="14">
        <f>SUM(P28:P31)/AVERAGE(AF30:AF33)</f>
        <v>1.3407554332412195E-2</v>
      </c>
      <c r="BI8" s="14">
        <f>SUM(D28:D31)/AVERAGE(AF30:AF33)</f>
        <v>7.3235173816769583E-2</v>
      </c>
      <c r="BJ8" s="14">
        <f>(SUM(H28:H31)+SUM(J28:J31))/AVERAGE(AF30:AF33)</f>
        <v>1.1736536254338321E-3</v>
      </c>
      <c r="BK8" s="15">
        <f t="shared" si="4"/>
        <v>-3.9811598156691642E-2</v>
      </c>
    </row>
    <row r="9" spans="1:64">
      <c r="A9" s="9">
        <v>2016</v>
      </c>
      <c r="B9" s="9">
        <v>2</v>
      </c>
      <c r="C9" s="10">
        <v>97915025.902647793</v>
      </c>
      <c r="D9" s="10"/>
      <c r="E9" s="10">
        <v>17797214.875</v>
      </c>
      <c r="F9" s="10"/>
      <c r="G9" s="10"/>
      <c r="H9" s="10"/>
      <c r="I9" s="10"/>
      <c r="J9" s="12"/>
      <c r="K9" s="12"/>
      <c r="L9" s="10"/>
      <c r="M9" s="10">
        <v>732730.52299999795</v>
      </c>
      <c r="N9" s="12"/>
      <c r="O9" s="12"/>
      <c r="P9" s="12"/>
      <c r="Q9" s="10"/>
      <c r="R9" s="10"/>
      <c r="S9" s="10"/>
      <c r="T9" s="12"/>
      <c r="U9" s="12"/>
      <c r="V9" s="12"/>
      <c r="W9" s="12"/>
      <c r="X9" s="10"/>
      <c r="Y9" s="10"/>
      <c r="Z9" s="10"/>
      <c r="AA9" s="10"/>
      <c r="AB9" s="10"/>
      <c r="AC9" s="13"/>
      <c r="AD9" s="10"/>
      <c r="AE9" s="10"/>
      <c r="AF9" s="10"/>
      <c r="AG9" s="10"/>
      <c r="AH9" s="10"/>
      <c r="AI9" s="14"/>
      <c r="AJ9" s="11">
        <f t="shared" si="6"/>
        <v>2020</v>
      </c>
      <c r="AK9" s="15">
        <f>SUM(AB32:AB35)/AVERAGE(AF34:AF37)</f>
        <v>-4.0920927675002966E-2</v>
      </c>
      <c r="AL9" s="10">
        <v>31327423</v>
      </c>
      <c r="AM9" s="15">
        <f>AL9/AVERAGE(AF34:AF37)</f>
        <v>5.2291674979741834E-3</v>
      </c>
      <c r="AN9" s="15">
        <f>(AF37-AF33)/AF33</f>
        <v>2.197878345659194E-2</v>
      </c>
      <c r="AO9" s="15"/>
      <c r="AP9" s="10">
        <f t="shared" si="7"/>
        <v>610219563.15549088</v>
      </c>
      <c r="AQ9" s="10">
        <f t="shared" ref="AQ9:AQ29" si="9">(((((((((((AQ8*((1+AN9)^(1/12))-AL9/12)*((1+AN9)^(1/12))-AL9/12)*((1+AN9)^(1/12))-AL9/12)*((1+AN9)^(1/12))-AL9/12)*((1+AN9)^(1/12))-AL9/12)*((1+AN9)^(1/12))-AL9/12)*((1+AN9)^(1/12))-AL9/12)*((1+AN9)^(1/12))-AL9/12)*((1+AN9)^(1/12))-AL9/12)*((1+AN9)^(1/12))-AL9/12)*((1+AN9)^(1/12))-AL9/12)*((1+AN9)^(1/12))-AL9/12</f>
        <v>557704887.79585207</v>
      </c>
      <c r="AR9" s="17">
        <f>AP9/AF37</f>
        <v>0.10103933176461723</v>
      </c>
      <c r="AS9" s="17">
        <f>AQ9/AF37</f>
        <v>9.2344022688100991E-2</v>
      </c>
      <c r="AU9" s="9">
        <v>11339977</v>
      </c>
      <c r="AW9" s="9">
        <f t="shared" si="5"/>
        <v>2.3192223651145243E-2</v>
      </c>
      <c r="BE9" s="14">
        <f t="shared" ref="BE9:BE40" si="10">T14/AF16</f>
        <v>1.2917420302879588E-2</v>
      </c>
      <c r="BF9" s="9">
        <f t="shared" si="8"/>
        <v>2020</v>
      </c>
      <c r="BG9" s="14">
        <f>SUM(T32:T35)/AVERAGE(AF34:AF37)</f>
        <v>4.5057251105717712E-2</v>
      </c>
      <c r="BH9" s="14">
        <f>SUM(P32:P35)/AVERAGE(AF34:AF37)</f>
        <v>1.309267659862632E-2</v>
      </c>
      <c r="BI9" s="14">
        <f>SUM(D32:D35)/AVERAGE(AF34:AF37)</f>
        <v>7.2885502182094358E-2</v>
      </c>
      <c r="BJ9" s="14">
        <f>(SUM(H32:H35)+SUM(J32:J35))/AVERAGE(AF34:AF37)</f>
        <v>1.5866754891891712E-3</v>
      </c>
      <c r="BK9" s="15">
        <f t="shared" si="4"/>
        <v>-4.2507603164192137E-2</v>
      </c>
    </row>
    <row r="10" spans="1:64">
      <c r="A10" s="9">
        <v>2016</v>
      </c>
      <c r="B10" s="9">
        <v>3</v>
      </c>
      <c r="C10" s="10">
        <v>100917465.84456199</v>
      </c>
      <c r="D10" s="10"/>
      <c r="E10" s="10">
        <v>18342943.715</v>
      </c>
      <c r="F10" s="10"/>
      <c r="G10" s="10"/>
      <c r="H10" s="10"/>
      <c r="I10" s="10"/>
      <c r="J10" s="12"/>
      <c r="K10" s="12"/>
      <c r="L10" s="10"/>
      <c r="M10" s="10">
        <v>775294.91</v>
      </c>
      <c r="N10" s="12"/>
      <c r="O10" s="12"/>
      <c r="P10" s="12"/>
      <c r="Q10" s="10"/>
      <c r="R10" s="10"/>
      <c r="S10" s="10"/>
      <c r="T10" s="12"/>
      <c r="U10" s="10"/>
      <c r="V10" s="12"/>
      <c r="W10" s="12"/>
      <c r="X10" s="10"/>
      <c r="Y10" s="10"/>
      <c r="Z10" s="10"/>
      <c r="AA10" s="10"/>
      <c r="AB10" s="10"/>
      <c r="AC10" s="13"/>
      <c r="AD10" s="10"/>
      <c r="AE10" s="10"/>
      <c r="AF10" s="10"/>
      <c r="AG10" s="10"/>
      <c r="AH10" s="10"/>
      <c r="AI10" s="14"/>
      <c r="AJ10" s="11">
        <f t="shared" si="6"/>
        <v>2021</v>
      </c>
      <c r="AK10" s="15">
        <f>SUM(AB36:AB39)/AVERAGE(AF38:AF41)</f>
        <v>-4.1857991827518148E-2</v>
      </c>
      <c r="AL10" s="10">
        <v>29621327</v>
      </c>
      <c r="AM10" s="15">
        <f>AL10/AVERAGE(AF38:AF41)</f>
        <v>4.8060300912632203E-3</v>
      </c>
      <c r="AN10" s="15">
        <f>(AF41-AF37)/AF37</f>
        <v>2.8632581015420634E-2</v>
      </c>
      <c r="AO10" s="15"/>
      <c r="AP10" s="10">
        <f t="shared" si="7"/>
        <v>627691724.23473501</v>
      </c>
      <c r="AQ10" s="10">
        <f t="shared" si="9"/>
        <v>543665343.99448562</v>
      </c>
      <c r="AR10" s="17">
        <f>AP10/AF41</f>
        <v>0.10103933176461723</v>
      </c>
      <c r="AS10" s="17">
        <f>AQ10/AF41</f>
        <v>8.7513632791247492E-2</v>
      </c>
      <c r="AU10" s="9">
        <v>11479064</v>
      </c>
      <c r="AW10" s="9">
        <f t="shared" si="5"/>
        <v>1.2265192424993455E-2</v>
      </c>
      <c r="BE10" s="14">
        <f t="shared" si="10"/>
        <v>1.485252154833998E-2</v>
      </c>
      <c r="BF10" s="9">
        <f t="shared" si="8"/>
        <v>2021</v>
      </c>
      <c r="BG10" s="14">
        <f>SUM(T36:T39)/AVERAGE(AF38:AF41)</f>
        <v>4.2528085152016552E-2</v>
      </c>
      <c r="BH10" s="14">
        <f>SUM(P36:P39)/AVERAGE(AF38:AF41)</f>
        <v>1.2527634928629426E-2</v>
      </c>
      <c r="BI10" s="14">
        <f>SUM(D36:D39)/AVERAGE(AF38:AF41)</f>
        <v>7.1858442050905275E-2</v>
      </c>
      <c r="BJ10" s="14">
        <f>(SUM(H36:H39)+SUM(J36:J39))/AVERAGE(AF38:AF41)</f>
        <v>1.9729577780032738E-3</v>
      </c>
      <c r="BK10" s="15">
        <f t="shared" si="4"/>
        <v>-4.3830949605521419E-2</v>
      </c>
    </row>
    <row r="11" spans="1:64">
      <c r="A11" s="9">
        <v>2016</v>
      </c>
      <c r="B11" s="9">
        <v>4</v>
      </c>
      <c r="C11" s="10">
        <v>108710229.285033</v>
      </c>
      <c r="D11" s="10"/>
      <c r="E11" s="10">
        <v>19759371.113000002</v>
      </c>
      <c r="F11" s="10"/>
      <c r="G11" s="10"/>
      <c r="H11" s="10"/>
      <c r="I11" s="10"/>
      <c r="J11" s="12"/>
      <c r="K11" s="12"/>
      <c r="L11" s="10"/>
      <c r="M11" s="10">
        <v>832906.25299999898</v>
      </c>
      <c r="N11" s="12"/>
      <c r="O11" s="12"/>
      <c r="P11" s="10"/>
      <c r="Q11" s="10"/>
      <c r="R11" s="10"/>
      <c r="S11" s="10"/>
      <c r="T11" s="12"/>
      <c r="U11" s="12"/>
      <c r="V11" s="12"/>
      <c r="W11" s="12"/>
      <c r="X11" s="10"/>
      <c r="Y11" s="10"/>
      <c r="Z11" s="10"/>
      <c r="AA11" s="10"/>
      <c r="AB11" s="10"/>
      <c r="AC11" s="13"/>
      <c r="AD11" s="10"/>
      <c r="AE11" s="10"/>
      <c r="AF11" s="10"/>
      <c r="AG11" s="10"/>
      <c r="AH11" s="10"/>
      <c r="AI11" s="14"/>
      <c r="AJ11" s="11">
        <f t="shared" si="6"/>
        <v>2022</v>
      </c>
      <c r="AK11" s="15">
        <f>SUM(AB40:AB43)/AVERAGE(AF42:AF45)</f>
        <v>-4.277308819388486E-2</v>
      </c>
      <c r="AL11" s="10">
        <v>27946580</v>
      </c>
      <c r="AM11" s="15">
        <f>AL11/AVERAGE(AF42:AF45)</f>
        <v>4.4445110169143206E-3</v>
      </c>
      <c r="AN11" s="15">
        <f>(AF45-AF41)/AF41</f>
        <v>2.4961776753043636E-2</v>
      </c>
      <c r="AO11" s="15"/>
      <c r="AP11" s="10">
        <f t="shared" si="7"/>
        <v>643360024.92481554</v>
      </c>
      <c r="AQ11" s="10">
        <f t="shared" si="9"/>
        <v>528971308.62673777</v>
      </c>
      <c r="AR11" s="17">
        <f>AP11/AF45</f>
        <v>0.10103933176461723</v>
      </c>
      <c r="AS11" s="17">
        <f>AQ11/AF45</f>
        <v>8.3074647904253326E-2</v>
      </c>
      <c r="AU11" s="9">
        <v>11462881</v>
      </c>
      <c r="AW11" s="9">
        <f t="shared" si="5"/>
        <v>-1.4097839336029488E-3</v>
      </c>
      <c r="BE11" s="14">
        <f t="shared" si="10"/>
        <v>1.3197500250337503E-2</v>
      </c>
      <c r="BF11" s="9">
        <f t="shared" si="8"/>
        <v>2022</v>
      </c>
      <c r="BG11" s="14">
        <f>SUM(T40:T43)/AVERAGE(AF42:AF45)</f>
        <v>4.0157283619991366E-2</v>
      </c>
      <c r="BH11" s="14">
        <f>SUM(P40:P43)/AVERAGE(AF42:AF45)</f>
        <v>1.2061884885141897E-2</v>
      </c>
      <c r="BI11" s="14">
        <f>SUM(D40:D43)/AVERAGE(AF42:AF45)</f>
        <v>7.0868486928734334E-2</v>
      </c>
      <c r="BJ11" s="14">
        <f>(SUM(H40:H43)+SUM(J40:J43))/AVERAGE(AF42:AF45)</f>
        <v>2.4225579964066313E-3</v>
      </c>
      <c r="BK11" s="15">
        <f t="shared" si="4"/>
        <v>-4.519564619029149E-2</v>
      </c>
      <c r="BL11" s="16">
        <f t="shared" ref="BL11:BL29" si="11">BI11+BJ11</f>
        <v>7.3291044925140963E-2</v>
      </c>
    </row>
    <row r="12" spans="1:64" ht="11.5" customHeight="1">
      <c r="A12" s="9">
        <v>2017</v>
      </c>
      <c r="B12" s="9">
        <v>1</v>
      </c>
      <c r="C12" s="10">
        <v>106787377.90249901</v>
      </c>
      <c r="D12" s="10"/>
      <c r="E12" s="10">
        <v>19409869.568</v>
      </c>
      <c r="F12" s="10"/>
      <c r="G12" s="10"/>
      <c r="H12" s="10"/>
      <c r="I12" s="10"/>
      <c r="J12" s="12"/>
      <c r="K12" s="12"/>
      <c r="L12" s="10"/>
      <c r="M12" s="10">
        <v>832988.16000000003</v>
      </c>
      <c r="N12" s="12"/>
      <c r="O12" s="12"/>
      <c r="P12" s="12"/>
      <c r="Q12" s="10"/>
      <c r="R12" s="10"/>
      <c r="S12" s="10"/>
      <c r="T12" s="12"/>
      <c r="U12" s="12"/>
      <c r="V12" s="12"/>
      <c r="W12" s="12"/>
      <c r="X12" s="10"/>
      <c r="Y12" s="10"/>
      <c r="Z12" s="10"/>
      <c r="AA12" s="10"/>
      <c r="AB12" s="10"/>
      <c r="AC12" s="13"/>
      <c r="AD12" s="10"/>
      <c r="AE12" s="10"/>
      <c r="AF12" s="10"/>
      <c r="AG12" s="10"/>
      <c r="AH12" s="10"/>
      <c r="AI12" s="14"/>
      <c r="AJ12" s="11">
        <f t="shared" si="6"/>
        <v>2023</v>
      </c>
      <c r="AK12" s="15">
        <f>SUM(AB44:AB47)/AVERAGE(AF46:AF49)</f>
        <v>-4.1297223927176295E-2</v>
      </c>
      <c r="AL12" s="10">
        <v>26311552</v>
      </c>
      <c r="AM12" s="15">
        <f>AL12/AVERAGE(AF46:AF49)</f>
        <v>4.0742416816573861E-3</v>
      </c>
      <c r="AN12" s="15">
        <f>(AF49-AF45)/AF45</f>
        <v>2.3230976281430164E-2</v>
      </c>
      <c r="AO12" s="15"/>
      <c r="AP12" s="10">
        <f t="shared" si="7"/>
        <v>658305906.40426433</v>
      </c>
      <c r="AQ12" s="10">
        <f t="shared" si="9"/>
        <v>514669285.13589042</v>
      </c>
      <c r="AR12" s="17">
        <f>AP12/AF49</f>
        <v>0.10103933176461724</v>
      </c>
      <c r="AS12" s="17">
        <f>AQ12/AF49</f>
        <v>7.8993428653774525E-2</v>
      </c>
      <c r="AU12" s="9">
        <v>11332510</v>
      </c>
      <c r="AW12" s="9">
        <f t="shared" si="5"/>
        <v>-1.1373318801791626E-2</v>
      </c>
      <c r="BE12" s="14">
        <f t="shared" si="10"/>
        <v>1.3756176158652152E-2</v>
      </c>
      <c r="BF12" s="9">
        <f t="shared" si="8"/>
        <v>2023</v>
      </c>
      <c r="BG12" s="14">
        <f>SUM(T44:T47)/AVERAGE(AF46:AF49)</f>
        <v>4.0350183608526088E-2</v>
      </c>
      <c r="BH12" s="14">
        <f>SUM(P44:P47)/AVERAGE(AF46:AF49)</f>
        <v>1.1501865339375826E-2</v>
      </c>
      <c r="BI12" s="14">
        <f>SUM(D44:D47)/AVERAGE(AF46:AF49)</f>
        <v>7.0145542196326557E-2</v>
      </c>
      <c r="BJ12" s="14">
        <f>(SUM(H44:H47)+SUM(J44:J47))/AVERAGE(AF46:AF49)</f>
        <v>2.8028672341263152E-3</v>
      </c>
      <c r="BK12" s="15">
        <f t="shared" si="4"/>
        <v>-4.4100091161302611E-2</v>
      </c>
      <c r="BL12" s="16">
        <f t="shared" si="11"/>
        <v>7.2948409430452874E-2</v>
      </c>
    </row>
    <row r="13" spans="1:64">
      <c r="C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0"/>
      <c r="P13" s="21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2"/>
      <c r="AD13" s="21"/>
      <c r="AE13" s="21"/>
      <c r="AF13" s="21"/>
      <c r="AG13" s="21"/>
      <c r="AH13" s="21"/>
      <c r="AI13" s="16"/>
      <c r="AJ13" s="23">
        <f t="shared" si="6"/>
        <v>2024</v>
      </c>
      <c r="AK13" s="24">
        <f>SUM(AB48:AB51)/AVERAGE(AF50:AF53)</f>
        <v>-3.9950902563685178E-2</v>
      </c>
      <c r="AL13" s="21">
        <v>24746815</v>
      </c>
      <c r="AM13" s="24">
        <f>AL13/AVERAGE(AF50:AF53)</f>
        <v>3.7382188976380981E-3</v>
      </c>
      <c r="AN13" s="24">
        <f>(AF53-AF49)/AF49</f>
        <v>2.2551803904015292E-2</v>
      </c>
      <c r="AO13" s="24"/>
      <c r="AP13" s="21">
        <f t="shared" si="7"/>
        <v>673151892.11434841</v>
      </c>
      <c r="AQ13" s="21">
        <f t="shared" si="9"/>
        <v>501274431.78163493</v>
      </c>
      <c r="AR13" s="25">
        <f>AP13/AF53</f>
        <v>0.10103933176461725</v>
      </c>
      <c r="AS13" s="25">
        <f>AQ13/AF53</f>
        <v>7.5240720870321728E-2</v>
      </c>
      <c r="BE13" s="16">
        <f t="shared" si="10"/>
        <v>1.2846590176763187E-2</v>
      </c>
      <c r="BF13">
        <f t="shared" si="8"/>
        <v>2024</v>
      </c>
      <c r="BG13" s="16">
        <f>SUM(T48:T51)/AVERAGE(AF50:AF53)</f>
        <v>4.0616341403281062E-2</v>
      </c>
      <c r="BH13" s="16">
        <f>SUM(P48:P51)/AVERAGE(AF50:AF53)</f>
        <v>1.1167097639721429E-2</v>
      </c>
      <c r="BI13" s="16">
        <f>SUM(D48:D51)/AVERAGE(AF50:AF53)</f>
        <v>6.9400146327244797E-2</v>
      </c>
      <c r="BJ13" s="16">
        <f>(SUM(H48:H51)+SUM(J48:J51))/AVERAGE(AF50:AF53)</f>
        <v>3.0872271024917682E-3</v>
      </c>
      <c r="BK13" s="24">
        <f t="shared" si="4"/>
        <v>-4.3038129666176948E-2</v>
      </c>
      <c r="BL13" s="16">
        <f t="shared" si="11"/>
        <v>7.248737342973656E-2</v>
      </c>
    </row>
    <row r="14" spans="1:64" s="34" customFormat="1">
      <c r="A14" s="26">
        <v>2015</v>
      </c>
      <c r="B14" s="26">
        <v>3</v>
      </c>
      <c r="C14" s="19"/>
      <c r="D14" s="19">
        <v>104972380.342972</v>
      </c>
      <c r="E14" s="19"/>
      <c r="F14" s="27">
        <v>19851768.169169899</v>
      </c>
      <c r="G14" s="19">
        <v>0</v>
      </c>
      <c r="H14" s="19">
        <v>0</v>
      </c>
      <c r="I14" s="27">
        <v>0</v>
      </c>
      <c r="J14" s="19">
        <v>0</v>
      </c>
      <c r="K14" s="19"/>
      <c r="L14" s="27">
        <v>2869641.16935188</v>
      </c>
      <c r="M14" s="27"/>
      <c r="N14" s="27">
        <v>771795.46014843904</v>
      </c>
      <c r="O14" s="19"/>
      <c r="P14" s="19">
        <v>19136772.5747284</v>
      </c>
      <c r="Q14" s="27"/>
      <c r="R14" s="27">
        <v>19024548.514712099</v>
      </c>
      <c r="S14" s="27"/>
      <c r="T14" s="19">
        <v>72742010.135963306</v>
      </c>
      <c r="U14" s="19"/>
      <c r="V14" s="27">
        <v>143491.61854897701</v>
      </c>
      <c r="W14" s="27"/>
      <c r="X14" s="27">
        <v>360409.57601347001</v>
      </c>
      <c r="Y14" s="19"/>
      <c r="Z14" s="19">
        <f t="shared" ref="Z14:Z45" si="12">R14+V14-N14-L14-F14</f>
        <v>-4325164.6654091403</v>
      </c>
      <c r="AA14" s="19"/>
      <c r="AB14" s="19">
        <f t="shared" ref="AB14:AB45" si="13">T14-P14-D14</f>
        <v>-51367142.781737089</v>
      </c>
      <c r="AC14" s="13"/>
      <c r="AD14" s="18">
        <v>5092693740.32864</v>
      </c>
      <c r="AE14" s="18">
        <v>103.09103866</v>
      </c>
      <c r="AF14" s="18">
        <f t="shared" ref="AF14:AF25" si="14">AD14*100/AE14</f>
        <v>4939996537.5502996</v>
      </c>
      <c r="AG14" s="18"/>
      <c r="AH14" s="18"/>
      <c r="AI14" s="28">
        <f>AB14/AF14</f>
        <v>-1.039821432895368E-2</v>
      </c>
      <c r="AJ14" s="29">
        <f t="shared" si="6"/>
        <v>2025</v>
      </c>
      <c r="AK14" s="30">
        <f>SUM(AB52:AB55)/AVERAGE(AF54:AF57)</f>
        <v>-3.8228061951208973E-2</v>
      </c>
      <c r="AL14" s="18">
        <v>23163008</v>
      </c>
      <c r="AM14" s="30">
        <f>AL14/AVERAGE(AF54:AF57)</f>
        <v>3.4143862166843967E-3</v>
      </c>
      <c r="AN14" s="30">
        <f>(AF57-AF53)/AF53</f>
        <v>2.2588032021422958E-2</v>
      </c>
      <c r="AO14" s="30"/>
      <c r="AP14" s="18">
        <f t="shared" si="7"/>
        <v>688357068.60870874</v>
      </c>
      <c r="AQ14" s="18">
        <f t="shared" si="9"/>
        <v>489195390.7184428</v>
      </c>
      <c r="AR14" s="31">
        <f>AP14/AF57</f>
        <v>0.10103933176461725</v>
      </c>
      <c r="AS14" s="31">
        <f>AQ14/AF57</f>
        <v>7.1805720656613545E-2</v>
      </c>
      <c r="AT14" s="26"/>
      <c r="AU14" s="26"/>
      <c r="AV14" s="26">
        <v>11185633</v>
      </c>
      <c r="AW14" s="26"/>
      <c r="AX14" s="26"/>
      <c r="AY14" s="32">
        <v>6853.2466625781399</v>
      </c>
      <c r="AZ14" s="33"/>
      <c r="BA14" s="26"/>
      <c r="BB14" s="26"/>
      <c r="BC14" s="26"/>
      <c r="BD14" s="26"/>
      <c r="BE14" s="28">
        <f t="shared" si="10"/>
        <v>1.4890201301170363E-2</v>
      </c>
      <c r="BF14" s="34">
        <f t="shared" si="8"/>
        <v>2025</v>
      </c>
      <c r="BG14" s="28">
        <f>SUM(T52:T55)/AVERAGE(AF54:AF57)</f>
        <v>4.0876764225635361E-2</v>
      </c>
      <c r="BH14" s="28">
        <f>SUM(P52:P55)/AVERAGE(AF54:AF57)</f>
        <v>1.0748237663960804E-2</v>
      </c>
      <c r="BI14" s="28">
        <f>SUM(D52:D55)/AVERAGE(AF54:AF57)</f>
        <v>6.8356588512883523E-2</v>
      </c>
      <c r="BJ14" s="28">
        <f>(SUM(H52:H55)+SUM(J52:J55))/AVERAGE(AF54:AF57)</f>
        <v>3.9965470040262754E-3</v>
      </c>
      <c r="BK14" s="30">
        <f t="shared" si="4"/>
        <v>-4.2224608955235249E-2</v>
      </c>
      <c r="BL14" s="16">
        <f t="shared" si="11"/>
        <v>7.2353135516909806E-2</v>
      </c>
    </row>
    <row r="15" spans="1:64" s="26" customFormat="1">
      <c r="A15" s="26">
        <v>2015</v>
      </c>
      <c r="B15" s="26">
        <v>4</v>
      </c>
      <c r="C15" s="19"/>
      <c r="D15" s="19">
        <v>113264862.081616</v>
      </c>
      <c r="E15" s="19"/>
      <c r="F15" s="27">
        <v>21421850.736000702</v>
      </c>
      <c r="G15" s="19">
        <v>0</v>
      </c>
      <c r="H15" s="19">
        <v>0</v>
      </c>
      <c r="I15" s="27">
        <v>0</v>
      </c>
      <c r="J15" s="19">
        <v>0</v>
      </c>
      <c r="K15" s="19"/>
      <c r="L15" s="27">
        <v>2670776.1939050499</v>
      </c>
      <c r="M15" s="27"/>
      <c r="N15" s="27">
        <v>834621.31100850203</v>
      </c>
      <c r="O15" s="19"/>
      <c r="P15" s="19">
        <v>18450510.5665798</v>
      </c>
      <c r="Q15" s="27"/>
      <c r="R15" s="27">
        <v>21980235.489048298</v>
      </c>
      <c r="S15" s="27"/>
      <c r="T15" s="19">
        <v>84043335.456752405</v>
      </c>
      <c r="U15" s="19"/>
      <c r="V15" s="27">
        <v>125893.010086867</v>
      </c>
      <c r="W15" s="27"/>
      <c r="X15" s="27">
        <v>316206.94537625799</v>
      </c>
      <c r="Y15" s="19"/>
      <c r="Z15" s="19">
        <f t="shared" si="12"/>
        <v>-2821119.741779089</v>
      </c>
      <c r="AA15" s="19"/>
      <c r="AB15" s="19">
        <f t="shared" si="13"/>
        <v>-47672037.191443399</v>
      </c>
      <c r="AC15" s="13"/>
      <c r="AD15" s="19">
        <v>5951478855.3666</v>
      </c>
      <c r="AE15" s="19">
        <v>106.73436665</v>
      </c>
      <c r="AF15" s="19">
        <f t="shared" si="14"/>
        <v>5575972427.7771788</v>
      </c>
      <c r="AG15" s="19"/>
      <c r="AH15" s="19"/>
      <c r="AI15" s="33">
        <f>AB15/AF15</f>
        <v>-8.5495467936607984E-3</v>
      </c>
      <c r="AJ15" s="35">
        <f t="shared" si="6"/>
        <v>2026</v>
      </c>
      <c r="AK15" s="36">
        <f>SUM(AB56:AB59)/AVERAGE(AF58:AF61)</f>
        <v>-3.7354056267283768E-2</v>
      </c>
      <c r="AL15" s="19">
        <v>21643660</v>
      </c>
      <c r="AM15" s="36">
        <f>AL15/AVERAGE(AF58:AF61)</f>
        <v>3.1429982959255212E-3</v>
      </c>
      <c r="AN15" s="36">
        <f>(AF61-AF57)/AF57</f>
        <v>1.5822258467475463E-2</v>
      </c>
      <c r="AO15" s="36"/>
      <c r="AP15" s="19">
        <f t="shared" si="7"/>
        <v>699248432.06614947</v>
      </c>
      <c r="AQ15" s="19">
        <f t="shared" si="9"/>
        <v>475135394.53808236</v>
      </c>
      <c r="AR15" s="37">
        <f>AP15/AF61</f>
        <v>0.10103933176461725</v>
      </c>
      <c r="AS15" s="37">
        <f>AQ15/AF61</f>
        <v>6.8655660220778417E-2</v>
      </c>
      <c r="AV15" s="26">
        <v>11102417</v>
      </c>
      <c r="AX15" s="26">
        <f t="shared" ref="AX15:AX46" si="15">(AV15-AV14)/AV14</f>
        <v>-7.4395432068976334E-3</v>
      </c>
      <c r="AY15" s="32">
        <v>6832.2540861547704</v>
      </c>
      <c r="AZ15" s="33">
        <f t="shared" ref="AZ15:AZ46" si="16">(AY15-AY14)/AY14</f>
        <v>-3.0631578661831178E-3</v>
      </c>
      <c r="BE15" s="33">
        <f t="shared" si="10"/>
        <v>1.3233683487538977E-2</v>
      </c>
      <c r="BF15" s="26">
        <f t="shared" si="8"/>
        <v>2026</v>
      </c>
      <c r="BG15" s="33">
        <f>SUM(T56:T59)/AVERAGE(AF58:AF61)</f>
        <v>4.0830621462905274E-2</v>
      </c>
      <c r="BH15" s="33">
        <f>SUM(P56:P59)/AVERAGE(AF58:AF61)</f>
        <v>1.0633486672076852E-2</v>
      </c>
      <c r="BI15" s="33">
        <f>SUM(D56:D59)/AVERAGE(AF58:AF61)</f>
        <v>6.7551191058112192E-2</v>
      </c>
      <c r="BJ15" s="33">
        <f>(SUM(H56:H59)+SUM(J56:J59))/AVERAGE(AF58:AF61)</f>
        <v>5.09261443916432E-3</v>
      </c>
      <c r="BK15" s="36">
        <f t="shared" si="4"/>
        <v>-4.2446670706448086E-2</v>
      </c>
      <c r="BL15" s="16">
        <f t="shared" si="11"/>
        <v>7.2643805497276517E-2</v>
      </c>
    </row>
    <row r="16" spans="1:64" s="26" customFormat="1">
      <c r="A16" s="34">
        <v>2016</v>
      </c>
      <c r="B16" s="34">
        <v>1</v>
      </c>
      <c r="C16" s="18"/>
      <c r="D16" s="18">
        <v>99483865.345019907</v>
      </c>
      <c r="E16" s="18"/>
      <c r="F16" s="38">
        <v>18813238.762129001</v>
      </c>
      <c r="G16" s="18">
        <v>0</v>
      </c>
      <c r="H16" s="18">
        <v>0</v>
      </c>
      <c r="I16" s="38">
        <v>0</v>
      </c>
      <c r="J16" s="18">
        <v>0</v>
      </c>
      <c r="K16" s="18"/>
      <c r="L16" s="38">
        <v>2665572.1829564301</v>
      </c>
      <c r="M16" s="38"/>
      <c r="N16" s="38">
        <v>730868.62277234299</v>
      </c>
      <c r="O16" s="18"/>
      <c r="P16" s="18">
        <v>17852690.2503452</v>
      </c>
      <c r="Q16" s="38"/>
      <c r="R16" s="38">
        <v>18329131.825861499</v>
      </c>
      <c r="S16" s="38"/>
      <c r="T16" s="18">
        <v>70083024.153196305</v>
      </c>
      <c r="U16" s="18"/>
      <c r="V16" s="38">
        <v>116696.772819162</v>
      </c>
      <c r="W16" s="38"/>
      <c r="X16" s="38">
        <v>293108.64870855701</v>
      </c>
      <c r="Y16" s="18"/>
      <c r="Z16" s="18">
        <f t="shared" si="12"/>
        <v>-3763850.9691771157</v>
      </c>
      <c r="AA16" s="18"/>
      <c r="AB16" s="18">
        <f t="shared" si="13"/>
        <v>-47253531.442168802</v>
      </c>
      <c r="AC16" s="13"/>
      <c r="AD16" s="19">
        <v>6221730755.7715998</v>
      </c>
      <c r="AE16" s="19">
        <v>110.48458934999999</v>
      </c>
      <c r="AF16" s="19">
        <f t="shared" si="14"/>
        <v>5631310929.7641611</v>
      </c>
      <c r="AG16" s="19"/>
      <c r="AH16" s="19"/>
      <c r="AI16" s="33">
        <f t="shared" ref="AI16:AI47" si="17">AB14/AF16</f>
        <v>-9.1217024636727605E-3</v>
      </c>
      <c r="AJ16" s="35">
        <f t="shared" si="6"/>
        <v>2027</v>
      </c>
      <c r="AK16" s="36">
        <f>SUM(AB60:AB63)/AVERAGE(AF62:AF65)</f>
        <v>-3.6513186434724981E-2</v>
      </c>
      <c r="AL16" s="19">
        <v>20161972</v>
      </c>
      <c r="AM16" s="36">
        <f>AL16/AVERAGE(AF62:AF65)</f>
        <v>2.8834709292480027E-3</v>
      </c>
      <c r="AN16" s="36">
        <f>(AF65-AF61)/AF61</f>
        <v>1.535322524243702E-2</v>
      </c>
      <c r="AO16" s="36"/>
      <c r="AP16" s="19">
        <f t="shared" si="7"/>
        <v>709984150.74408209</v>
      </c>
      <c r="AQ16" s="19">
        <f t="shared" si="9"/>
        <v>462126795.90344435</v>
      </c>
      <c r="AR16" s="37">
        <f>AP16/AF65</f>
        <v>0.10103933176461727</v>
      </c>
      <c r="AS16" s="37">
        <f>AQ16/AF65</f>
        <v>6.57662323865571E-2</v>
      </c>
      <c r="AT16" s="34"/>
      <c r="AU16" s="34"/>
      <c r="AV16" s="34">
        <v>11090768</v>
      </c>
      <c r="AW16" s="34"/>
      <c r="AX16" s="34">
        <f t="shared" si="15"/>
        <v>-1.0492309917741335E-3</v>
      </c>
      <c r="AY16" s="39">
        <v>6441.0704283216501</v>
      </c>
      <c r="AZ16" s="28">
        <f t="shared" si="16"/>
        <v>-5.7255431794586649E-2</v>
      </c>
      <c r="BA16" s="34"/>
      <c r="BB16" s="34"/>
      <c r="BC16" s="34"/>
      <c r="BD16" s="34"/>
      <c r="BE16" s="33">
        <f t="shared" si="10"/>
        <v>1.3970620286113315E-2</v>
      </c>
      <c r="BF16" s="26">
        <f t="shared" si="8"/>
        <v>2027</v>
      </c>
      <c r="BG16" s="33">
        <f>SUM(T60:T63)/AVERAGE(AF62:AF65)</f>
        <v>4.0871702282585534E-2</v>
      </c>
      <c r="BH16" s="33">
        <f>SUM(P60:P63)/AVERAGE(AF62:AF65)</f>
        <v>1.0376471505191474E-2</v>
      </c>
      <c r="BI16" s="33">
        <f>SUM(D60:D63)/AVERAGE(AF62:AF65)</f>
        <v>6.7008417212119045E-2</v>
      </c>
      <c r="BJ16" s="33">
        <f>(SUM(H60:H63)+SUM(J60:J63))/AVERAGE(AF62:AF65)</f>
        <v>6.2146969234365265E-3</v>
      </c>
      <c r="BK16" s="36">
        <f t="shared" si="4"/>
        <v>-4.2727883358161509E-2</v>
      </c>
      <c r="BL16" s="16">
        <f t="shared" si="11"/>
        <v>7.3223114135555573E-2</v>
      </c>
    </row>
    <row r="17" spans="1:64" s="26" customFormat="1">
      <c r="A17" s="26">
        <v>2016</v>
      </c>
      <c r="B17" s="26">
        <v>2</v>
      </c>
      <c r="C17" s="19"/>
      <c r="D17" s="19">
        <v>102300549.238139</v>
      </c>
      <c r="E17" s="19"/>
      <c r="F17" s="27">
        <v>19346572.745837599</v>
      </c>
      <c r="G17" s="19">
        <v>0</v>
      </c>
      <c r="H17" s="19">
        <v>0</v>
      </c>
      <c r="I17" s="27">
        <v>0</v>
      </c>
      <c r="J17" s="19">
        <v>0</v>
      </c>
      <c r="K17" s="19"/>
      <c r="L17" s="27">
        <v>2618618.1015989701</v>
      </c>
      <c r="M17" s="27"/>
      <c r="N17" s="27">
        <v>752236.96718559798</v>
      </c>
      <c r="O17" s="19"/>
      <c r="P17" s="19">
        <v>17726607.6252519</v>
      </c>
      <c r="Q17" s="27"/>
      <c r="R17" s="27">
        <v>20436512.2309427</v>
      </c>
      <c r="S17" s="27"/>
      <c r="T17" s="19">
        <v>78140775.782266706</v>
      </c>
      <c r="U17" s="19"/>
      <c r="V17" s="27">
        <v>114199.534375804</v>
      </c>
      <c r="W17" s="27"/>
      <c r="X17" s="27">
        <v>286836.30571266299</v>
      </c>
      <c r="Y17" s="19"/>
      <c r="Z17" s="19">
        <f t="shared" si="12"/>
        <v>-2166716.049303662</v>
      </c>
      <c r="AA17" s="19"/>
      <c r="AB17" s="19">
        <f t="shared" si="13"/>
        <v>-41886381.081124201</v>
      </c>
      <c r="AC17" s="13"/>
      <c r="AD17" s="19">
        <v>6552140231.3025303</v>
      </c>
      <c r="AE17" s="19">
        <v>115.79241048</v>
      </c>
      <c r="AF17" s="19">
        <f t="shared" si="14"/>
        <v>5658523044.9401817</v>
      </c>
      <c r="AG17" s="19"/>
      <c r="AH17" s="19"/>
      <c r="AI17" s="33">
        <f t="shared" si="17"/>
        <v>-8.4248198359943866E-3</v>
      </c>
      <c r="AJ17" s="35">
        <f t="shared" si="6"/>
        <v>2028</v>
      </c>
      <c r="AK17" s="36">
        <f>SUM(AB64:AB67)/AVERAGE(AF66:AF69)</f>
        <v>-3.4702825859237701E-2</v>
      </c>
      <c r="AL17" s="19">
        <v>18722270</v>
      </c>
      <c r="AM17" s="36">
        <f>AL17/AVERAGE(AF66:AF69)</f>
        <v>2.6190045194488653E-3</v>
      </c>
      <c r="AN17" s="36">
        <f>(AF69-AF65)/AF65</f>
        <v>2.5821704276630674E-2</v>
      </c>
      <c r="AO17" s="36"/>
      <c r="AP17" s="19">
        <f t="shared" si="7"/>
        <v>728317151.52569056</v>
      </c>
      <c r="AQ17" s="19">
        <f t="shared" si="9"/>
        <v>455116870.20238632</v>
      </c>
      <c r="AR17" s="37">
        <f>AP17/AF69</f>
        <v>0.10103933176461727</v>
      </c>
      <c r="AS17" s="37">
        <f>AQ17/AF69</f>
        <v>6.3138296748502576E-2</v>
      </c>
      <c r="AV17" s="26">
        <v>11075806</v>
      </c>
      <c r="AX17" s="26">
        <f t="shared" si="15"/>
        <v>-1.3490499485698376E-3</v>
      </c>
      <c r="AY17" s="32">
        <v>6254.1240431472797</v>
      </c>
      <c r="AZ17" s="33">
        <f t="shared" si="16"/>
        <v>-2.9024117536793174E-2</v>
      </c>
      <c r="BE17" s="33">
        <f t="shared" si="10"/>
        <v>1.2698530673691468E-2</v>
      </c>
      <c r="BF17" s="26">
        <f t="shared" si="8"/>
        <v>2028</v>
      </c>
      <c r="BG17" s="33">
        <f>SUM(T64:T67)/AVERAGE(AF66:AF69)</f>
        <v>4.0960209587746751E-2</v>
      </c>
      <c r="BH17" s="33">
        <f>SUM(P64:P67)/AVERAGE(AF66:AF69)</f>
        <v>9.9544460051417174E-3</v>
      </c>
      <c r="BI17" s="33">
        <f>SUM(D64:D67)/AVERAGE(AF66:AF69)</f>
        <v>6.5708589441842727E-2</v>
      </c>
      <c r="BJ17" s="33">
        <f>(SUM(H64:H67)+SUM(J64:J67))/AVERAGE(AF66:AF69)</f>
        <v>7.3448724419564902E-3</v>
      </c>
      <c r="BK17" s="36">
        <f t="shared" si="4"/>
        <v>-4.2047698301194189E-2</v>
      </c>
      <c r="BL17" s="16">
        <f t="shared" si="11"/>
        <v>7.3053461883799214E-2</v>
      </c>
    </row>
    <row r="18" spans="1:64" s="34" customFormat="1">
      <c r="A18" s="26">
        <f t="shared" ref="A18:A49" si="18">A14+1</f>
        <v>2016</v>
      </c>
      <c r="B18" s="26">
        <f t="shared" ref="B18:B49" si="19">B14</f>
        <v>3</v>
      </c>
      <c r="C18" s="19"/>
      <c r="D18" s="19">
        <v>97682833.091087893</v>
      </c>
      <c r="E18" s="19"/>
      <c r="F18" s="27">
        <v>18474940.014109399</v>
      </c>
      <c r="G18" s="19">
        <v>0</v>
      </c>
      <c r="H18" s="19">
        <v>0</v>
      </c>
      <c r="I18" s="27">
        <v>0</v>
      </c>
      <c r="J18" s="19">
        <v>0</v>
      </c>
      <c r="K18" s="19"/>
      <c r="L18" s="27">
        <v>2255815.8175556599</v>
      </c>
      <c r="M18" s="27"/>
      <c r="N18" s="27">
        <v>719928.806128975</v>
      </c>
      <c r="O18" s="19"/>
      <c r="P18" s="19">
        <v>15666274.878976701</v>
      </c>
      <c r="Q18" s="27"/>
      <c r="R18" s="27">
        <v>18210487.656037498</v>
      </c>
      <c r="S18" s="27"/>
      <c r="T18" s="19">
        <v>69629377.886782303</v>
      </c>
      <c r="U18" s="19"/>
      <c r="V18" s="27">
        <v>114753.770743457</v>
      </c>
      <c r="W18" s="27"/>
      <c r="X18" s="27">
        <v>288228.38767742802</v>
      </c>
      <c r="Y18" s="19"/>
      <c r="Z18" s="19">
        <f t="shared" si="12"/>
        <v>-3125443.2110130806</v>
      </c>
      <c r="AA18" s="19"/>
      <c r="AB18" s="19">
        <f t="shared" si="13"/>
        <v>-43719730.083282292</v>
      </c>
      <c r="AC18" s="13"/>
      <c r="AD18" s="18">
        <v>6962845278.2518702</v>
      </c>
      <c r="AE18" s="18">
        <v>131.11898839</v>
      </c>
      <c r="AF18" s="18">
        <f t="shared" si="14"/>
        <v>5310325654.3908043</v>
      </c>
      <c r="AG18" s="18"/>
      <c r="AH18" s="18"/>
      <c r="AI18" s="28">
        <f t="shared" si="17"/>
        <v>-8.8984244126530283E-3</v>
      </c>
      <c r="AJ18" s="29">
        <f t="shared" si="6"/>
        <v>2029</v>
      </c>
      <c r="AK18" s="30">
        <f>SUM(AB68:AB71)/AVERAGE(AF70:AF73)</f>
        <v>-3.4338588033491026E-2</v>
      </c>
      <c r="AL18" s="18">
        <v>17359511</v>
      </c>
      <c r="AM18" s="30">
        <f>AL18/AVERAGE(AF70:AF73)</f>
        <v>2.3956046333276073E-3</v>
      </c>
      <c r="AN18" s="30">
        <f>(AF73-AF69)/AF69</f>
        <v>1.260426170929985E-2</v>
      </c>
      <c r="AO18" s="30"/>
      <c r="AP18" s="18">
        <f t="shared" si="7"/>
        <v>737497051.51089215</v>
      </c>
      <c r="AQ18" s="18">
        <f t="shared" si="9"/>
        <v>443393713.05746442</v>
      </c>
      <c r="AR18" s="31">
        <f>AP18/AF73</f>
        <v>0.10103933176461727</v>
      </c>
      <c r="AS18" s="31">
        <f>AQ18/AF73</f>
        <v>6.0746282828083961E-2</v>
      </c>
      <c r="AT18" s="26"/>
      <c r="AU18" s="26"/>
      <c r="AV18" s="26">
        <v>11207235</v>
      </c>
      <c r="AW18" s="26"/>
      <c r="AX18" s="26">
        <f t="shared" si="15"/>
        <v>1.1866314740435143E-2</v>
      </c>
      <c r="AY18" s="32">
        <v>6292.2491261057703</v>
      </c>
      <c r="AZ18" s="33">
        <f t="shared" si="16"/>
        <v>6.0959908526701974E-3</v>
      </c>
      <c r="BA18" s="26"/>
      <c r="BB18" s="26"/>
      <c r="BC18" s="26"/>
      <c r="BD18" s="26"/>
      <c r="BE18" s="28">
        <f t="shared" si="10"/>
        <v>1.4505989421824723E-2</v>
      </c>
      <c r="BF18" s="34">
        <f t="shared" si="8"/>
        <v>2029</v>
      </c>
      <c r="BG18" s="28">
        <f>SUM(T68:T71)/AVERAGE(AF70:AF73)</f>
        <v>4.0920963055877523E-2</v>
      </c>
      <c r="BH18" s="28">
        <f>SUM(P68:P71)/AVERAGE(AF70:AF73)</f>
        <v>9.7000039475762124E-3</v>
      </c>
      <c r="BI18" s="28">
        <f>SUM(D68:D71)/AVERAGE(AF70:AF73)</f>
        <v>6.5559547141792338E-2</v>
      </c>
      <c r="BJ18" s="28">
        <f>(SUM(H68:H71)+SUM(J68:J71))/AVERAGE(AF70:AF73)</f>
        <v>8.2157664094320224E-3</v>
      </c>
      <c r="BK18" s="30">
        <f t="shared" si="4"/>
        <v>-4.2554354442923048E-2</v>
      </c>
      <c r="BL18" s="16">
        <f t="shared" si="11"/>
        <v>7.3775313551224353E-2</v>
      </c>
    </row>
    <row r="19" spans="1:64" s="26" customFormat="1">
      <c r="A19" s="26">
        <f t="shared" si="18"/>
        <v>2016</v>
      </c>
      <c r="B19" s="26">
        <f t="shared" si="19"/>
        <v>4</v>
      </c>
      <c r="C19" s="19"/>
      <c r="D19" s="19">
        <v>106681111.11949299</v>
      </c>
      <c r="E19" s="19"/>
      <c r="F19" s="27">
        <v>20178815.690175898</v>
      </c>
      <c r="G19" s="19">
        <v>34547.7024160765</v>
      </c>
      <c r="H19" s="19">
        <v>190071.265473115</v>
      </c>
      <c r="I19" s="27">
        <v>1068.4856417343201</v>
      </c>
      <c r="J19" s="19">
        <v>5878.4927465911396</v>
      </c>
      <c r="K19" s="19"/>
      <c r="L19" s="27">
        <v>3729815.2114678798</v>
      </c>
      <c r="M19" s="27"/>
      <c r="N19" s="27">
        <v>788260.935891159</v>
      </c>
      <c r="O19" s="19"/>
      <c r="P19" s="19">
        <v>23690807.957799401</v>
      </c>
      <c r="Q19" s="27"/>
      <c r="R19" s="27">
        <v>21232468.537361301</v>
      </c>
      <c r="S19" s="27"/>
      <c r="T19" s="19">
        <v>81184183.706744298</v>
      </c>
      <c r="U19" s="19"/>
      <c r="V19" s="27">
        <v>118511.592881424</v>
      </c>
      <c r="W19" s="27"/>
      <c r="X19" s="27">
        <v>297666.95347781701</v>
      </c>
      <c r="Y19" s="19"/>
      <c r="Z19" s="19">
        <f t="shared" si="12"/>
        <v>-3345911.707292214</v>
      </c>
      <c r="AA19" s="19"/>
      <c r="AB19" s="19">
        <f t="shared" si="13"/>
        <v>-49187735.370548099</v>
      </c>
      <c r="AC19" s="13"/>
      <c r="AD19" s="19">
        <v>8401125356.75455</v>
      </c>
      <c r="AE19" s="19">
        <v>147.89635652000001</v>
      </c>
      <c r="AF19" s="19">
        <f t="shared" si="14"/>
        <v>5680414010.4820404</v>
      </c>
      <c r="AG19" s="19"/>
      <c r="AH19" s="19"/>
      <c r="AI19" s="33">
        <f t="shared" si="17"/>
        <v>-7.3738253943870053E-3</v>
      </c>
      <c r="AJ19" s="35">
        <f t="shared" si="6"/>
        <v>2030</v>
      </c>
      <c r="AK19" s="36">
        <f>SUM(AB72:AB75)/AVERAGE(AF74:AF77)</f>
        <v>-3.3169261606381464E-2</v>
      </c>
      <c r="AL19" s="19">
        <v>16025230</v>
      </c>
      <c r="AM19" s="36">
        <f>AL19/AVERAGE(AF74:AF77)</f>
        <v>2.1655094315841746E-3</v>
      </c>
      <c r="AN19" s="36">
        <f>(AF77-AF73)/AF73</f>
        <v>1.9459254436303017E-2</v>
      </c>
      <c r="AO19" s="36"/>
      <c r="AP19" s="19">
        <f t="shared" si="7"/>
        <v>751848194.2822659</v>
      </c>
      <c r="AQ19" s="19">
        <f t="shared" si="9"/>
        <v>435854165.25553966</v>
      </c>
      <c r="AR19" s="37">
        <f>AP19/AF77</f>
        <v>0.10103933176461727</v>
      </c>
      <c r="AS19" s="37">
        <f>AQ19/AF77</f>
        <v>5.8573544419143045E-2</v>
      </c>
      <c r="AV19" s="26">
        <v>11197960</v>
      </c>
      <c r="AX19" s="26">
        <f t="shared" si="15"/>
        <v>-8.2759039138556481E-4</v>
      </c>
      <c r="AY19" s="32">
        <v>6392.9117011472599</v>
      </c>
      <c r="AZ19" s="33">
        <f t="shared" si="16"/>
        <v>1.5997868651425915E-2</v>
      </c>
      <c r="BE19" s="33">
        <f t="shared" si="10"/>
        <v>1.1845015107662416E-2</v>
      </c>
      <c r="BF19" s="26">
        <f t="shared" si="8"/>
        <v>2030</v>
      </c>
      <c r="BG19" s="33">
        <f>SUM(T72:T75)/AVERAGE(AF74:AF77)</f>
        <v>4.0934405263167439E-2</v>
      </c>
      <c r="BH19" s="33">
        <f>SUM(P72:P75)/AVERAGE(AF74:AF77)</f>
        <v>9.4303898132985387E-3</v>
      </c>
      <c r="BI19" s="33">
        <f>SUM(D72:D75)/AVERAGE(AF74:AF77)</f>
        <v>6.4673277056250367E-2</v>
      </c>
      <c r="BJ19" s="33">
        <f>(SUM(H72:H75)+SUM(J72:J75))/AVERAGE(AF74:AF77)</f>
        <v>9.1163357915233518E-3</v>
      </c>
      <c r="BK19" s="36">
        <f t="shared" si="4"/>
        <v>-4.2285597397904814E-2</v>
      </c>
      <c r="BL19" s="16">
        <f t="shared" si="11"/>
        <v>7.3789612847773717E-2</v>
      </c>
    </row>
    <row r="20" spans="1:64" s="26" customFormat="1">
      <c r="A20" s="34">
        <f t="shared" si="18"/>
        <v>2017</v>
      </c>
      <c r="B20" s="34">
        <f t="shared" si="19"/>
        <v>1</v>
      </c>
      <c r="C20" s="18"/>
      <c r="D20" s="18">
        <v>101904730.53582001</v>
      </c>
      <c r="E20" s="18"/>
      <c r="F20" s="38">
        <v>19276853.5347615</v>
      </c>
      <c r="G20" s="18">
        <v>58257.290793023902</v>
      </c>
      <c r="H20" s="18">
        <v>320514.42526356102</v>
      </c>
      <c r="I20" s="38">
        <v>1801.7718801966</v>
      </c>
      <c r="J20" s="18">
        <v>9912.8172761924998</v>
      </c>
      <c r="K20" s="18"/>
      <c r="L20" s="38">
        <v>4087776.3510834901</v>
      </c>
      <c r="M20" s="38"/>
      <c r="N20" s="38">
        <v>754462.49065104895</v>
      </c>
      <c r="O20" s="18"/>
      <c r="P20" s="18">
        <v>25362320.9393829</v>
      </c>
      <c r="Q20" s="38"/>
      <c r="R20" s="38">
        <v>18416637.5570793</v>
      </c>
      <c r="S20" s="38"/>
      <c r="T20" s="18">
        <v>70417609.9007781</v>
      </c>
      <c r="U20" s="18"/>
      <c r="V20" s="38">
        <v>95041.589647833098</v>
      </c>
      <c r="W20" s="38"/>
      <c r="X20" s="38">
        <v>238717.07194472899</v>
      </c>
      <c r="Y20" s="18"/>
      <c r="Z20" s="18">
        <f t="shared" si="12"/>
        <v>-5607413.2297689058</v>
      </c>
      <c r="AA20" s="18"/>
      <c r="AB20" s="18">
        <f t="shared" si="13"/>
        <v>-56849441.574424803</v>
      </c>
      <c r="AC20" s="13"/>
      <c r="AD20" s="19">
        <v>8448889759.2748203</v>
      </c>
      <c r="AE20" s="19">
        <v>155.88165151000001</v>
      </c>
      <c r="AF20" s="19">
        <f t="shared" si="14"/>
        <v>5420066876.0125456</v>
      </c>
      <c r="AG20" s="19"/>
      <c r="AH20" s="19"/>
      <c r="AI20" s="33">
        <f t="shared" si="17"/>
        <v>-8.0662713363873068E-3</v>
      </c>
      <c r="AJ20" s="35">
        <f t="shared" si="6"/>
        <v>2031</v>
      </c>
      <c r="AK20" s="36">
        <f>SUM(AB76:AB79)/AVERAGE(AF78:AF81)</f>
        <v>-3.2034193742614701E-2</v>
      </c>
      <c r="AL20" s="19">
        <v>14737286</v>
      </c>
      <c r="AM20" s="36">
        <f>AL20/AVERAGE(AF78:AF81)</f>
        <v>1.9602331729233102E-3</v>
      </c>
      <c r="AN20" s="36">
        <f>(AF81-AF77)/AF77</f>
        <v>1.4276863747533067E-2</v>
      </c>
      <c r="AO20" s="36"/>
      <c r="AP20" s="19">
        <f t="shared" si="7"/>
        <v>762582228.51086259</v>
      </c>
      <c r="AQ20" s="19">
        <f t="shared" si="9"/>
        <v>427243322.26058269</v>
      </c>
      <c r="AR20" s="37">
        <f>AP20/AF81</f>
        <v>0.10103933176461727</v>
      </c>
      <c r="AS20" s="37">
        <f>AQ20/AF81</f>
        <v>5.6608163904372177E-2</v>
      </c>
      <c r="AT20" s="34"/>
      <c r="AU20" s="34"/>
      <c r="AV20" s="34">
        <v>11098826</v>
      </c>
      <c r="AW20" s="34"/>
      <c r="AX20" s="34">
        <f t="shared" si="15"/>
        <v>-8.8528624856670322E-3</v>
      </c>
      <c r="AY20" s="39">
        <v>6400.0742597180897</v>
      </c>
      <c r="AZ20" s="28">
        <f t="shared" si="16"/>
        <v>1.1203906616674226E-3</v>
      </c>
      <c r="BA20" s="34"/>
      <c r="BB20" s="34"/>
      <c r="BC20" s="34"/>
      <c r="BD20" s="34"/>
      <c r="BE20" s="33">
        <f t="shared" si="10"/>
        <v>1.3744726732812443E-2</v>
      </c>
      <c r="BF20" s="26">
        <f t="shared" si="8"/>
        <v>2031</v>
      </c>
      <c r="BG20" s="33">
        <f>SUM(T76:T79)/AVERAGE(AF78:AF81)</f>
        <v>4.1051505867677543E-2</v>
      </c>
      <c r="BH20" s="33">
        <f>SUM(P76:P79)/AVERAGE(AF78:AF81)</f>
        <v>9.1782833151385201E-3</v>
      </c>
      <c r="BI20" s="33">
        <f>SUM(D76:D79)/AVERAGE(AF78:AF81)</f>
        <v>6.3907416295153716E-2</v>
      </c>
      <c r="BJ20" s="33">
        <f>(SUM(H76:H79)+SUM(J76:J79))/AVERAGE(AF78:AF81)</f>
        <v>1.0123764866068637E-2</v>
      </c>
      <c r="BK20" s="36">
        <f t="shared" si="4"/>
        <v>-4.2157958608683335E-2</v>
      </c>
      <c r="BL20" s="16">
        <f t="shared" si="11"/>
        <v>7.4031181161222356E-2</v>
      </c>
    </row>
    <row r="21" spans="1:64" s="26" customFormat="1">
      <c r="A21" s="26">
        <f t="shared" si="18"/>
        <v>2017</v>
      </c>
      <c r="B21" s="26">
        <f t="shared" si="19"/>
        <v>2</v>
      </c>
      <c r="C21" s="19"/>
      <c r="D21" s="19">
        <v>108678270.19741499</v>
      </c>
      <c r="E21" s="19"/>
      <c r="F21" s="27">
        <v>20561166.3373226</v>
      </c>
      <c r="G21" s="19">
        <v>94849.380304339502</v>
      </c>
      <c r="H21" s="19">
        <v>521833.30534297001</v>
      </c>
      <c r="I21" s="27">
        <v>2933.4859887940302</v>
      </c>
      <c r="J21" s="19">
        <v>16139.1743920508</v>
      </c>
      <c r="K21" s="19"/>
      <c r="L21" s="27">
        <v>3770402.3938257098</v>
      </c>
      <c r="M21" s="27"/>
      <c r="N21" s="27">
        <v>807604.27980403998</v>
      </c>
      <c r="O21" s="19"/>
      <c r="P21" s="19">
        <v>24007836.4109971</v>
      </c>
      <c r="Q21" s="27"/>
      <c r="R21" s="27">
        <v>21101855.868257899</v>
      </c>
      <c r="S21" s="27"/>
      <c r="T21" s="19">
        <v>80684774.846005306</v>
      </c>
      <c r="U21" s="19"/>
      <c r="V21" s="27">
        <v>100474.894838576</v>
      </c>
      <c r="W21" s="27"/>
      <c r="X21" s="27">
        <v>252363.968118522</v>
      </c>
      <c r="Y21" s="19"/>
      <c r="Z21" s="19">
        <f t="shared" si="12"/>
        <v>-3936842.2478558756</v>
      </c>
      <c r="AA21" s="19"/>
      <c r="AB21" s="19">
        <f t="shared" si="13"/>
        <v>-52001331.762406789</v>
      </c>
      <c r="AC21" s="13"/>
      <c r="AD21" s="19">
        <v>8942134800.3519897</v>
      </c>
      <c r="AE21" s="19">
        <v>164.01000929</v>
      </c>
      <c r="AF21" s="19">
        <f t="shared" si="14"/>
        <v>5452188460.364418</v>
      </c>
      <c r="AG21" s="19"/>
      <c r="AH21" s="19"/>
      <c r="AI21" s="33">
        <f t="shared" si="17"/>
        <v>-9.0216498802501866E-3</v>
      </c>
      <c r="AJ21" s="35">
        <f t="shared" si="6"/>
        <v>2032</v>
      </c>
      <c r="AK21" s="36">
        <f>SUM(AB80:AB83)/AVERAGE(AF82:AF85)</f>
        <v>-3.1446290354874396E-2</v>
      </c>
      <c r="AL21" s="19">
        <v>13495709</v>
      </c>
      <c r="AM21" s="36">
        <f>AL21/AVERAGE(AF82:AF85)</f>
        <v>1.7772332547035205E-3</v>
      </c>
      <c r="AN21" s="36">
        <f>(AF85-AF81)/AF81</f>
        <v>9.9740749049681346E-3</v>
      </c>
      <c r="AO21" s="36"/>
      <c r="AP21" s="19">
        <f t="shared" si="7"/>
        <v>770188280.7792275</v>
      </c>
      <c r="AQ21" s="19">
        <f t="shared" si="9"/>
        <v>417947385.74137968</v>
      </c>
      <c r="AR21" s="37">
        <f>AP21/AF85</f>
        <v>0.10103933176461728</v>
      </c>
      <c r="AS21" s="37">
        <f>AQ21/AF85</f>
        <v>5.4829611955862265E-2</v>
      </c>
      <c r="AV21" s="26">
        <v>11012973</v>
      </c>
      <c r="AX21" s="26">
        <f t="shared" si="15"/>
        <v>-7.7353226368266342E-3</v>
      </c>
      <c r="AY21" s="32">
        <v>6426.6926535599796</v>
      </c>
      <c r="AZ21" s="33">
        <f t="shared" si="16"/>
        <v>4.1590757797023391E-3</v>
      </c>
      <c r="BE21" s="33">
        <f t="shared" si="10"/>
        <v>1.1974269996513404E-2</v>
      </c>
      <c r="BF21" s="26">
        <f t="shared" si="8"/>
        <v>2032</v>
      </c>
      <c r="BG21" s="33">
        <f>SUM(T80:T83)/AVERAGE(AF82:AF85)</f>
        <v>4.1106528413615971E-2</v>
      </c>
      <c r="BH21" s="33">
        <f>SUM(P80:P83)/AVERAGE(AF82:AF85)</f>
        <v>9.0282978116237415E-3</v>
      </c>
      <c r="BI21" s="33">
        <f>SUM(D80:D83)/AVERAGE(AF82:AF85)</f>
        <v>6.3524520956866629E-2</v>
      </c>
      <c r="BJ21" s="33">
        <f>(SUM(H80:H83)+SUM(J80:J83))/AVERAGE(AF82:AF85)</f>
        <v>1.1016862994134425E-2</v>
      </c>
      <c r="BK21" s="36">
        <f t="shared" si="4"/>
        <v>-4.2463153349008818E-2</v>
      </c>
      <c r="BL21" s="16">
        <f t="shared" si="11"/>
        <v>7.4541383951001058E-2</v>
      </c>
    </row>
    <row r="22" spans="1:64" s="34" customFormat="1">
      <c r="A22" s="26">
        <f t="shared" si="18"/>
        <v>2017</v>
      </c>
      <c r="B22" s="26">
        <f t="shared" si="19"/>
        <v>3</v>
      </c>
      <c r="C22" s="19"/>
      <c r="D22" s="19">
        <v>104449042.120002</v>
      </c>
      <c r="E22" s="19"/>
      <c r="F22" s="27">
        <v>19762664.4612539</v>
      </c>
      <c r="G22" s="19">
        <v>129024.392918849</v>
      </c>
      <c r="H22" s="19">
        <v>709854.14148913405</v>
      </c>
      <c r="I22" s="27">
        <v>3990.4451418200601</v>
      </c>
      <c r="J22" s="19">
        <v>21954.2517986329</v>
      </c>
      <c r="K22" s="19"/>
      <c r="L22" s="27">
        <v>3359303.4265359198</v>
      </c>
      <c r="M22" s="27"/>
      <c r="N22" s="27">
        <v>777814.66912965896</v>
      </c>
      <c r="O22" s="19"/>
      <c r="P22" s="19">
        <v>21710748.266873699</v>
      </c>
      <c r="Q22" s="27"/>
      <c r="R22" s="27">
        <v>18967133.897468299</v>
      </c>
      <c r="S22" s="27"/>
      <c r="T22" s="19">
        <v>72522480.370708898</v>
      </c>
      <c r="U22" s="19"/>
      <c r="V22" s="27">
        <v>105963.157838927</v>
      </c>
      <c r="W22" s="27"/>
      <c r="X22" s="27">
        <v>266148.90246527398</v>
      </c>
      <c r="Y22" s="19"/>
      <c r="Z22" s="19">
        <f t="shared" si="12"/>
        <v>-4826685.5016122535</v>
      </c>
      <c r="AA22" s="19"/>
      <c r="AB22" s="19">
        <f t="shared" si="13"/>
        <v>-53637310.016166806</v>
      </c>
      <c r="AC22" s="13"/>
      <c r="AD22" s="18">
        <v>9157377218.4824009</v>
      </c>
      <c r="AE22" s="18">
        <v>172.09591728000001</v>
      </c>
      <c r="AF22" s="18">
        <f t="shared" si="14"/>
        <v>5321089171.2110472</v>
      </c>
      <c r="AG22" s="18"/>
      <c r="AH22" s="18"/>
      <c r="AI22" s="28">
        <f t="shared" si="17"/>
        <v>-1.0683797949111652E-2</v>
      </c>
      <c r="AJ22" s="29">
        <f t="shared" si="6"/>
        <v>2033</v>
      </c>
      <c r="AK22" s="30">
        <f>SUM(AB84:AB87)/AVERAGE(AF86:AF89)</f>
        <v>-3.1822339662602776E-2</v>
      </c>
      <c r="AL22" s="18">
        <v>12301209</v>
      </c>
      <c r="AM22" s="30">
        <f>AL22/AVERAGE(AF86:AF89)</f>
        <v>1.6066643387430157E-3</v>
      </c>
      <c r="AN22" s="30">
        <f>(AF89-AF85)/AF85</f>
        <v>6.0169042971450733E-3</v>
      </c>
      <c r="AO22" s="30"/>
      <c r="AP22" s="18">
        <f t="shared" si="7"/>
        <v>774822429.95545876</v>
      </c>
      <c r="AQ22" s="18">
        <f t="shared" si="9"/>
        <v>408127039.27422374</v>
      </c>
      <c r="AR22" s="31">
        <f>AP22/AF89</f>
        <v>0.10103933176461727</v>
      </c>
      <c r="AS22" s="31">
        <f>AQ22/AF89</f>
        <v>5.3221075860839247E-2</v>
      </c>
      <c r="AT22" s="26"/>
      <c r="AU22" s="26"/>
      <c r="AV22" s="26">
        <v>11068217</v>
      </c>
      <c r="AW22" s="26"/>
      <c r="AX22" s="26">
        <f t="shared" si="15"/>
        <v>5.0162658166872836E-3</v>
      </c>
      <c r="AY22" s="32">
        <v>6620.4210965434904</v>
      </c>
      <c r="AZ22" s="33">
        <f t="shared" si="16"/>
        <v>3.0144345377431044E-2</v>
      </c>
      <c r="BA22" s="26"/>
      <c r="BB22" s="26"/>
      <c r="BC22" s="26"/>
      <c r="BD22" s="26"/>
      <c r="BE22" s="28">
        <f t="shared" si="10"/>
        <v>1.3865573758031434E-2</v>
      </c>
      <c r="BF22" s="34">
        <f t="shared" si="8"/>
        <v>2033</v>
      </c>
      <c r="BG22" s="28">
        <f>SUM(T84:T87)/AVERAGE(AF86:AF89)</f>
        <v>4.119175876190654E-2</v>
      </c>
      <c r="BH22" s="28">
        <f>SUM(P84:P87)/AVERAGE(AF86:AF89)</f>
        <v>8.9809468202733736E-3</v>
      </c>
      <c r="BI22" s="28">
        <f>SUM(D84:D87)/AVERAGE(AF86:AF89)</f>
        <v>6.4033151604235936E-2</v>
      </c>
      <c r="BJ22" s="28">
        <f>(SUM(H84:H87)+SUM(J84:J87))/AVERAGE(AF86:AF89)</f>
        <v>1.1751967262567987E-2</v>
      </c>
      <c r="BK22" s="30">
        <f t="shared" si="4"/>
        <v>-4.3574306925170767E-2</v>
      </c>
      <c r="BL22" s="16">
        <f t="shared" si="11"/>
        <v>7.5785118866803919E-2</v>
      </c>
    </row>
    <row r="23" spans="1:64" s="26" customFormat="1">
      <c r="A23" s="26">
        <f t="shared" si="18"/>
        <v>2017</v>
      </c>
      <c r="B23" s="26">
        <f t="shared" si="19"/>
        <v>4</v>
      </c>
      <c r="C23" s="19"/>
      <c r="D23" s="19">
        <v>113567211.755356</v>
      </c>
      <c r="E23" s="19"/>
      <c r="F23" s="27">
        <v>21489612.379351899</v>
      </c>
      <c r="G23" s="19">
        <v>167114.701242846</v>
      </c>
      <c r="H23" s="19">
        <v>919415.77942989895</v>
      </c>
      <c r="I23" s="27">
        <v>5168.4959147272202</v>
      </c>
      <c r="J23" s="19">
        <v>28435.539569996999</v>
      </c>
      <c r="K23" s="19"/>
      <c r="L23" s="27">
        <v>3784502.8910101699</v>
      </c>
      <c r="M23" s="27"/>
      <c r="N23" s="27">
        <v>847427.32217642304</v>
      </c>
      <c r="O23" s="19"/>
      <c r="P23" s="19">
        <v>24300098.587354001</v>
      </c>
      <c r="Q23" s="27"/>
      <c r="R23" s="27">
        <v>21803161.393552899</v>
      </c>
      <c r="S23" s="27"/>
      <c r="T23" s="19">
        <v>83366277.305312693</v>
      </c>
      <c r="U23" s="19"/>
      <c r="V23" s="27">
        <v>108566.247907183</v>
      </c>
      <c r="W23" s="27"/>
      <c r="X23" s="27">
        <v>272687.11422504199</v>
      </c>
      <c r="Y23" s="19"/>
      <c r="Z23" s="19">
        <f t="shared" si="12"/>
        <v>-4209814.9510784075</v>
      </c>
      <c r="AA23" s="19"/>
      <c r="AB23" s="19">
        <f t="shared" si="13"/>
        <v>-54501033.03739731</v>
      </c>
      <c r="AC23" s="13"/>
      <c r="AD23" s="19">
        <v>10595155405.883801</v>
      </c>
      <c r="AE23" s="19">
        <v>183.45579240999999</v>
      </c>
      <c r="AF23" s="19">
        <f t="shared" si="14"/>
        <v>5775318002.6090412</v>
      </c>
      <c r="AG23" s="19"/>
      <c r="AH23" s="19"/>
      <c r="AI23" s="33">
        <f t="shared" si="17"/>
        <v>-9.0040638002816149E-3</v>
      </c>
      <c r="AJ23" s="35">
        <f t="shared" si="6"/>
        <v>2034</v>
      </c>
      <c r="AK23" s="36">
        <f>SUM(AB88:AB91)/AVERAGE(AF90:AF93)</f>
        <v>-3.1541116899244284E-2</v>
      </c>
      <c r="AL23" s="19">
        <v>11191463</v>
      </c>
      <c r="AM23" s="36">
        <f>AL23/AVERAGE(AF90:AF93)</f>
        <v>1.4525845935491079E-3</v>
      </c>
      <c r="AN23" s="36">
        <f>(AF93-AF89)/AF89</f>
        <v>7.5148346551800332E-3</v>
      </c>
      <c r="AO23" s="36"/>
      <c r="AP23" s="19">
        <f t="shared" si="7"/>
        <v>780645092.40369892</v>
      </c>
      <c r="AQ23" s="19">
        <f t="shared" si="9"/>
        <v>399964088.8518061</v>
      </c>
      <c r="AR23" s="37">
        <f>AP23/AF93</f>
        <v>0.10103933176461728</v>
      </c>
      <c r="AS23" s="37">
        <f>AQ23/AF93</f>
        <v>5.1767576150382029E-2</v>
      </c>
      <c r="AV23" s="26">
        <v>11097340</v>
      </c>
      <c r="AX23" s="26">
        <f t="shared" si="15"/>
        <v>2.6312277758919977E-3</v>
      </c>
      <c r="AY23" s="32">
        <v>6632.2470212813696</v>
      </c>
      <c r="AZ23" s="33">
        <f t="shared" si="16"/>
        <v>1.7862798401227786E-3</v>
      </c>
      <c r="BB23">
        <v>100</v>
      </c>
      <c r="BC23"/>
      <c r="BD23"/>
      <c r="BE23" s="33">
        <f t="shared" si="10"/>
        <v>1.110590101285109E-2</v>
      </c>
      <c r="BF23" s="26">
        <f t="shared" si="8"/>
        <v>2034</v>
      </c>
      <c r="BG23" s="33">
        <f>SUM(T88:T91)/AVERAGE(AF90:AF93)</f>
        <v>4.1167897222345935E-2</v>
      </c>
      <c r="BH23" s="33">
        <f>SUM(P88:P91)/AVERAGE(AF90:AF93)</f>
        <v>8.9131105890441799E-3</v>
      </c>
      <c r="BI23" s="33">
        <f>SUM(D88:D91)/AVERAGE(AF90:AF93)</f>
        <v>6.3795903532546036E-2</v>
      </c>
      <c r="BJ23" s="33">
        <f>(SUM(H88:H91)+SUM(J88:J91))/AVERAGE(AF90:AF93)</f>
        <v>1.2592239130008077E-2</v>
      </c>
      <c r="BK23" s="36">
        <f t="shared" si="4"/>
        <v>-4.4133356029252363E-2</v>
      </c>
      <c r="BL23" s="16">
        <f t="shared" si="11"/>
        <v>7.6388142662554115E-2</v>
      </c>
    </row>
    <row r="24" spans="1:64" s="26" customFormat="1">
      <c r="A24" s="34">
        <f t="shared" si="18"/>
        <v>2018</v>
      </c>
      <c r="B24" s="34">
        <f t="shared" si="19"/>
        <v>1</v>
      </c>
      <c r="C24" s="18">
        <f>D24*0.081</f>
        <v>8663808.5993568599</v>
      </c>
      <c r="D24" s="18">
        <v>106960599.99206001</v>
      </c>
      <c r="E24" s="18"/>
      <c r="F24" s="38">
        <v>20242648.793345001</v>
      </c>
      <c r="G24" s="18">
        <v>179207.10018598699</v>
      </c>
      <c r="H24" s="18">
        <v>985944.59058056399</v>
      </c>
      <c r="I24" s="38">
        <v>5542.48763461813</v>
      </c>
      <c r="J24" s="18">
        <v>30493.131667440099</v>
      </c>
      <c r="K24" s="18"/>
      <c r="L24" s="38">
        <v>4019080.8654808099</v>
      </c>
      <c r="M24" s="38"/>
      <c r="N24" s="38">
        <v>801293.62809850601</v>
      </c>
      <c r="O24" s="18"/>
      <c r="P24" s="18">
        <v>25263510.8388425</v>
      </c>
      <c r="Q24" s="38"/>
      <c r="R24" s="38">
        <v>17538938.375290599</v>
      </c>
      <c r="S24" s="38"/>
      <c r="T24" s="18">
        <v>67061651.007528797</v>
      </c>
      <c r="U24" s="18"/>
      <c r="V24" s="38">
        <v>99802.468755435897</v>
      </c>
      <c r="W24" s="38"/>
      <c r="X24" s="38">
        <v>250675.02766349301</v>
      </c>
      <c r="Y24" s="18"/>
      <c r="Z24" s="18">
        <f t="shared" si="12"/>
        <v>-7424282.4428782836</v>
      </c>
      <c r="AA24" s="18"/>
      <c r="AB24" s="18">
        <f t="shared" si="13"/>
        <v>-65162459.823373705</v>
      </c>
      <c r="AC24" s="13"/>
      <c r="AD24" s="19">
        <v>10937239663.7218</v>
      </c>
      <c r="AE24" s="19">
        <v>191.50871928999999</v>
      </c>
      <c r="AF24" s="19">
        <f t="shared" si="14"/>
        <v>5711092269.986743</v>
      </c>
      <c r="AG24" s="19"/>
      <c r="AH24" s="19"/>
      <c r="AI24" s="33">
        <f t="shared" si="17"/>
        <v>-9.3917778737431096E-3</v>
      </c>
      <c r="AJ24" s="35">
        <f t="shared" si="6"/>
        <v>2035</v>
      </c>
      <c r="AK24" s="36">
        <f>SUM(AB92:AB95)/AVERAGE(AF94:AF97)</f>
        <v>-3.060318246890692E-2</v>
      </c>
      <c r="AL24" s="19">
        <v>10128281</v>
      </c>
      <c r="AM24" s="36">
        <f>AL24/AVERAGE(AF94:AF97)</f>
        <v>1.3025128408947057E-3</v>
      </c>
      <c r="AN24" s="36">
        <f>(AF97-AF93)/AF93</f>
        <v>9.2912325523611412E-3</v>
      </c>
      <c r="AO24" s="36"/>
      <c r="AP24" s="19">
        <f t="shared" si="7"/>
        <v>787898247.49808109</v>
      </c>
      <c r="AQ24" s="19">
        <f t="shared" si="9"/>
        <v>393508908.1376313</v>
      </c>
      <c r="AR24" s="37">
        <f>AP24/AF97</f>
        <v>0.10103933176461727</v>
      </c>
      <c r="AS24" s="37">
        <f>AQ24/AF97</f>
        <v>5.0463213045472938E-2</v>
      </c>
      <c r="AT24" s="28">
        <f>AVERAGE(AG26:AG29)</f>
        <v>2.8408480766313735E-3</v>
      </c>
      <c r="AU24" s="34"/>
      <c r="AV24" s="34">
        <v>11073646</v>
      </c>
      <c r="AW24" s="34"/>
      <c r="AX24" s="34">
        <f t="shared" si="15"/>
        <v>-2.1351062506871016E-3</v>
      </c>
      <c r="AY24" s="39">
        <v>6547.6358749111496</v>
      </c>
      <c r="AZ24" s="28">
        <f t="shared" si="16"/>
        <v>-1.27575384479381E-2</v>
      </c>
      <c r="BA24" s="34"/>
      <c r="BB24" s="34">
        <f t="shared" ref="BB24:BB55" si="20">BB23*(1+AX24)*(1+AZ24)</f>
        <v>98.513459400145834</v>
      </c>
      <c r="BC24" s="34"/>
      <c r="BD24" s="34">
        <f>AF25*(1+AX24)*(1+AZ24)</f>
        <v>5661592695.1538725</v>
      </c>
      <c r="BE24" s="33">
        <f t="shared" si="10"/>
        <v>1.2943203504084807E-2</v>
      </c>
      <c r="BF24" s="26">
        <f t="shared" si="8"/>
        <v>2035</v>
      </c>
      <c r="BG24" s="33">
        <f>SUM(T92:T95)/AVERAGE(AF94:AF97)</f>
        <v>4.1243076840402793E-2</v>
      </c>
      <c r="BH24" s="33">
        <f>SUM(P92:P95)/AVERAGE(AF94:AF97)</f>
        <v>8.700050218420477E-3</v>
      </c>
      <c r="BI24" s="33">
        <f>SUM(D92:D95)/AVERAGE(AF94:AF97)</f>
        <v>6.3146209090889235E-2</v>
      </c>
      <c r="BJ24" s="33">
        <f>(SUM(H92:H95)+SUM(J92:J95))/AVERAGE(AF94:AF97)</f>
        <v>1.3745931983655873E-2</v>
      </c>
      <c r="BK24" s="36">
        <f t="shared" si="4"/>
        <v>-4.4349114452562795E-2</v>
      </c>
      <c r="BL24" s="16">
        <f t="shared" si="11"/>
        <v>7.6892141074545103E-2</v>
      </c>
    </row>
    <row r="25" spans="1:64">
      <c r="A25" s="26">
        <f t="shared" si="18"/>
        <v>2018</v>
      </c>
      <c r="B25" s="26">
        <f t="shared" si="19"/>
        <v>2</v>
      </c>
      <c r="C25" s="19">
        <f>D25*0.081</f>
        <v>8571384.4693894461</v>
      </c>
      <c r="D25" s="19">
        <v>105819561.35048699</v>
      </c>
      <c r="E25" s="19"/>
      <c r="F25" s="27">
        <v>20027601.771267999</v>
      </c>
      <c r="G25" s="19">
        <v>201116.049894531</v>
      </c>
      <c r="H25" s="19">
        <v>1106481.16769175</v>
      </c>
      <c r="I25" s="27">
        <v>6220.0840173566203</v>
      </c>
      <c r="J25" s="19">
        <v>34221.067042012997</v>
      </c>
      <c r="K25" s="19"/>
      <c r="L25" s="27">
        <v>3021623.19967674</v>
      </c>
      <c r="M25" s="27"/>
      <c r="N25" s="27">
        <v>793643.88585858396</v>
      </c>
      <c r="O25" s="19"/>
      <c r="P25" s="19">
        <v>20045611.644505799</v>
      </c>
      <c r="Q25" s="27"/>
      <c r="R25" s="27">
        <v>20450907.041323699</v>
      </c>
      <c r="S25" s="27"/>
      <c r="T25" s="19">
        <v>78195815.587380797</v>
      </c>
      <c r="U25" s="19"/>
      <c r="V25" s="27">
        <v>100535.31956206</v>
      </c>
      <c r="W25" s="27"/>
      <c r="X25" s="27">
        <v>252515.737602982</v>
      </c>
      <c r="Y25" s="19"/>
      <c r="Z25" s="19">
        <f t="shared" si="12"/>
        <v>-3291426.4959175661</v>
      </c>
      <c r="AA25" s="19"/>
      <c r="AB25" s="19">
        <f t="shared" si="13"/>
        <v>-47669357.407611996</v>
      </c>
      <c r="AC25" s="13"/>
      <c r="AD25" s="19">
        <v>11544217084.2855</v>
      </c>
      <c r="AE25" s="19">
        <v>200.87293846</v>
      </c>
      <c r="AF25" s="19">
        <f t="shared" si="14"/>
        <v>5747024548.3486614</v>
      </c>
      <c r="AG25" s="19"/>
      <c r="AH25" s="19"/>
      <c r="AI25" s="33">
        <f t="shared" si="17"/>
        <v>-9.4833478748681393E-3</v>
      </c>
      <c r="AJ25" s="35">
        <f t="shared" si="6"/>
        <v>2036</v>
      </c>
      <c r="AK25" s="36">
        <f>SUM(AB96:AB99)/AVERAGE(AF98:AF101)</f>
        <v>-3.043181804947391E-2</v>
      </c>
      <c r="AL25" s="19">
        <v>9122979</v>
      </c>
      <c r="AM25" s="36">
        <f>AL25/AVERAGE(AF98:AF101)</f>
        <v>1.1635107314289387E-3</v>
      </c>
      <c r="AN25" s="36">
        <f>(AF101-AF97)/AF97</f>
        <v>1.0846017156230969E-2</v>
      </c>
      <c r="AO25" s="36"/>
      <c r="AP25" s="19">
        <f t="shared" si="7"/>
        <v>796443805.40780962</v>
      </c>
      <c r="AQ25" s="19">
        <f t="shared" si="9"/>
        <v>388608670.67905414</v>
      </c>
      <c r="AR25" s="37">
        <f>AP25/AF101</f>
        <v>0.10103933176461728</v>
      </c>
      <c r="AS25" s="37">
        <f>AQ25/AF101</f>
        <v>4.9300101446884625E-2</v>
      </c>
      <c r="AT25" s="26"/>
      <c r="AU25" s="26"/>
      <c r="AV25" s="26">
        <v>11147664</v>
      </c>
      <c r="AW25" s="26"/>
      <c r="AX25" s="26">
        <f t="shared" si="15"/>
        <v>6.6841580451461064E-3</v>
      </c>
      <c r="AY25" s="32">
        <v>6535.8197589449701</v>
      </c>
      <c r="AZ25" s="33">
        <f t="shared" si="16"/>
        <v>-1.8046385278472498E-3</v>
      </c>
      <c r="BA25" s="26"/>
      <c r="BB25" s="26">
        <f t="shared" si="20"/>
        <v>98.992969430471859</v>
      </c>
      <c r="BC25" s="26"/>
      <c r="BD25" s="26"/>
      <c r="BE25" s="33">
        <f t="shared" si="10"/>
        <v>1.1076445242322255E-2</v>
      </c>
      <c r="BF25" s="26">
        <f t="shared" si="8"/>
        <v>2036</v>
      </c>
      <c r="BG25" s="33">
        <f>SUM(T96:T99)/AVERAGE(AF98:AF101)</f>
        <v>4.1244735792680863E-2</v>
      </c>
      <c r="BH25" s="33">
        <f>SUM(P96:P99)/AVERAGE(AF98:AF101)</f>
        <v>8.747022415778757E-3</v>
      </c>
      <c r="BI25" s="33">
        <f>SUM(D96:D99)/AVERAGE(AF98:AF101)</f>
        <v>6.2929531426376015E-2</v>
      </c>
      <c r="BJ25" s="33">
        <f>(SUM(H96:H99)+SUM(J96:J99))/AVERAGE(AF98:AF101)</f>
        <v>1.4716810479539835E-2</v>
      </c>
      <c r="BK25" s="36">
        <f t="shared" si="4"/>
        <v>-4.5148628529013746E-2</v>
      </c>
      <c r="BL25" s="16">
        <f t="shared" si="11"/>
        <v>7.764634190591585E-2</v>
      </c>
    </row>
    <row r="26" spans="1:64" s="34" customFormat="1">
      <c r="A26" s="26">
        <f t="shared" si="18"/>
        <v>2018</v>
      </c>
      <c r="B26" s="26">
        <f t="shared" si="19"/>
        <v>3</v>
      </c>
      <c r="C26" s="19">
        <f>D26*0.081</f>
        <v>8520832.661620032</v>
      </c>
      <c r="D26" s="19">
        <v>105195464.958272</v>
      </c>
      <c r="E26" s="19"/>
      <c r="F26" s="27">
        <v>19910890.028088</v>
      </c>
      <c r="G26" s="19">
        <v>219295.510629553</v>
      </c>
      <c r="H26" s="19">
        <v>1206499.1968477699</v>
      </c>
      <c r="I26" s="27">
        <v>6782.3353802954398</v>
      </c>
      <c r="J26" s="19">
        <v>37314.408149930903</v>
      </c>
      <c r="K26" s="19"/>
      <c r="L26" s="27">
        <v>2870532.38322894</v>
      </c>
      <c r="M26" s="27"/>
      <c r="N26" s="27">
        <v>790369.04953315097</v>
      </c>
      <c r="O26" s="19"/>
      <c r="P26" s="19">
        <v>19243583.496472999</v>
      </c>
      <c r="Q26" s="27"/>
      <c r="R26" s="27">
        <v>18137226.589083701</v>
      </c>
      <c r="S26" s="27"/>
      <c r="T26" s="19">
        <v>69349257.847623393</v>
      </c>
      <c r="U26" s="19"/>
      <c r="V26" s="27">
        <v>110101.65215397099</v>
      </c>
      <c r="W26" s="27"/>
      <c r="X26" s="27">
        <v>276543.60702364601</v>
      </c>
      <c r="Y26" s="19"/>
      <c r="Z26" s="19">
        <f t="shared" si="12"/>
        <v>-5324463.2196124159</v>
      </c>
      <c r="AA26" s="19"/>
      <c r="AB26" s="19">
        <f t="shared" si="13"/>
        <v>-55089790.607121602</v>
      </c>
      <c r="AC26" s="13"/>
      <c r="AD26" s="18"/>
      <c r="AE26" s="18"/>
      <c r="AF26" s="18">
        <f>BB24/100*AF25</f>
        <v>5661592695.1538725</v>
      </c>
      <c r="AG26" s="28">
        <f t="shared" ref="AG26:AG57" si="21">(AF26-AF25)/AF25</f>
        <v>-1.4865405998541758E-2</v>
      </c>
      <c r="AH26" s="28"/>
      <c r="AI26" s="28">
        <f t="shared" si="17"/>
        <v>-1.1509563356465137E-2</v>
      </c>
      <c r="AJ26" s="29">
        <f t="shared" si="6"/>
        <v>2037</v>
      </c>
      <c r="AK26" s="30">
        <f>SUM(AB100:AB103)/AVERAGE(AF102:AF105)</f>
        <v>-3.0260879031429502E-2</v>
      </c>
      <c r="AL26" s="18">
        <v>8172054</v>
      </c>
      <c r="AM26" s="30">
        <f>AL26/AVERAGE(AF102:AF105)</f>
        <v>1.0314163908954166E-3</v>
      </c>
      <c r="AN26" s="30">
        <f>(AF105-AF101)/AF101</f>
        <v>1.1219387567819039E-2</v>
      </c>
      <c r="AO26" s="30"/>
      <c r="AP26" s="18">
        <f t="shared" si="7"/>
        <v>805379417.13666844</v>
      </c>
      <c r="AQ26" s="18">
        <f t="shared" si="9"/>
        <v>384754630.12555945</v>
      </c>
      <c r="AR26" s="31">
        <f>AP26/AF105</f>
        <v>0.10103933176461727</v>
      </c>
      <c r="AS26" s="31">
        <f>AQ26/AF105</f>
        <v>4.8269610439562641E-2</v>
      </c>
      <c r="AT26" s="19"/>
      <c r="AU26"/>
      <c r="AV26" s="26">
        <v>11179438</v>
      </c>
      <c r="AW26"/>
      <c r="AX26" s="26">
        <f t="shared" si="15"/>
        <v>2.8502832521683469E-3</v>
      </c>
      <c r="AY26" s="32">
        <v>6634.5173304830796</v>
      </c>
      <c r="AZ26" s="33">
        <f t="shared" si="16"/>
        <v>1.5101024076288411E-2</v>
      </c>
      <c r="BA26" s="26"/>
      <c r="BB26" s="26">
        <f t="shared" si="20"/>
        <v>100.77428352286914</v>
      </c>
      <c r="BC26" s="26"/>
      <c r="BD26"/>
      <c r="BE26" s="28">
        <f t="shared" si="10"/>
        <v>1.2874248831323267E-2</v>
      </c>
      <c r="BF26" s="34">
        <f t="shared" si="8"/>
        <v>2037</v>
      </c>
      <c r="BG26" s="28">
        <f>SUM(T100:T103)/AVERAGE(AF102:AF105)</f>
        <v>4.1348427814450035E-2</v>
      </c>
      <c r="BH26" s="28">
        <f>SUM(P100:P103)/AVERAGE(AF102:AF105)</f>
        <v>8.5260701672139356E-3</v>
      </c>
      <c r="BI26" s="28">
        <f>SUM(D100:D103)/AVERAGE(AF102:AF105)</f>
        <v>6.3083236678665611E-2</v>
      </c>
      <c r="BJ26" s="28">
        <f>(SUM(H100:H103)+SUM(J100:J103))/AVERAGE(AF102:AF105)</f>
        <v>1.5619171783612291E-2</v>
      </c>
      <c r="BK26" s="30">
        <f t="shared" si="4"/>
        <v>-4.588005081504179E-2</v>
      </c>
      <c r="BL26" s="16">
        <f t="shared" si="11"/>
        <v>7.8702408462277898E-2</v>
      </c>
    </row>
    <row r="27" spans="1:64" s="26" customFormat="1">
      <c r="A27" s="26">
        <f t="shared" si="18"/>
        <v>2018</v>
      </c>
      <c r="B27" s="26">
        <f t="shared" si="19"/>
        <v>4</v>
      </c>
      <c r="C27" s="19">
        <f>D27*0.081</f>
        <v>8561219.635725012</v>
      </c>
      <c r="D27" s="19">
        <v>105694069.57685199</v>
      </c>
      <c r="E27" s="19"/>
      <c r="F27" s="27">
        <v>20007490.927361999</v>
      </c>
      <c r="G27" s="19">
        <v>238087.67924959699</v>
      </c>
      <c r="H27" s="19">
        <v>1309888.1640091201</v>
      </c>
      <c r="I27" s="27">
        <v>7363.5364716369704</v>
      </c>
      <c r="J27" s="19">
        <v>40512.005072446802</v>
      </c>
      <c r="K27" s="19"/>
      <c r="L27" s="27">
        <v>2882446.74260996</v>
      </c>
      <c r="M27" s="27"/>
      <c r="N27" s="27">
        <v>796342.65728494897</v>
      </c>
      <c r="O27" s="19"/>
      <c r="P27" s="19">
        <v>19338272.1912908</v>
      </c>
      <c r="Q27" s="27"/>
      <c r="R27" s="27">
        <v>21072666.181403399</v>
      </c>
      <c r="S27" s="27"/>
      <c r="T27" s="19">
        <v>80573165.548397303</v>
      </c>
      <c r="U27" s="19"/>
      <c r="V27" s="27">
        <v>112250.02865602401</v>
      </c>
      <c r="W27" s="27"/>
      <c r="X27" s="27">
        <v>281939.70940267103</v>
      </c>
      <c r="Y27" s="19"/>
      <c r="Z27" s="19">
        <f t="shared" si="12"/>
        <v>-2501364.1171974838</v>
      </c>
      <c r="AA27" s="19"/>
      <c r="AB27" s="19">
        <f t="shared" si="13"/>
        <v>-44459176.219745487</v>
      </c>
      <c r="AC27" s="13"/>
      <c r="AD27" s="19"/>
      <c r="AE27" s="19"/>
      <c r="AF27" s="19">
        <f>BB25/100*AF25</f>
        <v>5689150254.3085032</v>
      </c>
      <c r="AG27" s="33">
        <f t="shared" si="21"/>
        <v>4.8674570281643497E-3</v>
      </c>
      <c r="AH27" s="33"/>
      <c r="AI27" s="33">
        <f t="shared" si="17"/>
        <v>-8.3789942744983883E-3</v>
      </c>
      <c r="AJ27" s="35">
        <f t="shared" si="6"/>
        <v>2038</v>
      </c>
      <c r="AK27" s="36">
        <f>SUM(AB104:AB107)/AVERAGE(AF106:AF109)</f>
        <v>-3.0319029639381503E-2</v>
      </c>
      <c r="AL27" s="19">
        <v>7273134</v>
      </c>
      <c r="AM27" s="36">
        <f>AL27/AVERAGE(AF106:AF109)</f>
        <v>9.0905771514991987E-4</v>
      </c>
      <c r="AN27" s="36">
        <f>(AF109-AF105)/AF105</f>
        <v>7.7535490608131065E-3</v>
      </c>
      <c r="AO27" s="36"/>
      <c r="AP27" s="19">
        <f t="shared" si="7"/>
        <v>811623965.96000671</v>
      </c>
      <c r="AQ27" s="19">
        <f t="shared" si="9"/>
        <v>380438899.46196085</v>
      </c>
      <c r="AR27" s="37">
        <f>AP27/AF109</f>
        <v>0.10103933176461728</v>
      </c>
      <c r="AS27" s="37">
        <f>AQ27/AF109</f>
        <v>4.7360962454375162E-2</v>
      </c>
      <c r="AT27"/>
      <c r="AU27"/>
      <c r="AV27" s="26">
        <v>11211474</v>
      </c>
      <c r="AW27"/>
      <c r="AX27" s="26">
        <f t="shared" si="15"/>
        <v>2.8656181106778357E-3</v>
      </c>
      <c r="AY27" s="32">
        <v>6637.8341977235004</v>
      </c>
      <c r="AZ27" s="33">
        <f t="shared" si="16"/>
        <v>4.9994100176377451E-4</v>
      </c>
      <c r="BB27" s="26">
        <f t="shared" si="20"/>
        <v>101.11358970434776</v>
      </c>
      <c r="BC27" s="40" t="e">
        <f>(BA27-BA23)/BA23</f>
        <v>#DIV/0!</v>
      </c>
      <c r="BD27"/>
      <c r="BE27" s="33">
        <f t="shared" si="10"/>
        <v>1.0306488459041295E-2</v>
      </c>
      <c r="BF27" s="26">
        <f t="shared" si="8"/>
        <v>2038</v>
      </c>
      <c r="BG27" s="33">
        <f>SUM(T104:T107)/AVERAGE(AF106:AF109)</f>
        <v>4.1445994586683611E-2</v>
      </c>
      <c r="BH27" s="33">
        <f>SUM(P104:P107)/AVERAGE(AF106:AF109)</f>
        <v>8.418798348845331E-3</v>
      </c>
      <c r="BI27" s="33">
        <f>SUM(D104:D107)/AVERAGE(AF106:AF109)</f>
        <v>6.3346225877219789E-2</v>
      </c>
      <c r="BJ27" s="33">
        <f>(SUM(H104:H107)+SUM(J104:J107))/AVERAGE(AF106:AF109)</f>
        <v>1.6463215732068937E-2</v>
      </c>
      <c r="BK27" s="36">
        <f t="shared" si="4"/>
        <v>-4.678224537145044E-2</v>
      </c>
      <c r="BL27" s="16">
        <f t="shared" si="11"/>
        <v>7.9809441609288725E-2</v>
      </c>
    </row>
    <row r="28" spans="1:64">
      <c r="A28" s="34">
        <f t="shared" si="18"/>
        <v>2019</v>
      </c>
      <c r="B28" s="34">
        <f t="shared" si="19"/>
        <v>1</v>
      </c>
      <c r="C28" s="18"/>
      <c r="D28" s="18">
        <v>106816143.456163</v>
      </c>
      <c r="E28" s="18"/>
      <c r="F28" s="38">
        <v>20221835.087948501</v>
      </c>
      <c r="G28" s="18">
        <v>265504.24289357202</v>
      </c>
      <c r="H28" s="18">
        <v>1460726.0079842301</v>
      </c>
      <c r="I28" s="38">
        <v>8211.4714296981692</v>
      </c>
      <c r="J28" s="18">
        <v>45177.093030440403</v>
      </c>
      <c r="K28" s="18"/>
      <c r="L28" s="38">
        <v>3347253.0507807499</v>
      </c>
      <c r="M28" s="38"/>
      <c r="N28" s="38">
        <v>806736.60806578805</v>
      </c>
      <c r="O28" s="18"/>
      <c r="P28" s="18">
        <v>21807338.7844701</v>
      </c>
      <c r="Q28" s="38"/>
      <c r="R28" s="38">
        <v>16938988.949153699</v>
      </c>
      <c r="S28" s="38"/>
      <c r="T28" s="18">
        <v>64767692.378057703</v>
      </c>
      <c r="U28" s="18"/>
      <c r="V28" s="38">
        <v>109907.277815718</v>
      </c>
      <c r="W28" s="38"/>
      <c r="X28" s="38">
        <v>276055.39472563099</v>
      </c>
      <c r="Y28" s="18"/>
      <c r="Z28" s="18">
        <f t="shared" si="12"/>
        <v>-7326928.5198256224</v>
      </c>
      <c r="AA28" s="18"/>
      <c r="AB28" s="18">
        <f t="shared" si="13"/>
        <v>-63855789.862575397</v>
      </c>
      <c r="AC28" s="13"/>
      <c r="AD28" s="19"/>
      <c r="AE28" s="19"/>
      <c r="AF28" s="19">
        <f>BB26/100*AF25</f>
        <v>5791522812.4817705</v>
      </c>
      <c r="AG28" s="33">
        <f t="shared" si="21"/>
        <v>1.7994349524472243E-2</v>
      </c>
      <c r="AH28" s="33"/>
      <c r="AI28" s="33">
        <f t="shared" si="17"/>
        <v>-9.5121425557356393E-3</v>
      </c>
      <c r="AJ28" s="35">
        <f t="shared" si="6"/>
        <v>2039</v>
      </c>
      <c r="AK28" s="36">
        <f>SUM(AB108:AB111)/AVERAGE(AF110:AF113)</f>
        <v>-3.0072997899781552E-2</v>
      </c>
      <c r="AL28" s="19">
        <v>6456760</v>
      </c>
      <c r="AM28" s="36">
        <f>AL28/AVERAGE(AF110:AF113)</f>
        <v>8.03837491521728E-4</v>
      </c>
      <c r="AN28" s="36">
        <f>(AF113-AF109)/AF109</f>
        <v>1.4556758163890764E-3</v>
      </c>
      <c r="AO28" s="36"/>
      <c r="AP28" s="19">
        <f t="shared" si="7"/>
        <v>812805427.33925653</v>
      </c>
      <c r="AQ28" s="19">
        <f t="shared" si="9"/>
        <v>374531628.44713157</v>
      </c>
      <c r="AR28" s="37">
        <f>AP28/AF113</f>
        <v>0.10103933176461728</v>
      </c>
      <c r="AS28" s="37">
        <f>AQ28/AF113</f>
        <v>4.6557791311618621E-2</v>
      </c>
      <c r="AT28" s="28">
        <f>AVERAGE(AG30:AG33)</f>
        <v>4.2139068978258891E-3</v>
      </c>
      <c r="AU28" s="34"/>
      <c r="AV28" s="34">
        <v>11251072</v>
      </c>
      <c r="AW28" s="34"/>
      <c r="AX28" s="34">
        <f t="shared" si="15"/>
        <v>3.5319173910584819E-3</v>
      </c>
      <c r="AY28" s="39">
        <v>6638.1529508070598</v>
      </c>
      <c r="AZ28" s="28">
        <f t="shared" si="16"/>
        <v>4.8020645599841156E-5</v>
      </c>
      <c r="BA28" s="34"/>
      <c r="BB28" s="34">
        <f t="shared" si="20"/>
        <v>101.47558723951909</v>
      </c>
      <c r="BC28" s="34"/>
      <c r="BD28" s="34"/>
      <c r="BE28" s="33">
        <f t="shared" si="10"/>
        <v>1.2154607003880411E-2</v>
      </c>
      <c r="BF28" s="26">
        <f t="shared" si="8"/>
        <v>2039</v>
      </c>
      <c r="BG28" s="33">
        <f>SUM(T108:T111)/AVERAGE(AF110:AF113)</f>
        <v>4.1353213262715405E-2</v>
      </c>
      <c r="BH28" s="33">
        <f>SUM(P108:P111)/AVERAGE(AF110:AF113)</f>
        <v>8.3488989433029223E-3</v>
      </c>
      <c r="BI28" s="33">
        <f>SUM(D108:D111)/AVERAGE(AF110:AF113)</f>
        <v>6.3077312219194034E-2</v>
      </c>
      <c r="BJ28" s="33">
        <f>(SUM(H108:H111)+SUM(J108:J111))/AVERAGE(AF110:AF113)</f>
        <v>1.7256326213048786E-2</v>
      </c>
      <c r="BK28" s="36">
        <f t="shared" si="4"/>
        <v>-4.7329324112830334E-2</v>
      </c>
      <c r="BL28" s="16">
        <f t="shared" si="11"/>
        <v>8.0333638432242824E-2</v>
      </c>
    </row>
    <row r="29" spans="1:64">
      <c r="A29" s="26">
        <f t="shared" si="18"/>
        <v>2019</v>
      </c>
      <c r="B29" s="26">
        <f t="shared" si="19"/>
        <v>2</v>
      </c>
      <c r="C29" s="19"/>
      <c r="D29" s="19">
        <v>107132324.213267</v>
      </c>
      <c r="E29" s="19"/>
      <c r="F29" s="27">
        <v>20283271.468017001</v>
      </c>
      <c r="G29" s="19">
        <v>290619.905713377</v>
      </c>
      <c r="H29" s="19">
        <v>1598904.9745002501</v>
      </c>
      <c r="I29" s="27">
        <v>8988.2445065993197</v>
      </c>
      <c r="J29" s="19">
        <v>49450.669314440798</v>
      </c>
      <c r="K29" s="19"/>
      <c r="L29" s="27">
        <v>2821850.56792553</v>
      </c>
      <c r="M29" s="27"/>
      <c r="N29" s="27">
        <v>810703.39282782003</v>
      </c>
      <c r="O29" s="19"/>
      <c r="P29" s="19">
        <v>19102846.882646099</v>
      </c>
      <c r="Q29" s="27"/>
      <c r="R29" s="27">
        <v>19831618.939141899</v>
      </c>
      <c r="S29" s="27"/>
      <c r="T29" s="19">
        <v>75827913.8539363</v>
      </c>
      <c r="U29" s="19"/>
      <c r="V29" s="27">
        <v>108121.837094287</v>
      </c>
      <c r="W29" s="27"/>
      <c r="X29" s="27">
        <v>271570.88239023997</v>
      </c>
      <c r="Y29" s="19"/>
      <c r="Z29" s="19">
        <f t="shared" si="12"/>
        <v>-3976084.6525341626</v>
      </c>
      <c r="AA29" s="19"/>
      <c r="AB29" s="19">
        <f t="shared" si="13"/>
        <v>-50407257.241976798</v>
      </c>
      <c r="AC29" s="13"/>
      <c r="AD29" s="19"/>
      <c r="AE29" s="37"/>
      <c r="AF29" s="19">
        <f>BB27/100*AF25</f>
        <v>5811022822.0254107</v>
      </c>
      <c r="AG29" s="33">
        <f t="shared" si="21"/>
        <v>3.3669917524306592E-3</v>
      </c>
      <c r="AH29" s="33"/>
      <c r="AI29" s="33">
        <f t="shared" si="17"/>
        <v>-7.6508349014278018E-3</v>
      </c>
      <c r="AJ29" s="35">
        <f t="shared" si="6"/>
        <v>2040</v>
      </c>
      <c r="AK29" s="36">
        <f>SUM(AB112:AB115)/AVERAGE(AF114:AF117)</f>
        <v>-2.9897666519769377E-2</v>
      </c>
      <c r="AL29" s="19">
        <v>5692353</v>
      </c>
      <c r="AM29" s="36">
        <f>AL29/AVERAGE(AF114:AF117)</f>
        <v>7.0554738349352009E-4</v>
      </c>
      <c r="AN29" s="36">
        <f>(AF117-AF113)/AF113</f>
        <v>5.0615812717849356E-3</v>
      </c>
      <c r="AO29" s="36"/>
      <c r="AP29" s="19">
        <f t="shared" si="7"/>
        <v>816919508.06788206</v>
      </c>
      <c r="AQ29" s="19">
        <f t="shared" si="9"/>
        <v>370721804.12065238</v>
      </c>
      <c r="AR29" s="37">
        <f>AP29/AF117</f>
        <v>0.10103933176461728</v>
      </c>
      <c r="AS29" s="37">
        <f>AQ29/AF117</f>
        <v>4.5852110261775658E-2</v>
      </c>
      <c r="AT29" s="26"/>
      <c r="AU29" s="26"/>
      <c r="AV29" s="26">
        <v>11318607</v>
      </c>
      <c r="AW29" s="26"/>
      <c r="AX29" s="26">
        <f t="shared" si="15"/>
        <v>6.0025391358263461E-3</v>
      </c>
      <c r="AY29" s="32">
        <v>6628.73841220953</v>
      </c>
      <c r="AZ29" s="33">
        <f t="shared" si="16"/>
        <v>-1.4182467121950267E-3</v>
      </c>
      <c r="BA29" s="26"/>
      <c r="BB29" s="26">
        <f t="shared" si="20"/>
        <v>101.93991713535104</v>
      </c>
      <c r="BC29" s="26"/>
      <c r="BD29" s="26"/>
      <c r="BE29" s="33">
        <f t="shared" si="10"/>
        <v>1.0379802212719122E-2</v>
      </c>
      <c r="BF29" s="26">
        <f t="shared" si="8"/>
        <v>2040</v>
      </c>
      <c r="BG29" s="33">
        <f>SUM(T112:T115)/AVERAGE(AF114:AF117)</f>
        <v>4.144438162125344E-2</v>
      </c>
      <c r="BH29" s="33">
        <f>SUM(P112:P115)/AVERAGE(AF114:AF117)</f>
        <v>8.2605239686416709E-3</v>
      </c>
      <c r="BI29" s="33">
        <f>SUM(D112:D115)/AVERAGE(AF114:AF117)</f>
        <v>6.3081524172381151E-2</v>
      </c>
      <c r="BJ29" s="33">
        <f>(SUM(H112:H115)+SUM(J112:J115))/AVERAGE(AF114:AF117)</f>
        <v>1.8250162916629894E-2</v>
      </c>
      <c r="BK29" s="36">
        <f t="shared" si="4"/>
        <v>-4.8147829436399267E-2</v>
      </c>
      <c r="BL29" s="16">
        <f t="shared" si="11"/>
        <v>8.1331687089011048E-2</v>
      </c>
    </row>
    <row r="30" spans="1:64" s="34" customFormat="1">
      <c r="A30" s="26">
        <f t="shared" si="18"/>
        <v>2019</v>
      </c>
      <c r="B30" s="26">
        <f t="shared" si="19"/>
        <v>3</v>
      </c>
      <c r="C30" s="19">
        <f>SUM(C24:C27)</f>
        <v>34317245.366091348</v>
      </c>
      <c r="D30" s="19">
        <v>108089770.458775</v>
      </c>
      <c r="E30" s="19"/>
      <c r="F30" s="27">
        <v>20466335.341981601</v>
      </c>
      <c r="G30" s="19">
        <v>313504.46696789202</v>
      </c>
      <c r="H30" s="19">
        <v>1724809.07848543</v>
      </c>
      <c r="I30" s="27">
        <v>9696.0144423058991</v>
      </c>
      <c r="J30" s="19">
        <v>53344.610674806703</v>
      </c>
      <c r="K30" s="19"/>
      <c r="L30" s="27">
        <v>2763704.65775378</v>
      </c>
      <c r="M30" s="27"/>
      <c r="N30" s="27">
        <v>819740.07816476701</v>
      </c>
      <c r="O30" s="19"/>
      <c r="P30" s="19">
        <v>18850844.6548214</v>
      </c>
      <c r="Q30" s="27"/>
      <c r="R30" s="27">
        <v>17094281.3884167</v>
      </c>
      <c r="S30" s="27"/>
      <c r="T30" s="19">
        <v>65361466.479039297</v>
      </c>
      <c r="U30" s="19"/>
      <c r="V30" s="27">
        <v>109939.443806191</v>
      </c>
      <c r="W30" s="27"/>
      <c r="X30" s="27">
        <v>276136.186419987</v>
      </c>
      <c r="Y30" s="19"/>
      <c r="Z30" s="19">
        <f t="shared" si="12"/>
        <v>-6845559.2456772588</v>
      </c>
      <c r="AA30" s="19"/>
      <c r="AB30" s="19">
        <f t="shared" si="13"/>
        <v>-61579148.634557098</v>
      </c>
      <c r="AC30" s="13"/>
      <c r="AD30" s="18"/>
      <c r="AE30" s="18"/>
      <c r="AF30" s="18">
        <f>BB28/100*AF25</f>
        <v>5831826909.2361231</v>
      </c>
      <c r="AG30" s="28">
        <f t="shared" si="21"/>
        <v>3.580107641611575E-3</v>
      </c>
      <c r="AH30" s="28"/>
      <c r="AI30" s="28">
        <f t="shared" si="17"/>
        <v>-1.0949534486602156E-2</v>
      </c>
      <c r="AL30" s="18"/>
      <c r="AQ30" s="41">
        <f>(AQ29-AQ6)/AQ6</f>
        <v>-0.36156805074088127</v>
      </c>
      <c r="AR30" s="31"/>
      <c r="AT30" s="19"/>
      <c r="AU30"/>
      <c r="AV30" s="26">
        <v>11397408</v>
      </c>
      <c r="AW30"/>
      <c r="AX30" s="26">
        <f t="shared" si="15"/>
        <v>6.9620758102123346E-3</v>
      </c>
      <c r="AY30" s="32">
        <v>6630.5846030783396</v>
      </c>
      <c r="AZ30" s="33">
        <f t="shared" si="16"/>
        <v>2.7851315801043789E-4</v>
      </c>
      <c r="BA30" s="26"/>
      <c r="BB30" s="26">
        <f t="shared" si="20"/>
        <v>102.67821983931179</v>
      </c>
      <c r="BC30" s="26"/>
      <c r="BD30"/>
      <c r="BE30" s="28">
        <f t="shared" si="10"/>
        <v>1.2206017057045476E-2</v>
      </c>
    </row>
    <row r="31" spans="1:64" s="26" customFormat="1">
      <c r="A31" s="26">
        <f t="shared" si="18"/>
        <v>2019</v>
      </c>
      <c r="B31" s="26">
        <f t="shared" si="19"/>
        <v>4</v>
      </c>
      <c r="C31" s="19"/>
      <c r="D31" s="19">
        <v>108233474.33927999</v>
      </c>
      <c r="E31" s="19"/>
      <c r="F31" s="27">
        <v>20494981.7478889</v>
      </c>
      <c r="G31" s="19">
        <v>346102.30095695303</v>
      </c>
      <c r="H31" s="19">
        <v>1904152.7431772901</v>
      </c>
      <c r="I31" s="27">
        <v>10704.1948749573</v>
      </c>
      <c r="J31" s="19">
        <v>58891.321953936997</v>
      </c>
      <c r="K31" s="19"/>
      <c r="L31" s="27">
        <v>2791911.3770098002</v>
      </c>
      <c r="M31" s="27"/>
      <c r="N31" s="27">
        <v>822266.60273515398</v>
      </c>
      <c r="O31" s="19"/>
      <c r="P31" s="19">
        <v>19011109.647871099</v>
      </c>
      <c r="Q31" s="27"/>
      <c r="R31" s="27">
        <v>19897785.339485001</v>
      </c>
      <c r="S31" s="27"/>
      <c r="T31" s="19">
        <v>76080906.820402697</v>
      </c>
      <c r="U31" s="19"/>
      <c r="V31" s="27">
        <v>110147.65984123301</v>
      </c>
      <c r="W31" s="27"/>
      <c r="X31" s="27">
        <v>276659.16506966401</v>
      </c>
      <c r="Y31" s="19"/>
      <c r="Z31" s="19">
        <f t="shared" si="12"/>
        <v>-4101226.7283076216</v>
      </c>
      <c r="AA31" s="19"/>
      <c r="AB31" s="19">
        <f t="shared" si="13"/>
        <v>-51163677.166748397</v>
      </c>
      <c r="AC31" s="13"/>
      <c r="AD31" s="19"/>
      <c r="AE31" s="19"/>
      <c r="AF31" s="19">
        <f>BB29/100*AF25</f>
        <v>5858512062.3349085</v>
      </c>
      <c r="AG31" s="33">
        <f t="shared" si="21"/>
        <v>4.5757793422371539E-3</v>
      </c>
      <c r="AH31" s="33"/>
      <c r="AI31" s="33">
        <f t="shared" si="17"/>
        <v>-8.6041057363440837E-3</v>
      </c>
      <c r="AQ31" s="26">
        <f>AQ28*(1+AN29)-AL29*((1+AN29)^(11/12)+(1+AN29)^(10/12)+(1+AN29)^(9/12)+(1+AN29)^(8/12)+(1+AN29)^(7/12)+(1+AN29)^(6/12)+(1+AN29)^(5/12)+(1+AN29)^(4/12)+(1+AN29)^(3/12)+(1+AN29)^(2/12)+(1+AN29)^(1/12)+1)/12</f>
        <v>370721804.12065279</v>
      </c>
      <c r="AT31"/>
      <c r="AU31"/>
      <c r="AV31" s="26">
        <v>11357113</v>
      </c>
      <c r="AW31"/>
      <c r="AX31" s="26">
        <f t="shared" si="15"/>
        <v>-3.5354529731672323E-3</v>
      </c>
      <c r="AY31" s="32">
        <v>6663.8063485379298</v>
      </c>
      <c r="AZ31" s="33">
        <f t="shared" si="16"/>
        <v>5.0103795439344198E-3</v>
      </c>
      <c r="BB31" s="26">
        <f t="shared" si="20"/>
        <v>102.82784383598388</v>
      </c>
      <c r="BC31" s="40" t="e">
        <f>(BA31-BA27)/BA27</f>
        <v>#DIV/0!</v>
      </c>
      <c r="BD31"/>
      <c r="BE31" s="33">
        <f t="shared" si="10"/>
        <v>9.7217495579187598E-3</v>
      </c>
    </row>
    <row r="32" spans="1:64">
      <c r="A32" s="34">
        <f t="shared" si="18"/>
        <v>2020</v>
      </c>
      <c r="B32" s="34">
        <f t="shared" si="19"/>
        <v>1</v>
      </c>
      <c r="C32" s="18"/>
      <c r="D32" s="18">
        <v>108359047.63945501</v>
      </c>
      <c r="E32" s="18"/>
      <c r="F32" s="38">
        <v>20520942.611706801</v>
      </c>
      <c r="G32" s="18">
        <v>377736.76412812999</v>
      </c>
      <c r="H32" s="18">
        <v>2078196.2258695101</v>
      </c>
      <c r="I32" s="38">
        <v>11682.5803338596</v>
      </c>
      <c r="J32" s="18">
        <v>64274.110078438003</v>
      </c>
      <c r="K32" s="18"/>
      <c r="L32" s="38">
        <v>3391361.3963226499</v>
      </c>
      <c r="M32" s="38"/>
      <c r="N32" s="38">
        <v>825403.03280676203</v>
      </c>
      <c r="O32" s="18"/>
      <c r="P32" s="18">
        <v>22138914.360608399</v>
      </c>
      <c r="Q32" s="38"/>
      <c r="R32" s="38">
        <v>16024933.737839401</v>
      </c>
      <c r="S32" s="38"/>
      <c r="T32" s="18">
        <v>61272723.054878302</v>
      </c>
      <c r="U32" s="18"/>
      <c r="V32" s="38">
        <v>109428.072625323</v>
      </c>
      <c r="W32" s="38"/>
      <c r="X32" s="38">
        <v>274851.769446049</v>
      </c>
      <c r="Y32" s="18"/>
      <c r="Z32" s="18">
        <f t="shared" si="12"/>
        <v>-8603345.2303714901</v>
      </c>
      <c r="AA32" s="18"/>
      <c r="AB32" s="18">
        <f t="shared" si="13"/>
        <v>-69225238.945185095</v>
      </c>
      <c r="AC32" s="13"/>
      <c r="AD32" s="19"/>
      <c r="AE32" s="19"/>
      <c r="AF32" s="19">
        <f>BB30/100*AF25</f>
        <v>5900942499.9726543</v>
      </c>
      <c r="AG32" s="33">
        <f t="shared" si="21"/>
        <v>7.2425279979427435E-3</v>
      </c>
      <c r="AH32" s="33"/>
      <c r="AI32" s="33">
        <f t="shared" si="17"/>
        <v>-1.0435476813211188E-2</v>
      </c>
      <c r="AJ32" s="26"/>
      <c r="AK32" s="26"/>
      <c r="AL32" s="26"/>
      <c r="AM32" s="26"/>
      <c r="AN32" s="26"/>
      <c r="AO32" s="26"/>
      <c r="AP32" s="26"/>
      <c r="AQ32" s="26">
        <f>AQ28*(1+AN29)</f>
        <v>376427350.72337067</v>
      </c>
      <c r="AR32" s="26"/>
      <c r="AS32" s="26"/>
      <c r="AT32" s="28">
        <f>AVERAGE(AG34:AG37)</f>
        <v>5.4500773705922411E-3</v>
      </c>
      <c r="AU32" s="34"/>
      <c r="AV32" s="34">
        <v>11400541</v>
      </c>
      <c r="AW32" s="34"/>
      <c r="AX32" s="34">
        <f t="shared" si="15"/>
        <v>3.8238591092648283E-3</v>
      </c>
      <c r="AY32" s="39">
        <v>6678.3247317310797</v>
      </c>
      <c r="AZ32" s="28">
        <f t="shared" si="16"/>
        <v>2.1786922419099607E-3</v>
      </c>
      <c r="BA32" s="34"/>
      <c r="BB32" s="34">
        <f t="shared" si="20"/>
        <v>103.44592990895895</v>
      </c>
      <c r="BC32" s="34"/>
      <c r="BD32" s="34"/>
      <c r="BE32" s="33">
        <f t="shared" si="10"/>
        <v>1.149204267526114E-2</v>
      </c>
    </row>
    <row r="33" spans="1:57" ht="48" customHeight="1">
      <c r="A33" s="26">
        <f t="shared" si="18"/>
        <v>2020</v>
      </c>
      <c r="B33" s="26">
        <f t="shared" si="19"/>
        <v>2</v>
      </c>
      <c r="C33" s="19"/>
      <c r="D33" s="19">
        <v>108469843.655977</v>
      </c>
      <c r="E33" s="19"/>
      <c r="F33" s="27">
        <v>20543254.933678899</v>
      </c>
      <c r="G33" s="19">
        <v>399949.87286805199</v>
      </c>
      <c r="H33" s="19">
        <v>2200406.1962299198</v>
      </c>
      <c r="I33" s="27">
        <v>12369.5836969501</v>
      </c>
      <c r="J33" s="19">
        <v>68053.799883399799</v>
      </c>
      <c r="K33" s="19"/>
      <c r="L33" s="27">
        <v>2802394.4728679201</v>
      </c>
      <c r="M33" s="27"/>
      <c r="N33" s="27">
        <v>827576.86725857097</v>
      </c>
      <c r="O33" s="19"/>
      <c r="P33" s="19">
        <v>19094721.990739901</v>
      </c>
      <c r="Q33" s="27"/>
      <c r="R33" s="27">
        <v>18990342.604594901</v>
      </c>
      <c r="S33" s="27"/>
      <c r="T33" s="19">
        <v>72611220.873945802</v>
      </c>
      <c r="U33" s="19"/>
      <c r="V33" s="27">
        <v>106710.564123558</v>
      </c>
      <c r="W33" s="27"/>
      <c r="X33" s="27">
        <v>268026.17156905599</v>
      </c>
      <c r="Y33" s="19"/>
      <c r="Z33" s="19">
        <f t="shared" si="12"/>
        <v>-5076173.1050869301</v>
      </c>
      <c r="AA33" s="19"/>
      <c r="AB33" s="19">
        <f t="shared" si="13"/>
        <v>-54953344.77277109</v>
      </c>
      <c r="AC33" s="13"/>
      <c r="AD33" s="19"/>
      <c r="AE33" s="19"/>
      <c r="AF33" s="19">
        <f>BB31/100*AF25</f>
        <v>5909541427.7916203</v>
      </c>
      <c r="AG33" s="33">
        <f t="shared" si="21"/>
        <v>1.4572126095120839E-3</v>
      </c>
      <c r="AH33" s="33">
        <f>(AF33-AF29)/AF29</f>
        <v>1.695374614479165E-2</v>
      </c>
      <c r="AI33" s="33">
        <f t="shared" si="17"/>
        <v>-8.6578083582143743E-3</v>
      </c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>
        <v>11480479</v>
      </c>
      <c r="AW33" s="26"/>
      <c r="AX33" s="26">
        <f t="shared" si="15"/>
        <v>7.011772511497481E-3</v>
      </c>
      <c r="AY33" s="32">
        <v>6664.0668103847902</v>
      </c>
      <c r="AZ33" s="33">
        <f t="shared" si="16"/>
        <v>-2.1349547856732887E-3</v>
      </c>
      <c r="BA33" s="26"/>
      <c r="BB33" s="26">
        <f t="shared" si="20"/>
        <v>103.9488682869343</v>
      </c>
      <c r="BC33" s="26"/>
      <c r="BD33" s="26"/>
      <c r="BE33" s="33">
        <f t="shared" si="10"/>
        <v>9.7777064910721592E-3</v>
      </c>
    </row>
    <row r="34" spans="1:57" s="34" customFormat="1">
      <c r="A34" s="26">
        <f t="shared" si="18"/>
        <v>2020</v>
      </c>
      <c r="B34" s="26">
        <f t="shared" si="19"/>
        <v>3</v>
      </c>
      <c r="C34" s="19"/>
      <c r="D34" s="19">
        <v>109841176.679893</v>
      </c>
      <c r="E34" s="19"/>
      <c r="F34" s="27">
        <v>20803424.0081704</v>
      </c>
      <c r="G34" s="19">
        <v>431066.56275146501</v>
      </c>
      <c r="H34" s="19">
        <v>2371601.0430606701</v>
      </c>
      <c r="I34" s="27">
        <v>13331.955549014299</v>
      </c>
      <c r="J34" s="19">
        <v>73348.485867855605</v>
      </c>
      <c r="K34" s="19"/>
      <c r="L34" s="27">
        <v>2647495.3646364599</v>
      </c>
      <c r="M34" s="27"/>
      <c r="N34" s="27">
        <v>838489.93187572097</v>
      </c>
      <c r="O34" s="19"/>
      <c r="P34" s="19">
        <v>18350990.243416399</v>
      </c>
      <c r="Q34" s="27"/>
      <c r="R34" s="27">
        <v>16302032.7273334</v>
      </c>
      <c r="S34" s="27"/>
      <c r="T34" s="19">
        <v>62332235.057848997</v>
      </c>
      <c r="U34" s="19"/>
      <c r="V34" s="27">
        <v>108789.857363769</v>
      </c>
      <c r="W34" s="27"/>
      <c r="X34" s="27">
        <v>273248.75671159098</v>
      </c>
      <c r="Y34" s="19"/>
      <c r="Z34" s="19">
        <f t="shared" si="12"/>
        <v>-7878586.7199854106</v>
      </c>
      <c r="AA34" s="19"/>
      <c r="AB34" s="19">
        <f t="shared" si="13"/>
        <v>-65859931.865460403</v>
      </c>
      <c r="AC34" s="13"/>
      <c r="AD34" s="18"/>
      <c r="AE34" s="18"/>
      <c r="AF34" s="18">
        <f>BB32/100*AF25</f>
        <v>5945062986.1354218</v>
      </c>
      <c r="AG34" s="28">
        <f t="shared" si="21"/>
        <v>6.0108823633504517E-3</v>
      </c>
      <c r="AH34" s="28"/>
      <c r="AI34" s="28">
        <f t="shared" si="17"/>
        <v>-1.1644155681214212E-2</v>
      </c>
      <c r="AT34" s="19"/>
      <c r="AU34"/>
      <c r="AV34" s="26">
        <v>11498029</v>
      </c>
      <c r="AW34"/>
      <c r="AX34" s="26">
        <f t="shared" si="15"/>
        <v>1.5286818607481447E-3</v>
      </c>
      <c r="AY34" s="32">
        <v>6688.6235749050002</v>
      </c>
      <c r="AZ34" s="33">
        <f t="shared" si="16"/>
        <v>3.684951729766954E-3</v>
      </c>
      <c r="BA34" s="26"/>
      <c r="BB34" s="26">
        <f t="shared" si="20"/>
        <v>104.49140515466225</v>
      </c>
      <c r="BC34" s="26"/>
      <c r="BD34"/>
      <c r="BE34" s="28">
        <f t="shared" si="10"/>
        <v>1.1524592260283044E-2</v>
      </c>
    </row>
    <row r="35" spans="1:57" s="26" customFormat="1">
      <c r="A35" s="26">
        <f t="shared" si="18"/>
        <v>2020</v>
      </c>
      <c r="B35" s="26">
        <f t="shared" si="19"/>
        <v>4</v>
      </c>
      <c r="C35" s="19"/>
      <c r="D35" s="19">
        <v>109979734.944636</v>
      </c>
      <c r="E35" s="19"/>
      <c r="F35" s="27">
        <v>20831865.336228602</v>
      </c>
      <c r="G35" s="19">
        <v>467172.14592143602</v>
      </c>
      <c r="H35" s="19">
        <v>2570243.3087925799</v>
      </c>
      <c r="I35" s="27">
        <v>14448.6230697351</v>
      </c>
      <c r="J35" s="19">
        <v>79492.061096677498</v>
      </c>
      <c r="K35" s="19"/>
      <c r="L35" s="27">
        <v>2740652.0474166502</v>
      </c>
      <c r="M35" s="27"/>
      <c r="N35" s="27">
        <v>841746.65517154301</v>
      </c>
      <c r="O35" s="19"/>
      <c r="P35" s="19">
        <v>18852298.2438959</v>
      </c>
      <c r="Q35" s="27"/>
      <c r="R35" s="27">
        <v>19279629.991885301</v>
      </c>
      <c r="S35" s="27"/>
      <c r="T35" s="19">
        <v>73717336.272280097</v>
      </c>
      <c r="U35" s="19"/>
      <c r="V35" s="27">
        <v>108628.778026899</v>
      </c>
      <c r="W35" s="27"/>
      <c r="X35" s="27">
        <v>272844.17185783503</v>
      </c>
      <c r="Y35" s="19"/>
      <c r="Z35" s="19">
        <f t="shared" si="12"/>
        <v>-5026005.2689045966</v>
      </c>
      <c r="AA35" s="19"/>
      <c r="AB35" s="19">
        <f t="shared" si="13"/>
        <v>-55114696.916251808</v>
      </c>
      <c r="AC35" s="13"/>
      <c r="AD35" s="19"/>
      <c r="AE35" s="19"/>
      <c r="AF35" s="19">
        <f>BB33/100*AF25</f>
        <v>5973966978.1807308</v>
      </c>
      <c r="AG35" s="33">
        <f t="shared" si="21"/>
        <v>4.8618479085447098E-3</v>
      </c>
      <c r="AH35" s="33"/>
      <c r="AI35" s="33">
        <f t="shared" si="17"/>
        <v>-9.1988029015698022E-3</v>
      </c>
      <c r="AT35"/>
      <c r="AU35"/>
      <c r="AV35" s="26">
        <v>11496445</v>
      </c>
      <c r="AW35"/>
      <c r="AX35" s="26">
        <f t="shared" si="15"/>
        <v>-1.3776274177078524E-4</v>
      </c>
      <c r="AY35" s="32">
        <v>6727.7311591631096</v>
      </c>
      <c r="AZ35" s="33">
        <f t="shared" si="16"/>
        <v>5.8468807251819228E-3</v>
      </c>
      <c r="BB35" s="26">
        <f t="shared" si="20"/>
        <v>105.08787474896323</v>
      </c>
      <c r="BC35" s="40" t="e">
        <f>(BA35-BA31)/BA31</f>
        <v>#DIV/0!</v>
      </c>
      <c r="BD35"/>
      <c r="BE35" s="33">
        <f t="shared" si="10"/>
        <v>9.2184823541448715E-3</v>
      </c>
    </row>
    <row r="36" spans="1:57">
      <c r="A36" s="34">
        <f t="shared" si="18"/>
        <v>2021</v>
      </c>
      <c r="B36" s="34">
        <f t="shared" si="19"/>
        <v>1</v>
      </c>
      <c r="C36" s="18"/>
      <c r="D36" s="18">
        <v>110017210.139274</v>
      </c>
      <c r="E36" s="18"/>
      <c r="F36" s="38">
        <v>20840542.6613006</v>
      </c>
      <c r="G36" s="18">
        <v>501510.26164830901</v>
      </c>
      <c r="H36" s="18">
        <v>2759161.4901397699</v>
      </c>
      <c r="I36" s="38">
        <v>15510.626648916799</v>
      </c>
      <c r="J36" s="18">
        <v>85334.891447621907</v>
      </c>
      <c r="K36" s="18"/>
      <c r="L36" s="38">
        <v>3255580.74042327</v>
      </c>
      <c r="M36" s="38"/>
      <c r="N36" s="38">
        <v>843612.42001581204</v>
      </c>
      <c r="O36" s="18"/>
      <c r="P36" s="18">
        <v>21534530.567458902</v>
      </c>
      <c r="Q36" s="38"/>
      <c r="R36" s="38">
        <v>15509821.326916801</v>
      </c>
      <c r="S36" s="38"/>
      <c r="T36" s="18">
        <v>59303146.106047601</v>
      </c>
      <c r="U36" s="18"/>
      <c r="V36" s="38">
        <v>111985.833986964</v>
      </c>
      <c r="W36" s="38"/>
      <c r="X36" s="38">
        <v>281276.12856342801</v>
      </c>
      <c r="Y36" s="18"/>
      <c r="Z36" s="18">
        <f t="shared" si="12"/>
        <v>-9317928.6608359162</v>
      </c>
      <c r="AA36" s="18"/>
      <c r="AB36" s="18">
        <f t="shared" si="13"/>
        <v>-72248594.600685298</v>
      </c>
      <c r="AC36" s="13"/>
      <c r="AD36" s="19"/>
      <c r="AE36" s="19"/>
      <c r="AF36" s="19">
        <f>BB34/100*AF25</f>
        <v>6005146705.1528978</v>
      </c>
      <c r="AG36" s="33">
        <f t="shared" si="21"/>
        <v>5.2192667093821574E-3</v>
      </c>
      <c r="AH36" s="33"/>
      <c r="AI36" s="33">
        <f t="shared" si="17"/>
        <v>-1.0967247779133738E-2</v>
      </c>
      <c r="AJ36" s="26"/>
      <c r="AK36" s="33"/>
      <c r="AL36" s="33"/>
      <c r="AM36" s="33"/>
      <c r="AN36" s="33"/>
      <c r="AO36" s="33"/>
      <c r="AP36" s="33"/>
      <c r="AQ36" s="33"/>
      <c r="AR36" s="33"/>
      <c r="AS36" s="33"/>
      <c r="AT36" s="28">
        <f>AVERAGE(AG38:AG41)</f>
        <v>7.0855422753899619E-3</v>
      </c>
      <c r="AU36" s="34"/>
      <c r="AV36" s="34">
        <v>11565407</v>
      </c>
      <c r="AW36" s="34"/>
      <c r="AX36" s="34">
        <f t="shared" si="15"/>
        <v>5.998549986539317E-3</v>
      </c>
      <c r="AY36" s="39">
        <v>6754.7443605183298</v>
      </c>
      <c r="AZ36" s="28">
        <f t="shared" si="16"/>
        <v>4.0152022600410319E-3</v>
      </c>
      <c r="BA36" s="34"/>
      <c r="BB36" s="34">
        <f t="shared" si="20"/>
        <v>106.14272977342036</v>
      </c>
      <c r="BC36" s="34"/>
      <c r="BD36" s="34"/>
      <c r="BE36" s="33">
        <f t="shared" si="10"/>
        <v>1.0837435155564987E-2</v>
      </c>
    </row>
    <row r="37" spans="1:57">
      <c r="A37" s="26">
        <f t="shared" si="18"/>
        <v>2021</v>
      </c>
      <c r="B37" s="26">
        <f t="shared" si="19"/>
        <v>2</v>
      </c>
      <c r="C37" s="19"/>
      <c r="D37" s="19">
        <v>110630551.390488</v>
      </c>
      <c r="E37" s="19"/>
      <c r="F37" s="27">
        <v>20958730.398568001</v>
      </c>
      <c r="G37" s="19">
        <v>502100.27497125801</v>
      </c>
      <c r="H37" s="19">
        <v>2762407.5693605598</v>
      </c>
      <c r="I37" s="27">
        <v>15528.8744836472</v>
      </c>
      <c r="J37" s="19">
        <v>85435.285650326798</v>
      </c>
      <c r="K37" s="19"/>
      <c r="L37" s="27">
        <v>2725002.9195297901</v>
      </c>
      <c r="M37" s="27"/>
      <c r="N37" s="27">
        <v>850318.124616705</v>
      </c>
      <c r="O37" s="19"/>
      <c r="P37" s="19">
        <v>18818252.540793099</v>
      </c>
      <c r="Q37" s="27"/>
      <c r="R37" s="27">
        <v>18497781.313684199</v>
      </c>
      <c r="S37" s="27"/>
      <c r="T37" s="19">
        <v>70727870.087024093</v>
      </c>
      <c r="U37" s="19"/>
      <c r="V37" s="27">
        <v>107136.10804532999</v>
      </c>
      <c r="W37" s="27"/>
      <c r="X37" s="27">
        <v>269095.01521283097</v>
      </c>
      <c r="Y37" s="19"/>
      <c r="Z37" s="19">
        <f t="shared" si="12"/>
        <v>-5929134.0209849682</v>
      </c>
      <c r="AA37" s="19"/>
      <c r="AB37" s="19">
        <f t="shared" si="13"/>
        <v>-58720933.844257005</v>
      </c>
      <c r="AC37" s="13"/>
      <c r="AD37" s="19"/>
      <c r="AE37" s="19"/>
      <c r="AF37" s="19">
        <f>BB35/100*AF25</f>
        <v>6039425959.1608114</v>
      </c>
      <c r="AG37" s="33">
        <f t="shared" si="21"/>
        <v>5.7083125010916448E-3</v>
      </c>
      <c r="AH37" s="33">
        <f>(AF37-AF33)/AF33</f>
        <v>2.197878345659194E-2</v>
      </c>
      <c r="AI37" s="33">
        <f t="shared" si="17"/>
        <v>-9.125817137082692E-3</v>
      </c>
      <c r="AJ37" s="40"/>
      <c r="AT37" s="26"/>
      <c r="AU37" s="26"/>
      <c r="AV37" s="26">
        <v>11575139</v>
      </c>
      <c r="AW37" s="26"/>
      <c r="AX37" s="26">
        <f t="shared" si="15"/>
        <v>8.4147492604453959E-4</v>
      </c>
      <c r="AY37" s="32">
        <v>6809.3188091430702</v>
      </c>
      <c r="AZ37" s="33">
        <f t="shared" si="16"/>
        <v>8.0794247290437195E-3</v>
      </c>
      <c r="BA37" s="26"/>
      <c r="BB37" s="26">
        <f t="shared" si="20"/>
        <v>107.09034004034618</v>
      </c>
      <c r="BC37" s="26"/>
      <c r="BD37" s="26"/>
      <c r="BE37" s="33">
        <f t="shared" si="10"/>
        <v>9.2487549465161342E-3</v>
      </c>
    </row>
    <row r="38" spans="1:57" s="34" customFormat="1">
      <c r="A38" s="26">
        <f t="shared" si="18"/>
        <v>2021</v>
      </c>
      <c r="B38" s="26">
        <f t="shared" si="19"/>
        <v>3</v>
      </c>
      <c r="C38" s="19"/>
      <c r="D38" s="19">
        <v>111033571.38806</v>
      </c>
      <c r="E38" s="19"/>
      <c r="F38" s="27">
        <v>21038353.963279098</v>
      </c>
      <c r="G38" s="19">
        <v>534086.47124818398</v>
      </c>
      <c r="H38" s="19">
        <v>2938386.1838225601</v>
      </c>
      <c r="I38" s="27">
        <v>16518.138286026198</v>
      </c>
      <c r="J38" s="19">
        <v>90877.923211006593</v>
      </c>
      <c r="K38" s="19"/>
      <c r="L38" s="27">
        <v>2618937.0696896398</v>
      </c>
      <c r="M38" s="27"/>
      <c r="N38" s="27">
        <v>856688.03413074103</v>
      </c>
      <c r="O38" s="19"/>
      <c r="P38" s="19">
        <v>18302921.704475801</v>
      </c>
      <c r="Q38" s="27"/>
      <c r="R38" s="27">
        <v>15820322.3632896</v>
      </c>
      <c r="S38" s="27"/>
      <c r="T38" s="19">
        <v>60490373.730271697</v>
      </c>
      <c r="U38" s="19"/>
      <c r="V38" s="27">
        <v>109453.081529655</v>
      </c>
      <c r="W38" s="27"/>
      <c r="X38" s="27">
        <v>274914.584603464</v>
      </c>
      <c r="Y38" s="19"/>
      <c r="Z38" s="19">
        <f t="shared" si="12"/>
        <v>-8584203.6222802252</v>
      </c>
      <c r="AA38" s="19"/>
      <c r="AB38" s="19">
        <f t="shared" si="13"/>
        <v>-68846119.362264112</v>
      </c>
      <c r="AC38" s="13"/>
      <c r="AD38" s="18"/>
      <c r="AE38" s="18"/>
      <c r="AF38" s="18">
        <f>BB36/100*AF25</f>
        <v>6100048736.3658514</v>
      </c>
      <c r="AG38" s="28">
        <f t="shared" si="21"/>
        <v>1.0037837638043272E-2</v>
      </c>
      <c r="AH38" s="28"/>
      <c r="AI38" s="28">
        <f t="shared" si="17"/>
        <v>-1.184393727380741E-2</v>
      </c>
      <c r="AT38" s="19"/>
      <c r="AU38"/>
      <c r="AV38" s="26">
        <v>11604901</v>
      </c>
      <c r="AW38"/>
      <c r="AX38" s="26">
        <f t="shared" si="15"/>
        <v>2.5712002248957874E-3</v>
      </c>
      <c r="AY38" s="32">
        <v>6827.2273407237999</v>
      </c>
      <c r="AZ38" s="33">
        <f t="shared" si="16"/>
        <v>2.6300033942724755E-3</v>
      </c>
      <c r="BA38" s="26"/>
      <c r="BB38" s="26">
        <f t="shared" si="20"/>
        <v>107.64806287783443</v>
      </c>
      <c r="BC38" s="26"/>
      <c r="BD38"/>
      <c r="BE38" s="28">
        <f t="shared" si="10"/>
        <v>1.0842559734481996E-2</v>
      </c>
    </row>
    <row r="39" spans="1:57" s="26" customFormat="1">
      <c r="A39" s="26">
        <f t="shared" si="18"/>
        <v>2021</v>
      </c>
      <c r="B39" s="26">
        <f t="shared" si="19"/>
        <v>4</v>
      </c>
      <c r="C39" s="19"/>
      <c r="D39" s="19">
        <v>111208613.520476</v>
      </c>
      <c r="E39" s="19"/>
      <c r="F39" s="27">
        <v>21074188.2819365</v>
      </c>
      <c r="G39" s="19">
        <v>606231.27837113396</v>
      </c>
      <c r="H39" s="19">
        <v>3335305.6264536302</v>
      </c>
      <c r="I39" s="27">
        <v>18749.420980550502</v>
      </c>
      <c r="J39" s="19">
        <v>103153.782261452</v>
      </c>
      <c r="K39" s="19"/>
      <c r="L39" s="27">
        <v>2663584.70307709</v>
      </c>
      <c r="M39" s="27"/>
      <c r="N39" s="27">
        <v>860706.37320827704</v>
      </c>
      <c r="O39" s="19"/>
      <c r="P39" s="19">
        <v>18556706.2023721</v>
      </c>
      <c r="Q39" s="27"/>
      <c r="R39" s="27">
        <v>18724514.5654255</v>
      </c>
      <c r="S39" s="27"/>
      <c r="T39" s="19">
        <v>71594804.326413497</v>
      </c>
      <c r="U39" s="19"/>
      <c r="V39" s="27">
        <v>108936.71486599201</v>
      </c>
      <c r="W39" s="27"/>
      <c r="X39" s="27">
        <v>273617.62041698198</v>
      </c>
      <c r="Y39" s="19"/>
      <c r="Z39" s="19">
        <f t="shared" si="12"/>
        <v>-5765028.0779303722</v>
      </c>
      <c r="AA39" s="19"/>
      <c r="AB39" s="19">
        <f t="shared" si="13"/>
        <v>-58170515.396434605</v>
      </c>
      <c r="AC39" s="13"/>
      <c r="AD39" s="19"/>
      <c r="AE39" s="19"/>
      <c r="AF39" s="19">
        <f>BB37/100*AF25</f>
        <v>6154508131.0287514</v>
      </c>
      <c r="AG39" s="33">
        <f t="shared" si="21"/>
        <v>8.92769828841475E-3</v>
      </c>
      <c r="AH39" s="33"/>
      <c r="AI39" s="33">
        <f t="shared" si="17"/>
        <v>-9.5411253985038698E-3</v>
      </c>
      <c r="AT39"/>
      <c r="AU39"/>
      <c r="AV39" s="26">
        <v>11605355</v>
      </c>
      <c r="AW39"/>
      <c r="AX39" s="26">
        <f t="shared" si="15"/>
        <v>3.9121402242035497E-5</v>
      </c>
      <c r="AY39" s="32">
        <v>6855.4195863974901</v>
      </c>
      <c r="AZ39" s="33">
        <f t="shared" si="16"/>
        <v>4.1293843410671232E-3</v>
      </c>
      <c r="BB39" s="26">
        <f t="shared" si="20"/>
        <v>108.09681183645131</v>
      </c>
      <c r="BC39" s="40" t="e">
        <f>(BA39-BA35)/BA35</f>
        <v>#DIV/0!</v>
      </c>
      <c r="BD39"/>
      <c r="BE39" s="33">
        <f t="shared" si="10"/>
        <v>9.242530071950545E-3</v>
      </c>
    </row>
    <row r="40" spans="1:57">
      <c r="A40" s="34">
        <f t="shared" si="18"/>
        <v>2022</v>
      </c>
      <c r="B40" s="34">
        <f t="shared" si="19"/>
        <v>1</v>
      </c>
      <c r="C40" s="18"/>
      <c r="D40" s="18">
        <v>110887921.027806</v>
      </c>
      <c r="E40" s="18"/>
      <c r="F40" s="38">
        <v>21014316.266790599</v>
      </c>
      <c r="G40" s="18">
        <v>638311.46203809499</v>
      </c>
      <c r="H40" s="18">
        <v>3511801.3318048399</v>
      </c>
      <c r="I40" s="38">
        <v>19741.591609425501</v>
      </c>
      <c r="J40" s="18">
        <v>108612.41232386</v>
      </c>
      <c r="K40" s="18"/>
      <c r="L40" s="38">
        <v>3178600.0214186502</v>
      </c>
      <c r="M40" s="38"/>
      <c r="N40" s="38">
        <v>859124.01471448003</v>
      </c>
      <c r="O40" s="18"/>
      <c r="P40" s="18">
        <v>21220417.467964701</v>
      </c>
      <c r="Q40" s="38"/>
      <c r="R40" s="38">
        <v>15007371.830571299</v>
      </c>
      <c r="S40" s="38"/>
      <c r="T40" s="18">
        <v>57381986.908618502</v>
      </c>
      <c r="U40" s="18"/>
      <c r="V40" s="38">
        <v>110133.55748770801</v>
      </c>
      <c r="W40" s="38"/>
      <c r="X40" s="38">
        <v>276623.74402342999</v>
      </c>
      <c r="Y40" s="18"/>
      <c r="Z40" s="18">
        <f t="shared" si="12"/>
        <v>-9934534.9148647208</v>
      </c>
      <c r="AA40" s="18"/>
      <c r="AB40" s="18">
        <f t="shared" si="13"/>
        <v>-74726351.587152198</v>
      </c>
      <c r="AC40" s="13"/>
      <c r="AD40" s="19"/>
      <c r="AE40" s="19"/>
      <c r="AF40" s="19">
        <f>BB38/100*AF25</f>
        <v>6186560599.4109478</v>
      </c>
      <c r="AG40" s="33">
        <f t="shared" si="21"/>
        <v>5.2079658844871365E-3</v>
      </c>
      <c r="AH40" s="33"/>
      <c r="AI40" s="33">
        <f t="shared" si="17"/>
        <v>-1.1128335083118604E-2</v>
      </c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8">
        <f>AVERAGE(AG42:AG45)</f>
        <v>6.1890926947611082E-3</v>
      </c>
      <c r="AU40" s="34"/>
      <c r="AV40" s="34">
        <v>11638415</v>
      </c>
      <c r="AW40" s="34"/>
      <c r="AX40" s="34">
        <f t="shared" si="15"/>
        <v>2.8486849389786008E-3</v>
      </c>
      <c r="AY40" s="39">
        <v>6849.4996451990501</v>
      </c>
      <c r="AZ40" s="28">
        <f t="shared" si="16"/>
        <v>-8.6354177506309953E-4</v>
      </c>
      <c r="BA40" s="34"/>
      <c r="BB40" s="34">
        <f t="shared" si="20"/>
        <v>108.31113356984395</v>
      </c>
      <c r="BC40" s="34"/>
      <c r="BD40" s="34"/>
      <c r="BE40" s="33">
        <f t="shared" si="10"/>
        <v>1.0881421273249788E-2</v>
      </c>
    </row>
    <row r="41" spans="1:57">
      <c r="A41" s="26">
        <f t="shared" si="18"/>
        <v>2022</v>
      </c>
      <c r="B41" s="26">
        <f t="shared" si="19"/>
        <v>2</v>
      </c>
      <c r="C41" s="19"/>
      <c r="D41" s="19">
        <v>111319933.30828699</v>
      </c>
      <c r="E41" s="19"/>
      <c r="F41" s="27">
        <v>21098646.660628699</v>
      </c>
      <c r="G41" s="19">
        <v>655264.43539388594</v>
      </c>
      <c r="H41" s="19">
        <v>3605071.5892726099</v>
      </c>
      <c r="I41" s="27">
        <v>20265.9103730067</v>
      </c>
      <c r="J41" s="19">
        <v>111497.059462039</v>
      </c>
      <c r="K41" s="19"/>
      <c r="L41" s="27">
        <v>2632782.7017685999</v>
      </c>
      <c r="M41" s="27"/>
      <c r="N41" s="27">
        <v>864931.06274861097</v>
      </c>
      <c r="O41" s="19"/>
      <c r="P41" s="19">
        <v>18420117.4665218</v>
      </c>
      <c r="Q41" s="27"/>
      <c r="R41" s="27">
        <v>17705342.093994901</v>
      </c>
      <c r="S41" s="27"/>
      <c r="T41" s="19">
        <v>67697910.048487902</v>
      </c>
      <c r="U41" s="19"/>
      <c r="V41" s="27">
        <v>109416.258502835</v>
      </c>
      <c r="W41" s="27"/>
      <c r="X41" s="27">
        <v>274822.09577646502</v>
      </c>
      <c r="Y41" s="19"/>
      <c r="Z41" s="19">
        <f t="shared" si="12"/>
        <v>-6781602.0726481751</v>
      </c>
      <c r="AA41" s="19"/>
      <c r="AB41" s="19">
        <f t="shared" si="13"/>
        <v>-62042140.726320893</v>
      </c>
      <c r="AC41" s="13"/>
      <c r="AD41" s="19"/>
      <c r="AE41" s="19"/>
      <c r="AF41" s="19">
        <f>BB39/100*AF25</f>
        <v>6212350312.2231178</v>
      </c>
      <c r="AG41" s="33">
        <f t="shared" si="21"/>
        <v>4.1686672906146903E-3</v>
      </c>
      <c r="AH41" s="33">
        <f>(AF41-AF37)/AF37</f>
        <v>2.8632581015420634E-2</v>
      </c>
      <c r="AI41" s="33">
        <f t="shared" si="17"/>
        <v>-9.363688857336511E-3</v>
      </c>
      <c r="AJ41" s="4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>
        <v>11673792</v>
      </c>
      <c r="AW41" s="26"/>
      <c r="AX41" s="26">
        <f t="shared" si="15"/>
        <v>3.039675076030542E-3</v>
      </c>
      <c r="AY41" s="32">
        <v>6852.8832328252402</v>
      </c>
      <c r="AZ41" s="33">
        <f t="shared" si="16"/>
        <v>4.9399048126992976E-4</v>
      </c>
      <c r="BA41" s="26"/>
      <c r="BB41" s="26">
        <f t="shared" si="20"/>
        <v>108.6940315288207</v>
      </c>
      <c r="BC41" s="26"/>
      <c r="BD41" s="26"/>
      <c r="BE41" s="33">
        <f t="shared" ref="BE41:BE72" si="22">T46/AF48</f>
        <v>9.2845727430546903E-3</v>
      </c>
    </row>
    <row r="42" spans="1:57" s="34" customFormat="1">
      <c r="A42" s="26">
        <f t="shared" si="18"/>
        <v>2022</v>
      </c>
      <c r="B42" s="26">
        <f t="shared" si="19"/>
        <v>3</v>
      </c>
      <c r="C42" s="19"/>
      <c r="D42" s="19">
        <v>111286107.43898199</v>
      </c>
      <c r="E42" s="19"/>
      <c r="F42" s="27">
        <v>21094030.984577999</v>
      </c>
      <c r="G42" s="19">
        <v>683938.50402759202</v>
      </c>
      <c r="H42" s="19">
        <v>3762827.8546772599</v>
      </c>
      <c r="I42" s="27">
        <v>21152.737237966699</v>
      </c>
      <c r="J42" s="19">
        <v>116376.119216822</v>
      </c>
      <c r="K42" s="19"/>
      <c r="L42" s="27">
        <v>2570482.5788097698</v>
      </c>
      <c r="M42" s="27"/>
      <c r="N42" s="27">
        <v>866463.63884844596</v>
      </c>
      <c r="O42" s="19"/>
      <c r="P42" s="19">
        <v>18105273.613844302</v>
      </c>
      <c r="Q42" s="27"/>
      <c r="R42" s="27">
        <v>15269795.8681239</v>
      </c>
      <c r="S42" s="27"/>
      <c r="T42" s="19">
        <v>58385387.960938402</v>
      </c>
      <c r="U42" s="19"/>
      <c r="V42" s="27">
        <v>113396.40875737301</v>
      </c>
      <c r="W42" s="27"/>
      <c r="X42" s="27">
        <v>284819.08570670499</v>
      </c>
      <c r="Y42" s="19"/>
      <c r="Z42" s="19">
        <f t="shared" si="12"/>
        <v>-9147784.9253549408</v>
      </c>
      <c r="AA42" s="19"/>
      <c r="AB42" s="19">
        <f t="shared" si="13"/>
        <v>-71005993.091887891</v>
      </c>
      <c r="AC42" s="13"/>
      <c r="AD42" s="18"/>
      <c r="AE42" s="18"/>
      <c r="AF42" s="18">
        <f>BB40/100*AF25</f>
        <v>6224667434.8536396</v>
      </c>
      <c r="AG42" s="28">
        <f t="shared" si="21"/>
        <v>1.9826832054668912E-3</v>
      </c>
      <c r="AH42" s="28"/>
      <c r="AI42" s="28">
        <f t="shared" si="17"/>
        <v>-1.2004874536547708E-2</v>
      </c>
      <c r="AT42" s="19"/>
      <c r="AU42"/>
      <c r="AV42" s="26">
        <v>11721590</v>
      </c>
      <c r="AW42"/>
      <c r="AX42" s="26">
        <f t="shared" si="15"/>
        <v>4.0944707598010999E-3</v>
      </c>
      <c r="AY42" s="32">
        <v>6897.1695877155598</v>
      </c>
      <c r="AZ42" s="33">
        <f t="shared" si="16"/>
        <v>6.4624411923711886E-3</v>
      </c>
      <c r="BA42" s="26"/>
      <c r="BB42" s="26">
        <f t="shared" si="20"/>
        <v>109.84438092352516</v>
      </c>
      <c r="BC42" s="26"/>
      <c r="BD42"/>
      <c r="BE42" s="28">
        <f t="shared" si="22"/>
        <v>1.0932217982051842E-2</v>
      </c>
    </row>
    <row r="43" spans="1:57" s="26" customFormat="1">
      <c r="A43" s="26">
        <f t="shared" si="18"/>
        <v>2022</v>
      </c>
      <c r="B43" s="26">
        <f t="shared" si="19"/>
        <v>4</v>
      </c>
      <c r="C43" s="19"/>
      <c r="D43" s="19">
        <v>112119027.34692</v>
      </c>
      <c r="E43" s="19"/>
      <c r="F43" s="27">
        <v>21254970.3456113</v>
      </c>
      <c r="G43" s="19">
        <v>708159.64372352802</v>
      </c>
      <c r="H43" s="19">
        <v>3896085.4188927398</v>
      </c>
      <c r="I43" s="27">
        <v>21901.8446512431</v>
      </c>
      <c r="J43" s="19">
        <v>120497.48718224899</v>
      </c>
      <c r="K43" s="19"/>
      <c r="L43" s="27">
        <v>2558950.0721661602</v>
      </c>
      <c r="M43" s="27"/>
      <c r="N43" s="27">
        <v>876009.94715364999</v>
      </c>
      <c r="O43" s="19"/>
      <c r="P43" s="19">
        <v>18097952.353726398</v>
      </c>
      <c r="Q43" s="27"/>
      <c r="R43" s="27">
        <v>18056122.4657351</v>
      </c>
      <c r="S43" s="40">
        <f>SUM(T40:T43)/AVERAGE(AF42:AF45)</f>
        <v>4.0157283619991366E-2</v>
      </c>
      <c r="T43" s="19">
        <v>69039149.202567607</v>
      </c>
      <c r="U43" s="19"/>
      <c r="V43" s="27">
        <v>116628.775468454</v>
      </c>
      <c r="W43" s="27"/>
      <c r="X43" s="27">
        <v>292937.85896775901</v>
      </c>
      <c r="Y43" s="19"/>
      <c r="Z43" s="19">
        <f t="shared" si="12"/>
        <v>-6517179.1237275563</v>
      </c>
      <c r="AA43" s="19"/>
      <c r="AB43" s="19">
        <f t="shared" si="13"/>
        <v>-61177830.498078793</v>
      </c>
      <c r="AC43" s="13"/>
      <c r="AD43" s="19"/>
      <c r="AE43" s="19"/>
      <c r="AF43" s="19">
        <f>BB41/100*AF25</f>
        <v>6246672674.5511599</v>
      </c>
      <c r="AG43" s="33">
        <f t="shared" si="21"/>
        <v>3.5351671278543838E-3</v>
      </c>
      <c r="AH43" s="33"/>
      <c r="AI43" s="33">
        <f t="shared" si="17"/>
        <v>-9.9320300516272508E-3</v>
      </c>
      <c r="AT43"/>
      <c r="AU43"/>
      <c r="AV43" s="26">
        <v>11766981</v>
      </c>
      <c r="AW43"/>
      <c r="AX43" s="26">
        <f t="shared" si="15"/>
        <v>3.8724268635910316E-3</v>
      </c>
      <c r="AY43" s="32">
        <v>6930.0295800640597</v>
      </c>
      <c r="AZ43" s="33">
        <f t="shared" si="16"/>
        <v>4.7642720583565591E-3</v>
      </c>
      <c r="BB43" s="26">
        <f t="shared" si="20"/>
        <v>110.79510032122856</v>
      </c>
      <c r="BC43" s="40" t="e">
        <f>(BA43-BA39)/BA39</f>
        <v>#DIV/0!</v>
      </c>
      <c r="BD43"/>
      <c r="BE43" s="33">
        <f t="shared" si="22"/>
        <v>9.2947836495964487E-3</v>
      </c>
    </row>
    <row r="44" spans="1:57">
      <c r="A44" s="34">
        <f t="shared" si="18"/>
        <v>2023</v>
      </c>
      <c r="B44" s="34">
        <f t="shared" si="19"/>
        <v>1</v>
      </c>
      <c r="C44" s="18"/>
      <c r="D44" s="18">
        <v>112692671.94703799</v>
      </c>
      <c r="E44" s="18"/>
      <c r="F44" s="38">
        <v>21366144.975775398</v>
      </c>
      <c r="G44" s="18">
        <v>758148.85647078103</v>
      </c>
      <c r="H44" s="18">
        <v>4171111.3182258802</v>
      </c>
      <c r="I44" s="38">
        <v>23447.902777446699</v>
      </c>
      <c r="J44" s="18">
        <v>129003.44283172701</v>
      </c>
      <c r="K44" s="18"/>
      <c r="L44" s="38">
        <v>3062816.01570844</v>
      </c>
      <c r="M44" s="38"/>
      <c r="N44" s="38">
        <v>882917.88088618603</v>
      </c>
      <c r="O44" s="18"/>
      <c r="P44" s="18">
        <v>20750520.543271601</v>
      </c>
      <c r="Q44" s="38"/>
      <c r="R44" s="38">
        <v>15519716.4534606</v>
      </c>
      <c r="S44" s="38"/>
      <c r="T44" s="18">
        <v>59340980.9800153</v>
      </c>
      <c r="U44" s="18"/>
      <c r="V44" s="38">
        <v>117455.181093932</v>
      </c>
      <c r="W44" s="38"/>
      <c r="X44" s="38">
        <v>295013.55163960601</v>
      </c>
      <c r="Y44" s="18"/>
      <c r="Z44" s="18">
        <f t="shared" si="12"/>
        <v>-9674707.2378154919</v>
      </c>
      <c r="AA44" s="18"/>
      <c r="AB44" s="18">
        <f t="shared" si="13"/>
        <v>-74102211.510294288</v>
      </c>
      <c r="AC44" s="13"/>
      <c r="AD44" s="19"/>
      <c r="AE44" s="19"/>
      <c r="AF44" s="19">
        <f>BB42/100*AF25</f>
        <v>6312783536.6566057</v>
      </c>
      <c r="AG44" s="33">
        <f t="shared" si="21"/>
        <v>1.0583372228671499E-2</v>
      </c>
      <c r="AH44" s="33"/>
      <c r="AI44" s="33">
        <f t="shared" si="17"/>
        <v>-1.1247968931545891E-2</v>
      </c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8">
        <f>AVERAGE(AG46:AG49)</f>
        <v>5.7614648381656818E-3</v>
      </c>
      <c r="AU44" s="34"/>
      <c r="AV44" s="34">
        <v>11837388</v>
      </c>
      <c r="AW44" s="34"/>
      <c r="AX44" s="34">
        <f t="shared" si="15"/>
        <v>5.9834378928630885E-3</v>
      </c>
      <c r="AY44" s="39">
        <v>6946.1554697308302</v>
      </c>
      <c r="AZ44" s="28">
        <f t="shared" si="16"/>
        <v>2.3269582734770124E-3</v>
      </c>
      <c r="BA44" s="34"/>
      <c r="BB44" s="34">
        <f t="shared" si="20"/>
        <v>111.71739412167031</v>
      </c>
      <c r="BC44" s="34"/>
      <c r="BD44" s="34"/>
      <c r="BE44" s="33">
        <f t="shared" si="22"/>
        <v>1.0982363969812706E-2</v>
      </c>
    </row>
    <row r="45" spans="1:57">
      <c r="A45" s="26">
        <f t="shared" si="18"/>
        <v>2023</v>
      </c>
      <c r="B45" s="26">
        <f t="shared" si="19"/>
        <v>2</v>
      </c>
      <c r="C45" s="19"/>
      <c r="D45" s="19">
        <v>113000549.00442301</v>
      </c>
      <c r="E45" s="19"/>
      <c r="F45" s="27">
        <v>21427180.697610199</v>
      </c>
      <c r="G45" s="19">
        <v>793068.62497499306</v>
      </c>
      <c r="H45" s="19">
        <v>4363229.5815386698</v>
      </c>
      <c r="I45" s="27">
        <v>24527.895617783401</v>
      </c>
      <c r="J45" s="19">
        <v>134945.24478985701</v>
      </c>
      <c r="K45" s="19"/>
      <c r="L45" s="27">
        <v>2492193.8954701601</v>
      </c>
      <c r="M45" s="27"/>
      <c r="N45" s="27">
        <v>887993.30313115194</v>
      </c>
      <c r="O45" s="19"/>
      <c r="P45" s="19">
        <v>17817483.124431901</v>
      </c>
      <c r="Q45" s="27"/>
      <c r="R45" s="27">
        <v>18316220.428479798</v>
      </c>
      <c r="S45" s="27"/>
      <c r="T45" s="19">
        <v>70033656.306254596</v>
      </c>
      <c r="U45" s="19"/>
      <c r="V45" s="27">
        <v>117492.61487887699</v>
      </c>
      <c r="W45" s="27"/>
      <c r="X45" s="27">
        <v>295107.57451492897</v>
      </c>
      <c r="Y45" s="19"/>
      <c r="Z45" s="19">
        <f t="shared" si="12"/>
        <v>-6373654.8528528363</v>
      </c>
      <c r="AA45" s="19"/>
      <c r="AB45" s="19">
        <f t="shared" si="13"/>
        <v>-60784375.822600313</v>
      </c>
      <c r="AC45" s="13"/>
      <c r="AD45" s="19"/>
      <c r="AE45" s="19"/>
      <c r="AF45" s="19">
        <f>BB43/100*AF25</f>
        <v>6367421613.8285322</v>
      </c>
      <c r="AG45" s="33">
        <f t="shared" si="21"/>
        <v>8.655148217051661E-3</v>
      </c>
      <c r="AH45" s="33">
        <f>(AF45-AF41)/AF41</f>
        <v>2.4961776753043636E-2</v>
      </c>
      <c r="AI45" s="33">
        <f t="shared" si="17"/>
        <v>-9.6079440326701515E-3</v>
      </c>
      <c r="AJ45" s="40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>
        <v>11861083</v>
      </c>
      <c r="AW45" s="26"/>
      <c r="AX45" s="26">
        <f t="shared" si="15"/>
        <v>2.0017084850137549E-3</v>
      </c>
      <c r="AY45" s="32">
        <v>6949.1768551378</v>
      </c>
      <c r="AZ45" s="33">
        <f t="shared" si="16"/>
        <v>4.3497232679804473E-4</v>
      </c>
      <c r="BA45" s="26"/>
      <c r="BB45" s="26">
        <f t="shared" si="20"/>
        <v>111.989711023244</v>
      </c>
      <c r="BC45" s="26"/>
      <c r="BD45" s="26"/>
      <c r="BE45" s="33">
        <f t="shared" si="22"/>
        <v>9.3493871005832854E-3</v>
      </c>
    </row>
    <row r="46" spans="1:57" s="34" customFormat="1">
      <c r="A46" s="26">
        <f t="shared" si="18"/>
        <v>2023</v>
      </c>
      <c r="B46" s="26">
        <f t="shared" si="19"/>
        <v>3</v>
      </c>
      <c r="C46" s="19"/>
      <c r="D46" s="19">
        <v>113535863.972936</v>
      </c>
      <c r="E46" s="19"/>
      <c r="F46" s="27">
        <v>21531095.082860399</v>
      </c>
      <c r="G46" s="19">
        <v>799123.90109128098</v>
      </c>
      <c r="H46" s="19">
        <v>4396543.9241351997</v>
      </c>
      <c r="I46" s="27">
        <v>24715.172198699402</v>
      </c>
      <c r="J46" s="19">
        <v>135975.585282532</v>
      </c>
      <c r="K46" s="19"/>
      <c r="L46" s="27">
        <v>2494636.57165252</v>
      </c>
      <c r="M46" s="27"/>
      <c r="N46" s="27">
        <v>894607.85621044796</v>
      </c>
      <c r="O46" s="19"/>
      <c r="P46" s="19">
        <v>17866549.5021878</v>
      </c>
      <c r="Q46" s="27"/>
      <c r="R46" s="27">
        <v>15687020.061322</v>
      </c>
      <c r="S46" s="27"/>
      <c r="T46" s="19">
        <v>59980680.825161301</v>
      </c>
      <c r="U46" s="19"/>
      <c r="V46" s="27">
        <v>114735.401842855</v>
      </c>
      <c r="W46" s="27"/>
      <c r="X46" s="27">
        <v>288182.25029501697</v>
      </c>
      <c r="Y46" s="19"/>
      <c r="Z46" s="19">
        <f t="shared" ref="Z46:Z77" si="23">R46+V46-N46-L46-F46</f>
        <v>-9118584.0475585125</v>
      </c>
      <c r="AA46" s="19"/>
      <c r="AB46" s="19">
        <f t="shared" ref="AB46:AB77" si="24">T46-P46-D46</f>
        <v>-71421732.6499625</v>
      </c>
      <c r="AC46" s="13"/>
      <c r="AD46" s="18"/>
      <c r="AE46" s="18"/>
      <c r="AF46" s="18">
        <f>BB44/100*AF25</f>
        <v>6420426064.9478168</v>
      </c>
      <c r="AG46" s="28">
        <f t="shared" si="21"/>
        <v>8.3243193766487072E-3</v>
      </c>
      <c r="AH46" s="28"/>
      <c r="AI46" s="28">
        <f t="shared" si="17"/>
        <v>-1.1541634583233313E-2</v>
      </c>
      <c r="AT46" s="19"/>
      <c r="AU46"/>
      <c r="AV46" s="26">
        <v>11865692</v>
      </c>
      <c r="AW46"/>
      <c r="AX46" s="26">
        <f t="shared" si="15"/>
        <v>3.8858171720069742E-4</v>
      </c>
      <c r="AY46" s="32">
        <v>6972.5707548784003</v>
      </c>
      <c r="AZ46" s="33">
        <f t="shared" si="16"/>
        <v>3.3664274529585886E-3</v>
      </c>
      <c r="BA46" s="26"/>
      <c r="BB46" s="26">
        <f t="shared" si="20"/>
        <v>112.41037991244239</v>
      </c>
      <c r="BC46" s="26"/>
      <c r="BD46"/>
      <c r="BE46" s="28">
        <f t="shared" si="22"/>
        <v>1.0980340154150893E-2</v>
      </c>
    </row>
    <row r="47" spans="1:57" s="26" customFormat="1">
      <c r="A47" s="26">
        <f t="shared" si="18"/>
        <v>2023</v>
      </c>
      <c r="B47" s="26">
        <f t="shared" si="19"/>
        <v>4</v>
      </c>
      <c r="C47" s="19"/>
      <c r="D47" s="19">
        <v>113772534.831268</v>
      </c>
      <c r="E47" s="19"/>
      <c r="F47" s="27">
        <v>21578225.1345255</v>
      </c>
      <c r="G47" s="19">
        <v>841024.83260069601</v>
      </c>
      <c r="H47" s="19">
        <v>4627070.4865265302</v>
      </c>
      <c r="I47" s="27">
        <v>26011.077296929001</v>
      </c>
      <c r="J47" s="19">
        <v>143105.272779172</v>
      </c>
      <c r="K47" s="19"/>
      <c r="L47" s="27">
        <v>2486079.8274765499</v>
      </c>
      <c r="M47" s="27"/>
      <c r="N47" s="27">
        <v>898720.17784754594</v>
      </c>
      <c r="O47" s="19"/>
      <c r="P47" s="19">
        <v>17844773.2962979</v>
      </c>
      <c r="Q47" s="27"/>
      <c r="R47" s="27">
        <v>18628360.331449602</v>
      </c>
      <c r="S47" s="27"/>
      <c r="T47" s="19">
        <v>71227150.278955504</v>
      </c>
      <c r="U47" s="19"/>
      <c r="V47" s="27">
        <v>115771.19964021099</v>
      </c>
      <c r="W47" s="27"/>
      <c r="X47" s="27">
        <v>290783.87573318399</v>
      </c>
      <c r="Y47" s="19"/>
      <c r="Z47" s="19">
        <f t="shared" si="23"/>
        <v>-6218893.6087597832</v>
      </c>
      <c r="AA47" s="19"/>
      <c r="AB47" s="19">
        <f t="shared" si="24"/>
        <v>-60390157.848610394</v>
      </c>
      <c r="AC47" s="13"/>
      <c r="AD47" s="19"/>
      <c r="AE47" s="19"/>
      <c r="AF47" s="19">
        <f>BB45/100*AF25</f>
        <v>6436076184.1305599</v>
      </c>
      <c r="AG47" s="33">
        <f t="shared" si="21"/>
        <v>2.4375514996091262E-3</v>
      </c>
      <c r="AH47" s="33"/>
      <c r="AI47" s="33">
        <f t="shared" si="17"/>
        <v>-9.4443219880579431E-3</v>
      </c>
      <c r="AT47"/>
      <c r="AU47"/>
      <c r="AV47" s="26">
        <v>11935186</v>
      </c>
      <c r="AW47"/>
      <c r="AX47" s="26">
        <f t="shared" ref="AX47:AX78" si="25">(AV47-AV46)/AV46</f>
        <v>5.8567169955195198E-3</v>
      </c>
      <c r="AY47" s="32">
        <v>6991.0857348734799</v>
      </c>
      <c r="AZ47" s="33">
        <f t="shared" ref="AZ47:AZ78" si="26">(AY47-AY46)/AY46</f>
        <v>2.6554022391419179E-3</v>
      </c>
      <c r="BB47" s="26">
        <f t="shared" si="20"/>
        <v>113.36897866888971</v>
      </c>
      <c r="BC47" s="40" t="e">
        <f>(BA47-BA43)/BA43</f>
        <v>#DIV/0!</v>
      </c>
      <c r="BD47"/>
      <c r="BE47" s="33">
        <f t="shared" si="22"/>
        <v>9.3861148985681445E-3</v>
      </c>
    </row>
    <row r="48" spans="1:57">
      <c r="A48" s="34">
        <f t="shared" si="18"/>
        <v>2024</v>
      </c>
      <c r="B48" s="34">
        <f t="shared" si="19"/>
        <v>1</v>
      </c>
      <c r="C48" s="18"/>
      <c r="D48" s="18">
        <v>114169721.450718</v>
      </c>
      <c r="E48" s="18"/>
      <c r="F48" s="38">
        <v>21654819.716109298</v>
      </c>
      <c r="G48" s="18">
        <v>845999.20176163805</v>
      </c>
      <c r="H48" s="18">
        <v>4654437.99797385</v>
      </c>
      <c r="I48" s="38">
        <v>26164.923765823802</v>
      </c>
      <c r="J48" s="18">
        <v>143951.690658985</v>
      </c>
      <c r="K48" s="18"/>
      <c r="L48" s="38">
        <v>3019835.63819469</v>
      </c>
      <c r="M48" s="38"/>
      <c r="N48" s="38">
        <v>903121.38975888095</v>
      </c>
      <c r="O48" s="18"/>
      <c r="P48" s="18">
        <v>20638648.904851399</v>
      </c>
      <c r="Q48" s="38"/>
      <c r="R48" s="38">
        <v>15992865.232716899</v>
      </c>
      <c r="S48" s="38"/>
      <c r="T48" s="18">
        <v>61150106.346110798</v>
      </c>
      <c r="U48" s="18"/>
      <c r="V48" s="38">
        <v>115081.033185237</v>
      </c>
      <c r="W48" s="38"/>
      <c r="X48" s="38">
        <v>289050.37657879997</v>
      </c>
      <c r="Y48" s="18"/>
      <c r="Z48" s="18">
        <f t="shared" si="23"/>
        <v>-9469830.4781607334</v>
      </c>
      <c r="AA48" s="18"/>
      <c r="AB48" s="18">
        <f t="shared" si="24"/>
        <v>-73658264.009458601</v>
      </c>
      <c r="AC48" s="13"/>
      <c r="AD48" s="19"/>
      <c r="AE48" s="19"/>
      <c r="AF48" s="19">
        <f>BB46/100*AF25</f>
        <v>6460252128.4600573</v>
      </c>
      <c r="AG48" s="33">
        <f t="shared" si="21"/>
        <v>3.7563173023196944E-3</v>
      </c>
      <c r="AH48" s="33"/>
      <c r="AI48" s="33">
        <f t="shared" ref="AI48:AI79" si="27">AB46/AF48</f>
        <v>-1.1055564276713057E-2</v>
      </c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8">
        <f>AVERAGE(AG50:AG53)</f>
        <v>5.5952590250220669E-3</v>
      </c>
      <c r="AU48" s="34"/>
      <c r="AV48" s="34">
        <v>12030498</v>
      </c>
      <c r="AW48" s="34"/>
      <c r="AX48" s="34">
        <f t="shared" si="25"/>
        <v>7.985799299650629E-3</v>
      </c>
      <c r="AY48" s="39">
        <v>7003.4310827262598</v>
      </c>
      <c r="AZ48" s="28">
        <f t="shared" si="26"/>
        <v>1.7658698978898078E-3</v>
      </c>
      <c r="BA48" s="34"/>
      <c r="BB48" s="34">
        <f t="shared" si="20"/>
        <v>114.47611416215871</v>
      </c>
      <c r="BC48" s="34"/>
      <c r="BD48" s="34"/>
      <c r="BE48" s="33">
        <f t="shared" si="22"/>
        <v>1.1055484064249528E-2</v>
      </c>
    </row>
    <row r="49" spans="1:57">
      <c r="A49" s="26">
        <f t="shared" si="18"/>
        <v>2024</v>
      </c>
      <c r="B49" s="26">
        <f t="shared" si="19"/>
        <v>2</v>
      </c>
      <c r="C49" s="19"/>
      <c r="D49" s="19">
        <v>114709653.67064001</v>
      </c>
      <c r="E49" s="19"/>
      <c r="F49" s="27">
        <v>21759634.520427998</v>
      </c>
      <c r="G49" s="19">
        <v>868896.71917138295</v>
      </c>
      <c r="H49" s="19">
        <v>4780413.3829024201</v>
      </c>
      <c r="I49" s="27">
        <v>26873.094407362201</v>
      </c>
      <c r="J49" s="19">
        <v>147847.83658460999</v>
      </c>
      <c r="K49" s="19"/>
      <c r="L49" s="27">
        <v>2470450.7509407401</v>
      </c>
      <c r="M49" s="27"/>
      <c r="N49" s="27">
        <v>909797.12180756405</v>
      </c>
      <c r="O49" s="19"/>
      <c r="P49" s="19">
        <v>17824616.021297298</v>
      </c>
      <c r="Q49" s="27"/>
      <c r="R49" s="27">
        <v>18999128.2831004</v>
      </c>
      <c r="S49" s="27"/>
      <c r="T49" s="19">
        <v>72644813.677181199</v>
      </c>
      <c r="U49" s="19"/>
      <c r="V49" s="27">
        <v>111448.539855151</v>
      </c>
      <c r="W49" s="27"/>
      <c r="X49" s="27">
        <v>279926.60061051103</v>
      </c>
      <c r="Y49" s="19"/>
      <c r="Z49" s="19">
        <f t="shared" si="23"/>
        <v>-6029305.5702207498</v>
      </c>
      <c r="AA49" s="19"/>
      <c r="AB49" s="19">
        <f t="shared" si="24"/>
        <v>-59889456.014756106</v>
      </c>
      <c r="AC49" s="13"/>
      <c r="AD49" s="19"/>
      <c r="AE49" s="19"/>
      <c r="AF49" s="19">
        <f>BB47/100*AF25</f>
        <v>6515343034.3132486</v>
      </c>
      <c r="AG49" s="33">
        <f t="shared" si="21"/>
        <v>8.5276711740851982E-3</v>
      </c>
      <c r="AH49" s="33">
        <f>(AF49-AF45)/AF45</f>
        <v>2.3230976281430164E-2</v>
      </c>
      <c r="AI49" s="33">
        <f t="shared" si="27"/>
        <v>-9.2689145499421626E-3</v>
      </c>
      <c r="AJ49" s="40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>
        <v>12062793</v>
      </c>
      <c r="AW49" s="26"/>
      <c r="AX49" s="26">
        <f t="shared" si="25"/>
        <v>2.6844275274390136E-3</v>
      </c>
      <c r="AY49" s="32">
        <v>7022.5920333121403</v>
      </c>
      <c r="AZ49" s="33">
        <f t="shared" si="26"/>
        <v>2.7359376225091162E-3</v>
      </c>
      <c r="BA49" s="26"/>
      <c r="BB49" s="26">
        <f t="shared" si="20"/>
        <v>115.09745726324456</v>
      </c>
      <c r="BC49" s="26"/>
      <c r="BD49" s="26"/>
      <c r="BE49" s="33">
        <f t="shared" si="22"/>
        <v>9.3994921803668748E-3</v>
      </c>
    </row>
    <row r="50" spans="1:57" s="34" customFormat="1">
      <c r="A50" s="26">
        <f t="shared" ref="A50:A81" si="28">A46+1</f>
        <v>2024</v>
      </c>
      <c r="B50" s="26">
        <f t="shared" ref="B50:B81" si="29">B46</f>
        <v>3</v>
      </c>
      <c r="C50" s="19"/>
      <c r="D50" s="19">
        <v>115151038.07576101</v>
      </c>
      <c r="E50" s="19"/>
      <c r="F50" s="27">
        <v>21845562.106652301</v>
      </c>
      <c r="G50" s="19">
        <v>910202.41981125297</v>
      </c>
      <c r="H50" s="19">
        <v>5007665.1606710199</v>
      </c>
      <c r="I50" s="27">
        <v>28150.590303440698</v>
      </c>
      <c r="J50" s="19">
        <v>154876.24208260799</v>
      </c>
      <c r="K50" s="19"/>
      <c r="L50" s="27">
        <v>2394924.1899175602</v>
      </c>
      <c r="M50" s="27"/>
      <c r="N50" s="27">
        <v>915497.86763468804</v>
      </c>
      <c r="O50" s="19"/>
      <c r="P50" s="19">
        <v>17464072.158658698</v>
      </c>
      <c r="Q50" s="27"/>
      <c r="R50" s="27">
        <v>16196598.1798745</v>
      </c>
      <c r="S50" s="27"/>
      <c r="T50" s="19">
        <v>61929096.927448601</v>
      </c>
      <c r="U50" s="19"/>
      <c r="V50" s="27">
        <v>110675.168614879</v>
      </c>
      <c r="W50" s="27"/>
      <c r="X50" s="27">
        <v>277984.11502406298</v>
      </c>
      <c r="Y50" s="19"/>
      <c r="Z50" s="19">
        <f t="shared" si="23"/>
        <v>-8848710.8157151695</v>
      </c>
      <c r="AA50" s="19"/>
      <c r="AB50" s="19">
        <f t="shared" si="24"/>
        <v>-70686013.306971103</v>
      </c>
      <c r="AC50" s="13"/>
      <c r="AD50" s="18"/>
      <c r="AE50" s="18"/>
      <c r="AF50" s="18">
        <f>BB48/100*AF25</f>
        <v>6578970382.8948994</v>
      </c>
      <c r="AG50" s="28">
        <f t="shared" si="21"/>
        <v>9.7657710801342928E-3</v>
      </c>
      <c r="AH50" s="28"/>
      <c r="AI50" s="28">
        <f t="shared" si="27"/>
        <v>-1.1196016963530888E-2</v>
      </c>
      <c r="AT50" s="19"/>
      <c r="AU50"/>
      <c r="AV50" s="26">
        <v>12014043</v>
      </c>
      <c r="AW50"/>
      <c r="AX50" s="26">
        <f t="shared" si="25"/>
        <v>-4.0413526121189343E-3</v>
      </c>
      <c r="AY50" s="32">
        <v>7060.8820478315001</v>
      </c>
      <c r="AZ50" s="33">
        <f t="shared" si="26"/>
        <v>5.4524048012085215E-3</v>
      </c>
      <c r="BA50" s="26"/>
      <c r="BB50" s="26">
        <f t="shared" si="20"/>
        <v>115.25732959940056</v>
      </c>
      <c r="BC50" s="26"/>
      <c r="BD50"/>
      <c r="BE50" s="28">
        <f t="shared" si="22"/>
        <v>1.103021651146327E-2</v>
      </c>
    </row>
    <row r="51" spans="1:57" s="26" customFormat="1">
      <c r="A51" s="26">
        <f t="shared" si="28"/>
        <v>2024</v>
      </c>
      <c r="B51" s="26">
        <f t="shared" si="29"/>
        <v>4</v>
      </c>
      <c r="C51" s="19"/>
      <c r="D51" s="19">
        <v>115394951.97300901</v>
      </c>
      <c r="E51" s="19"/>
      <c r="F51" s="27">
        <v>21894283.8912226</v>
      </c>
      <c r="G51" s="19">
        <v>978178.24286104797</v>
      </c>
      <c r="H51" s="19">
        <v>5381648.0829807399</v>
      </c>
      <c r="I51" s="27">
        <v>30252.935346218201</v>
      </c>
      <c r="J51" s="19">
        <v>166442.7242159</v>
      </c>
      <c r="K51" s="19"/>
      <c r="L51" s="27">
        <v>2493220.1699438202</v>
      </c>
      <c r="M51" s="27"/>
      <c r="N51" s="27">
        <v>919885.41411626001</v>
      </c>
      <c r="O51" s="19"/>
      <c r="P51" s="19">
        <v>17998269.4525005</v>
      </c>
      <c r="Q51" s="27"/>
      <c r="R51" s="27">
        <v>19132312.267809302</v>
      </c>
      <c r="S51" s="27"/>
      <c r="T51" s="19">
        <v>73154054.185997903</v>
      </c>
      <c r="U51" s="19"/>
      <c r="V51" s="27">
        <v>112930.605001059</v>
      </c>
      <c r="W51" s="27"/>
      <c r="X51" s="27">
        <v>283649.12096579402</v>
      </c>
      <c r="Y51" s="19"/>
      <c r="Z51" s="19">
        <f t="shared" si="23"/>
        <v>-6062146.6024723202</v>
      </c>
      <c r="AA51" s="19"/>
      <c r="AB51" s="19">
        <f t="shared" si="24"/>
        <v>-60239167.239511602</v>
      </c>
      <c r="AC51" s="13"/>
      <c r="AD51" s="19"/>
      <c r="AE51" s="19"/>
      <c r="AF51" s="19">
        <f>BB49/100*AF25</f>
        <v>6614679123.4437742</v>
      </c>
      <c r="AG51" s="33">
        <f t="shared" si="21"/>
        <v>5.4277095762152042E-3</v>
      </c>
      <c r="AH51" s="33"/>
      <c r="AI51" s="33">
        <f t="shared" si="27"/>
        <v>-9.0540228629527372E-3</v>
      </c>
      <c r="AT51"/>
      <c r="AU51"/>
      <c r="AV51" s="26">
        <v>12070937</v>
      </c>
      <c r="AW51"/>
      <c r="AX51" s="26">
        <f t="shared" si="25"/>
        <v>4.7356248017424276E-3</v>
      </c>
      <c r="AY51" s="32">
        <v>7068.3517811334405</v>
      </c>
      <c r="AZ51" s="33">
        <f t="shared" si="26"/>
        <v>1.0579037082533319E-3</v>
      </c>
      <c r="BB51" s="26">
        <f t="shared" si="20"/>
        <v>115.92565364462898</v>
      </c>
      <c r="BC51" s="40" t="e">
        <f>(BA51-BA47)/BA47</f>
        <v>#DIV/0!</v>
      </c>
      <c r="BD51"/>
      <c r="BE51" s="33">
        <f t="shared" si="22"/>
        <v>9.3802122856062597E-3</v>
      </c>
    </row>
    <row r="52" spans="1:57">
      <c r="A52" s="34">
        <f t="shared" si="28"/>
        <v>2025</v>
      </c>
      <c r="B52" s="34">
        <f t="shared" si="29"/>
        <v>1</v>
      </c>
      <c r="C52" s="18"/>
      <c r="D52" s="18">
        <v>115537592.033406</v>
      </c>
      <c r="E52" s="18"/>
      <c r="F52" s="38">
        <v>21923703.684958398</v>
      </c>
      <c r="G52" s="18">
        <v>1068999.5061461199</v>
      </c>
      <c r="H52" s="18">
        <v>5881319.8769703796</v>
      </c>
      <c r="I52" s="38">
        <v>33061.8403962722</v>
      </c>
      <c r="J52" s="18">
        <v>181896.49104032299</v>
      </c>
      <c r="K52" s="18"/>
      <c r="L52" s="38">
        <v>2934048.8711826899</v>
      </c>
      <c r="M52" s="38"/>
      <c r="N52" s="38">
        <v>923378.68841243896</v>
      </c>
      <c r="O52" s="18"/>
      <c r="P52" s="18">
        <v>20304950.643335499</v>
      </c>
      <c r="Q52" s="38"/>
      <c r="R52" s="38">
        <v>16586152.9828593</v>
      </c>
      <c r="S52" s="38"/>
      <c r="T52" s="18">
        <v>63418593.480037898</v>
      </c>
      <c r="U52" s="18"/>
      <c r="V52" s="38">
        <v>111125.273600341</v>
      </c>
      <c r="W52" s="38"/>
      <c r="X52" s="38">
        <v>279114.64897867502</v>
      </c>
      <c r="Y52" s="18"/>
      <c r="Z52" s="18">
        <f t="shared" si="23"/>
        <v>-9083852.9880938847</v>
      </c>
      <c r="AA52" s="18"/>
      <c r="AB52" s="18">
        <f t="shared" si="24"/>
        <v>-72423949.196703613</v>
      </c>
      <c r="AC52" s="13"/>
      <c r="AD52" s="19"/>
      <c r="AE52" s="19"/>
      <c r="AF52" s="19">
        <f>BB50/100*AF25</f>
        <v>6623867025.8486776</v>
      </c>
      <c r="AG52" s="33">
        <f t="shared" si="21"/>
        <v>1.389017098703943E-3</v>
      </c>
      <c r="AH52" s="33"/>
      <c r="AI52" s="33">
        <f t="shared" si="27"/>
        <v>-1.0671411885403076E-2</v>
      </c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8">
        <f>AVERAGE(AG54:AG57)</f>
        <v>5.6121268465534405E-3</v>
      </c>
      <c r="AU52" s="34"/>
      <c r="AV52" s="34">
        <v>12166184</v>
      </c>
      <c r="AW52" s="34"/>
      <c r="AX52" s="34">
        <f t="shared" si="25"/>
        <v>7.8906053440590401E-3</v>
      </c>
      <c r="AY52" s="39">
        <v>7112.3462708164197</v>
      </c>
      <c r="AZ52" s="28">
        <f t="shared" si="26"/>
        <v>6.2241511239448507E-3</v>
      </c>
      <c r="BA52" s="34"/>
      <c r="BB52" s="34">
        <f t="shared" si="20"/>
        <v>117.56760939202911</v>
      </c>
      <c r="BC52" s="34"/>
      <c r="BD52" s="34"/>
      <c r="BE52" s="33">
        <f t="shared" si="22"/>
        <v>1.1049877468515495E-2</v>
      </c>
    </row>
    <row r="53" spans="1:57">
      <c r="A53" s="26">
        <f t="shared" si="28"/>
        <v>2025</v>
      </c>
      <c r="B53" s="26">
        <f t="shared" si="29"/>
        <v>2</v>
      </c>
      <c r="C53" s="19"/>
      <c r="D53" s="19">
        <v>115570375.84205399</v>
      </c>
      <c r="E53" s="19"/>
      <c r="F53" s="27">
        <v>21931812.512038901</v>
      </c>
      <c r="G53" s="19">
        <v>1157340.3622771101</v>
      </c>
      <c r="H53" s="19">
        <v>6367345.2026366601</v>
      </c>
      <c r="I53" s="27">
        <v>35794.031823003403</v>
      </c>
      <c r="J53" s="19">
        <v>196928.20214340201</v>
      </c>
      <c r="K53" s="19"/>
      <c r="L53" s="27">
        <v>2392801.0902466001</v>
      </c>
      <c r="M53" s="27"/>
      <c r="N53" s="27">
        <v>925528.67020194198</v>
      </c>
      <c r="O53" s="19"/>
      <c r="P53" s="19">
        <v>17508241.900533099</v>
      </c>
      <c r="Q53" s="27"/>
      <c r="R53" s="27">
        <v>19596977.589441702</v>
      </c>
      <c r="S53" s="27"/>
      <c r="T53" s="19">
        <v>74930742.316592798</v>
      </c>
      <c r="U53" s="19"/>
      <c r="V53" s="27">
        <v>112577.709994016</v>
      </c>
      <c r="W53" s="27"/>
      <c r="X53" s="27">
        <v>282762.750450555</v>
      </c>
      <c r="Y53" s="19"/>
      <c r="Z53" s="19">
        <f t="shared" si="23"/>
        <v>-5540586.9730517268</v>
      </c>
      <c r="AA53" s="19"/>
      <c r="AB53" s="19">
        <f t="shared" si="24"/>
        <v>-58147875.425994292</v>
      </c>
      <c r="AC53" s="13"/>
      <c r="AD53" s="19"/>
      <c r="AE53" s="19"/>
      <c r="AF53" s="19">
        <f>BB51/100*AF25</f>
        <v>6662275772.790473</v>
      </c>
      <c r="AG53" s="33">
        <f t="shared" si="21"/>
        <v>5.798538345034826E-3</v>
      </c>
      <c r="AH53" s="33">
        <f>(AF53-AF49)/AF49</f>
        <v>2.2551803904015292E-2</v>
      </c>
      <c r="AI53" s="33">
        <f t="shared" si="27"/>
        <v>-9.041830343549502E-3</v>
      </c>
      <c r="AJ53" s="40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>
        <v>12188431</v>
      </c>
      <c r="AW53" s="26"/>
      <c r="AX53" s="26">
        <f t="shared" si="25"/>
        <v>1.8285930904875349E-3</v>
      </c>
      <c r="AY53" s="32">
        <v>7121.4921897206004</v>
      </c>
      <c r="AZ53" s="33">
        <f t="shared" si="26"/>
        <v>1.2859214886244336E-3</v>
      </c>
      <c r="BA53" s="26"/>
      <c r="BB53" s="26">
        <f t="shared" si="20"/>
        <v>117.93405187718051</v>
      </c>
      <c r="BC53" s="26"/>
      <c r="BD53" s="26"/>
      <c r="BE53" s="33">
        <f t="shared" si="22"/>
        <v>9.3589611083790113E-3</v>
      </c>
    </row>
    <row r="54" spans="1:57" s="34" customFormat="1">
      <c r="A54" s="26">
        <f t="shared" si="28"/>
        <v>2025</v>
      </c>
      <c r="B54" s="26">
        <f t="shared" si="29"/>
        <v>3</v>
      </c>
      <c r="C54" s="19"/>
      <c r="D54" s="19">
        <v>116302516.97826301</v>
      </c>
      <c r="E54" s="19"/>
      <c r="F54" s="27">
        <v>22074198.8642787</v>
      </c>
      <c r="G54" s="19">
        <v>1236048.9610156501</v>
      </c>
      <c r="H54" s="19">
        <v>6800376.6901050601</v>
      </c>
      <c r="I54" s="27">
        <v>38228.318381927398</v>
      </c>
      <c r="J54" s="19">
        <v>210320.92855995099</v>
      </c>
      <c r="K54" s="19"/>
      <c r="L54" s="27">
        <v>2340995.2767417799</v>
      </c>
      <c r="M54" s="27"/>
      <c r="N54" s="27">
        <v>934839.70441647596</v>
      </c>
      <c r="O54" s="19"/>
      <c r="P54" s="19">
        <v>17290647.851031199</v>
      </c>
      <c r="Q54" s="27"/>
      <c r="R54" s="27">
        <v>16688551.931166301</v>
      </c>
      <c r="S54" s="27"/>
      <c r="T54" s="19">
        <v>63810124.733980902</v>
      </c>
      <c r="U54" s="19"/>
      <c r="V54" s="27">
        <v>111051.74502909</v>
      </c>
      <c r="W54" s="27"/>
      <c r="X54" s="27">
        <v>278929.96640656801</v>
      </c>
      <c r="Y54" s="19"/>
      <c r="Z54" s="19">
        <f t="shared" si="23"/>
        <v>-8550430.1692415662</v>
      </c>
      <c r="AA54" s="19"/>
      <c r="AB54" s="19">
        <f t="shared" si="24"/>
        <v>-69783040.095313311</v>
      </c>
      <c r="AC54" s="13"/>
      <c r="AD54" s="18"/>
      <c r="AE54" s="18"/>
      <c r="AF54" s="18">
        <f>BB52/100*AF25</f>
        <v>6756639372.6665792</v>
      </c>
      <c r="AG54" s="28">
        <f t="shared" si="21"/>
        <v>1.4163868788124687E-2</v>
      </c>
      <c r="AH54" s="28"/>
      <c r="AI54" s="28">
        <f t="shared" si="27"/>
        <v>-1.0718930699437454E-2</v>
      </c>
      <c r="AT54" s="19"/>
      <c r="AU54"/>
      <c r="AV54" s="26">
        <v>12205639</v>
      </c>
      <c r="AW54"/>
      <c r="AX54" s="26">
        <f t="shared" si="25"/>
        <v>1.4118306121600065E-3</v>
      </c>
      <c r="AY54" s="32">
        <v>7122.9716369020598</v>
      </c>
      <c r="AZ54" s="33">
        <f t="shared" si="26"/>
        <v>2.077439870810849E-4</v>
      </c>
      <c r="BA54" s="26"/>
      <c r="BB54" s="26">
        <f t="shared" si="20"/>
        <v>118.12508946196365</v>
      </c>
      <c r="BC54" s="26"/>
      <c r="BD54"/>
      <c r="BE54" s="28">
        <f t="shared" si="22"/>
        <v>1.1038776283551517E-2</v>
      </c>
    </row>
    <row r="55" spans="1:57" s="26" customFormat="1">
      <c r="A55" s="26">
        <f t="shared" si="28"/>
        <v>2025</v>
      </c>
      <c r="B55" s="26">
        <f t="shared" si="29"/>
        <v>4</v>
      </c>
      <c r="C55" s="19"/>
      <c r="D55" s="19">
        <v>116316845.944304</v>
      </c>
      <c r="E55" s="19"/>
      <c r="F55" s="27">
        <v>22078818.207606301</v>
      </c>
      <c r="G55" s="19">
        <v>1317762.8321919299</v>
      </c>
      <c r="H55" s="19">
        <v>7249942.2998272097</v>
      </c>
      <c r="I55" s="27">
        <v>40755.5515110907</v>
      </c>
      <c r="J55" s="19">
        <v>224225.01958228601</v>
      </c>
      <c r="K55" s="19"/>
      <c r="L55" s="27">
        <v>2439256.6363781998</v>
      </c>
      <c r="M55" s="27"/>
      <c r="N55" s="27">
        <v>936854.58855080197</v>
      </c>
      <c r="O55" s="19"/>
      <c r="P55" s="19">
        <v>17811611.811319601</v>
      </c>
      <c r="Q55" s="27"/>
      <c r="R55" s="27">
        <v>19653341.896449201</v>
      </c>
      <c r="S55" s="27"/>
      <c r="T55" s="19">
        <v>75146256.129626498</v>
      </c>
      <c r="U55" s="19"/>
      <c r="V55" s="27">
        <v>117136.982622369</v>
      </c>
      <c r="W55" s="27"/>
      <c r="X55" s="27">
        <v>294214.32881820499</v>
      </c>
      <c r="Y55" s="19"/>
      <c r="Z55" s="19">
        <f t="shared" si="23"/>
        <v>-5684450.553463731</v>
      </c>
      <c r="AA55" s="19"/>
      <c r="AB55" s="19">
        <f t="shared" si="24"/>
        <v>-58982201.625997111</v>
      </c>
      <c r="AC55" s="13"/>
      <c r="AD55" s="19"/>
      <c r="AE55" s="19"/>
      <c r="AF55" s="19">
        <f>BB53/100*AF25</f>
        <v>6777698912.2438097</v>
      </c>
      <c r="AG55" s="33">
        <f t="shared" si="21"/>
        <v>3.1168660062611988E-3</v>
      </c>
      <c r="AH55" s="33"/>
      <c r="AI55" s="33">
        <f t="shared" si="27"/>
        <v>-8.579294562783106E-3</v>
      </c>
      <c r="AT55"/>
      <c r="AU55"/>
      <c r="AV55" s="26">
        <v>12246255</v>
      </c>
      <c r="AW55"/>
      <c r="AX55" s="26">
        <f t="shared" si="25"/>
        <v>3.3276422479806261E-3</v>
      </c>
      <c r="AY55" s="32">
        <v>7124.5353565529304</v>
      </c>
      <c r="AZ55" s="33">
        <f t="shared" si="26"/>
        <v>2.1953192158864887E-4</v>
      </c>
      <c r="BB55" s="26">
        <f t="shared" si="20"/>
        <v>118.54418602125827</v>
      </c>
      <c r="BC55" s="40" t="e">
        <f>(BA55-BA51)/BA51</f>
        <v>#DIV/0!</v>
      </c>
      <c r="BD55"/>
      <c r="BE55" s="33">
        <f t="shared" si="22"/>
        <v>9.3552231041754263E-3</v>
      </c>
    </row>
    <row r="56" spans="1:57">
      <c r="A56" s="34">
        <f t="shared" si="28"/>
        <v>2026</v>
      </c>
      <c r="B56" s="34">
        <f t="shared" si="29"/>
        <v>1</v>
      </c>
      <c r="C56" s="18"/>
      <c r="D56" s="18">
        <v>116043700.684946</v>
      </c>
      <c r="E56" s="18"/>
      <c r="F56" s="38">
        <v>22029288.268043</v>
      </c>
      <c r="G56" s="18">
        <v>1395382.9193977399</v>
      </c>
      <c r="H56" s="18">
        <v>7676985.1180053903</v>
      </c>
      <c r="I56" s="38">
        <v>43156.172764878502</v>
      </c>
      <c r="J56" s="18">
        <v>237432.52942284601</v>
      </c>
      <c r="K56" s="18"/>
      <c r="L56" s="38">
        <v>2933334.2857785798</v>
      </c>
      <c r="M56" s="38"/>
      <c r="N56" s="38">
        <v>936972.03315782896</v>
      </c>
      <c r="O56" s="18"/>
      <c r="P56" s="18">
        <v>20376029.228380602</v>
      </c>
      <c r="Q56" s="38"/>
      <c r="R56" s="38">
        <v>16785262.674127001</v>
      </c>
      <c r="S56" s="38"/>
      <c r="T56" s="18">
        <v>64179906.641775697</v>
      </c>
      <c r="U56" s="18"/>
      <c r="V56" s="38">
        <v>118288.903264227</v>
      </c>
      <c r="W56" s="38"/>
      <c r="X56" s="38">
        <v>297107.62136261602</v>
      </c>
      <c r="Y56" s="18"/>
      <c r="Z56" s="18">
        <f t="shared" si="23"/>
        <v>-8996043.0095881801</v>
      </c>
      <c r="AA56" s="18"/>
      <c r="AB56" s="18">
        <f t="shared" si="24"/>
        <v>-72239823.271550909</v>
      </c>
      <c r="AC56" s="13"/>
      <c r="AD56" s="19"/>
      <c r="AE56" s="19"/>
      <c r="AF56" s="19">
        <f>BB54/100*AF25</f>
        <v>6788677889.1378689</v>
      </c>
      <c r="AG56" s="33">
        <f t="shared" si="21"/>
        <v>1.619867898561535E-3</v>
      </c>
      <c r="AH56" s="33"/>
      <c r="AI56" s="33">
        <f t="shared" si="27"/>
        <v>-1.0279327025807E-2</v>
      </c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8">
        <f>AVERAGE(AG58:AG61)</f>
        <v>3.9359708862958158E-3</v>
      </c>
      <c r="AU56" s="34"/>
      <c r="AV56" s="34">
        <v>12221467</v>
      </c>
      <c r="AW56" s="34"/>
      <c r="AX56" s="34">
        <f t="shared" si="25"/>
        <v>-2.0241290092358846E-3</v>
      </c>
      <c r="AY56" s="39">
        <v>7169.6772802781898</v>
      </c>
      <c r="AZ56" s="28">
        <f t="shared" si="26"/>
        <v>6.3361217912602874E-3</v>
      </c>
      <c r="BA56" s="34"/>
      <c r="BB56" s="34">
        <f t="shared" ref="BB56:BB87" si="30">BB55*(1+AX56)*(1+AZ56)</f>
        <v>119.05382735138257</v>
      </c>
      <c r="BC56" s="34"/>
      <c r="BD56" s="34"/>
      <c r="BE56" s="33">
        <f t="shared" si="22"/>
        <v>1.1050997132498477E-2</v>
      </c>
    </row>
    <row r="57" spans="1:57">
      <c r="A57" s="26">
        <f t="shared" si="28"/>
        <v>2026</v>
      </c>
      <c r="B57" s="26">
        <f t="shared" si="29"/>
        <v>2</v>
      </c>
      <c r="C57" s="19"/>
      <c r="D57" s="19">
        <v>116114780.697522</v>
      </c>
      <c r="E57" s="19"/>
      <c r="F57" s="27">
        <v>22045368.0019099</v>
      </c>
      <c r="G57" s="19">
        <v>1496219.7746946299</v>
      </c>
      <c r="H57" s="19">
        <v>8231759.7441666396</v>
      </c>
      <c r="I57" s="27">
        <v>46274.838392617399</v>
      </c>
      <c r="J57" s="19">
        <v>254590.50755154499</v>
      </c>
      <c r="K57" s="19"/>
      <c r="L57" s="27">
        <v>2425963.9945507599</v>
      </c>
      <c r="M57" s="27"/>
      <c r="N57" s="27">
        <v>940132.13334890106</v>
      </c>
      <c r="O57" s="19"/>
      <c r="P57" s="19">
        <v>17760668.314133499</v>
      </c>
      <c r="Q57" s="27"/>
      <c r="R57" s="27">
        <v>19837089.856374402</v>
      </c>
      <c r="S57" s="27"/>
      <c r="T57" s="19">
        <v>75848832.3801485</v>
      </c>
      <c r="U57" s="19"/>
      <c r="V57" s="27">
        <v>113829.70078838</v>
      </c>
      <c r="W57" s="27"/>
      <c r="X57" s="27">
        <v>285907.39036703599</v>
      </c>
      <c r="Y57" s="19"/>
      <c r="Z57" s="19">
        <f t="shared" si="23"/>
        <v>-5460544.5726467818</v>
      </c>
      <c r="AA57" s="19"/>
      <c r="AB57" s="19">
        <f t="shared" si="24"/>
        <v>-58026616.631506994</v>
      </c>
      <c r="AC57" s="13"/>
      <c r="AD57" s="19"/>
      <c r="AE57" s="19"/>
      <c r="AF57" s="19">
        <f>BB55/100*AF25</f>
        <v>6812763471.2818146</v>
      </c>
      <c r="AG57" s="33">
        <f t="shared" si="21"/>
        <v>3.5479046932663429E-3</v>
      </c>
      <c r="AH57" s="33">
        <f>(AF57-AF53)/AF53</f>
        <v>2.2588032021422958E-2</v>
      </c>
      <c r="AI57" s="33">
        <f t="shared" si="27"/>
        <v>-8.6576030232999816E-3</v>
      </c>
      <c r="AJ57" s="40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>
        <v>12297728</v>
      </c>
      <c r="AW57" s="26"/>
      <c r="AX57" s="26">
        <f t="shared" si="25"/>
        <v>6.2399219340853272E-3</v>
      </c>
      <c r="AY57" s="32">
        <v>7148.3052159699901</v>
      </c>
      <c r="AZ57" s="33">
        <f t="shared" si="26"/>
        <v>-2.9808962764598019E-3</v>
      </c>
      <c r="BA57" s="26"/>
      <c r="BB57" s="26">
        <f t="shared" si="30"/>
        <v>119.43961236149337</v>
      </c>
      <c r="BC57" s="26"/>
      <c r="BD57" s="26"/>
      <c r="BE57" s="33">
        <f t="shared" si="22"/>
        <v>9.4015285386186767E-3</v>
      </c>
    </row>
    <row r="58" spans="1:57" s="34" customFormat="1">
      <c r="A58" s="26">
        <f t="shared" si="28"/>
        <v>2026</v>
      </c>
      <c r="B58" s="26">
        <f t="shared" si="29"/>
        <v>3</v>
      </c>
      <c r="C58" s="19"/>
      <c r="D58" s="19">
        <v>116198822.90486801</v>
      </c>
      <c r="E58" s="19"/>
      <c r="F58" s="27">
        <v>22063268.3022868</v>
      </c>
      <c r="G58" s="19">
        <v>1606374.9164571201</v>
      </c>
      <c r="H58" s="19">
        <v>8837800.8331226408</v>
      </c>
      <c r="I58" s="27">
        <v>49681.698447127601</v>
      </c>
      <c r="J58" s="19">
        <v>273334.04638523702</v>
      </c>
      <c r="K58" s="19"/>
      <c r="L58" s="27">
        <v>2365458.1148924702</v>
      </c>
      <c r="M58" s="27"/>
      <c r="N58" s="27">
        <v>942756.76771402697</v>
      </c>
      <c r="O58" s="19"/>
      <c r="P58" s="19">
        <v>17461142.980838399</v>
      </c>
      <c r="Q58" s="27"/>
      <c r="R58" s="27">
        <v>16934124.3407427</v>
      </c>
      <c r="S58" s="27"/>
      <c r="T58" s="19">
        <v>64749092.126174502</v>
      </c>
      <c r="U58" s="19"/>
      <c r="V58" s="27">
        <v>121173.831012657</v>
      </c>
      <c r="W58" s="27"/>
      <c r="X58" s="27">
        <v>304353.72811892303</v>
      </c>
      <c r="Y58" s="19"/>
      <c r="Z58" s="19">
        <f t="shared" si="23"/>
        <v>-8316185.0131379385</v>
      </c>
      <c r="AA58" s="19"/>
      <c r="AB58" s="19">
        <f t="shared" si="24"/>
        <v>-68910873.7595319</v>
      </c>
      <c r="AC58" s="13"/>
      <c r="AD58" s="18"/>
      <c r="AE58" s="18"/>
      <c r="AF58" s="18">
        <f>BB56/100*AF25</f>
        <v>6842052683.6325893</v>
      </c>
      <c r="AG58" s="28">
        <f t="shared" ref="AG58:AG89" si="31">(AF58-AF57)/AF57</f>
        <v>4.2991676541008737E-3</v>
      </c>
      <c r="AH58" s="28"/>
      <c r="AI58" s="28">
        <f t="shared" si="27"/>
        <v>-1.0558209153279608E-2</v>
      </c>
      <c r="AT58" s="19"/>
      <c r="AU58"/>
      <c r="AV58" s="26">
        <v>12294175</v>
      </c>
      <c r="AW58"/>
      <c r="AX58" s="26">
        <f t="shared" si="25"/>
        <v>-2.8891515571006289E-4</v>
      </c>
      <c r="AY58" s="32">
        <v>7206.8118397222597</v>
      </c>
      <c r="AZ58" s="33">
        <f t="shared" si="26"/>
        <v>8.1846846188884503E-3</v>
      </c>
      <c r="BA58" s="26"/>
      <c r="BB58" s="26">
        <f t="shared" si="30"/>
        <v>120.3823975690765</v>
      </c>
      <c r="BC58" s="26"/>
      <c r="BD58"/>
      <c r="BE58" s="28">
        <f t="shared" si="22"/>
        <v>1.1058847641298152E-2</v>
      </c>
    </row>
    <row r="59" spans="1:57" s="26" customFormat="1">
      <c r="A59" s="26">
        <f t="shared" si="28"/>
        <v>2026</v>
      </c>
      <c r="B59" s="26">
        <f t="shared" si="29"/>
        <v>4</v>
      </c>
      <c r="C59" s="19"/>
      <c r="D59" s="19">
        <v>116821125.41534001</v>
      </c>
      <c r="E59" s="19"/>
      <c r="F59" s="27">
        <v>22183868.456386499</v>
      </c>
      <c r="G59" s="19">
        <v>1685058.6383659099</v>
      </c>
      <c r="H59" s="19">
        <v>9270695.4556136392</v>
      </c>
      <c r="I59" s="27">
        <v>52115.215619564297</v>
      </c>
      <c r="J59" s="19">
        <v>286722.53986433899</v>
      </c>
      <c r="K59" s="19"/>
      <c r="L59" s="27">
        <v>2389604.5819333098</v>
      </c>
      <c r="M59" s="27"/>
      <c r="N59" s="27">
        <v>950246.07420074602</v>
      </c>
      <c r="O59" s="19"/>
      <c r="P59" s="19">
        <v>17627643.0676881</v>
      </c>
      <c r="Q59" s="27"/>
      <c r="R59" s="27">
        <v>19979795.036719199</v>
      </c>
      <c r="S59" s="27"/>
      <c r="T59" s="19">
        <v>76394478.005697206</v>
      </c>
      <c r="U59" s="19"/>
      <c r="V59" s="27">
        <v>121875.712376757</v>
      </c>
      <c r="W59" s="27"/>
      <c r="X59" s="27">
        <v>306116.65174752998</v>
      </c>
      <c r="Y59" s="19"/>
      <c r="Z59" s="19">
        <f t="shared" si="23"/>
        <v>-5422048.3634245973</v>
      </c>
      <c r="AA59" s="19"/>
      <c r="AB59" s="19">
        <f t="shared" si="24"/>
        <v>-58054290.477330901</v>
      </c>
      <c r="AC59" s="13"/>
      <c r="AD59" s="19"/>
      <c r="AE59" s="19"/>
      <c r="AF59" s="19">
        <f>BB57/100*AF25</f>
        <v>6864223842.867506</v>
      </c>
      <c r="AG59" s="33">
        <f t="shared" si="31"/>
        <v>3.2404250975667077E-3</v>
      </c>
      <c r="AH59" s="33"/>
      <c r="AI59" s="33">
        <f t="shared" si="27"/>
        <v>-8.4534854864620167E-3</v>
      </c>
      <c r="AT59"/>
      <c r="AU59"/>
      <c r="AV59" s="26">
        <v>12302065</v>
      </c>
      <c r="AW59"/>
      <c r="AX59" s="26">
        <f t="shared" si="25"/>
        <v>6.4176734103752386E-4</v>
      </c>
      <c r="AY59" s="32">
        <v>7204.4287696030997</v>
      </c>
      <c r="AZ59" s="33">
        <f t="shared" si="26"/>
        <v>-3.3066911862817257E-4</v>
      </c>
      <c r="BB59" s="26">
        <f t="shared" si="30"/>
        <v>120.41982277230309</v>
      </c>
      <c r="BC59" s="40" t="e">
        <f>(BA59-BA55)/BA55</f>
        <v>#DIV/0!</v>
      </c>
      <c r="BD59"/>
      <c r="BE59" s="33">
        <f t="shared" si="22"/>
        <v>9.3891801520249677E-3</v>
      </c>
    </row>
    <row r="60" spans="1:57">
      <c r="A60" s="34">
        <f t="shared" si="28"/>
        <v>2027</v>
      </c>
      <c r="B60" s="34">
        <f t="shared" si="29"/>
        <v>1</v>
      </c>
      <c r="C60" s="18"/>
      <c r="D60" s="18">
        <v>116775117.26288401</v>
      </c>
      <c r="E60" s="18"/>
      <c r="F60" s="38">
        <v>22177070.341646001</v>
      </c>
      <c r="G60" s="18">
        <v>1767456.0242155499</v>
      </c>
      <c r="H60" s="18">
        <v>9724021.5613991693</v>
      </c>
      <c r="I60" s="38">
        <v>54663.588377800799</v>
      </c>
      <c r="J60" s="18">
        <v>300742.93488863501</v>
      </c>
      <c r="K60" s="18"/>
      <c r="L60" s="38">
        <v>2942466.65106609</v>
      </c>
      <c r="M60" s="38"/>
      <c r="N60" s="38">
        <v>951810.48577779904</v>
      </c>
      <c r="O60" s="18"/>
      <c r="P60" s="18">
        <v>20505053.903534699</v>
      </c>
      <c r="Q60" s="38"/>
      <c r="R60" s="38">
        <v>17061608.805787399</v>
      </c>
      <c r="S60" s="38"/>
      <c r="T60" s="18">
        <v>65236540.027568199</v>
      </c>
      <c r="U60" s="18"/>
      <c r="V60" s="38">
        <v>119986.774462243</v>
      </c>
      <c r="W60" s="38"/>
      <c r="X60" s="38">
        <v>301372.18430218298</v>
      </c>
      <c r="Y60" s="18"/>
      <c r="Z60" s="18">
        <f t="shared" si="23"/>
        <v>-8889751.8982402496</v>
      </c>
      <c r="AA60" s="18"/>
      <c r="AB60" s="18">
        <f t="shared" si="24"/>
        <v>-72043631.13885051</v>
      </c>
      <c r="AC60" s="13"/>
      <c r="AD60" s="19"/>
      <c r="AE60" s="19"/>
      <c r="AF60" s="19">
        <f>BB58/100*AF25</f>
        <v>6918405940.1855087</v>
      </c>
      <c r="AG60" s="33">
        <f t="shared" si="31"/>
        <v>7.8934047837473081E-3</v>
      </c>
      <c r="AH60" s="33"/>
      <c r="AI60" s="33">
        <f t="shared" si="27"/>
        <v>-9.9605132100248142E-3</v>
      </c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8">
        <f>AVERAGE(AG62:AG65)</f>
        <v>3.8201769734398944E-3</v>
      </c>
      <c r="AU60" s="34"/>
      <c r="AV60" s="34">
        <v>12392677</v>
      </c>
      <c r="AW60" s="34"/>
      <c r="AX60" s="34">
        <f t="shared" si="25"/>
        <v>7.3655926870813968E-3</v>
      </c>
      <c r="AY60" s="39">
        <v>7206.2308890364602</v>
      </c>
      <c r="AZ60" s="28">
        <f t="shared" si="26"/>
        <v>2.5014050259807225E-4</v>
      </c>
      <c r="BA60" s="34"/>
      <c r="BB60" s="34">
        <f t="shared" si="30"/>
        <v>121.3371298787476</v>
      </c>
      <c r="BC60" s="34"/>
      <c r="BD60" s="34"/>
      <c r="BE60" s="33">
        <f t="shared" si="22"/>
        <v>1.1099751081344944E-2</v>
      </c>
    </row>
    <row r="61" spans="1:57">
      <c r="A61" s="26">
        <f t="shared" si="28"/>
        <v>2027</v>
      </c>
      <c r="B61" s="26">
        <f t="shared" si="29"/>
        <v>2</v>
      </c>
      <c r="C61" s="19"/>
      <c r="D61" s="19">
        <v>117337724.90084</v>
      </c>
      <c r="E61" s="19"/>
      <c r="F61" s="27">
        <v>22286645.040520702</v>
      </c>
      <c r="G61" s="19">
        <v>1845784.7026523701</v>
      </c>
      <c r="H61" s="19">
        <v>10154962.8394621</v>
      </c>
      <c r="I61" s="27">
        <v>57086.124824300197</v>
      </c>
      <c r="J61" s="19">
        <v>314071.01565346803</v>
      </c>
      <c r="K61" s="19"/>
      <c r="L61" s="27">
        <v>2345548.95801723</v>
      </c>
      <c r="M61" s="27"/>
      <c r="N61" s="27">
        <v>959124.58674078097</v>
      </c>
      <c r="O61" s="19"/>
      <c r="P61" s="19">
        <v>17447885.182166498</v>
      </c>
      <c r="Q61" s="27"/>
      <c r="R61" s="27">
        <v>20169824.4704285</v>
      </c>
      <c r="S61" s="27"/>
      <c r="T61" s="19">
        <v>77121072.015659004</v>
      </c>
      <c r="U61" s="19"/>
      <c r="V61" s="27">
        <v>120993.77096398101</v>
      </c>
      <c r="W61" s="27"/>
      <c r="X61" s="27">
        <v>303901.46918940102</v>
      </c>
      <c r="Y61" s="19"/>
      <c r="Z61" s="19">
        <f t="shared" si="23"/>
        <v>-5300500.3438862301</v>
      </c>
      <c r="AA61" s="19"/>
      <c r="AB61" s="19">
        <f t="shared" si="24"/>
        <v>-57664538.067347497</v>
      </c>
      <c r="AC61" s="13"/>
      <c r="AD61" s="19"/>
      <c r="AE61" s="19"/>
      <c r="AF61" s="19">
        <f>BB59/100*AF25</f>
        <v>6920556775.8022108</v>
      </c>
      <c r="AG61" s="33">
        <f t="shared" si="31"/>
        <v>3.1088600976837271E-4</v>
      </c>
      <c r="AH61" s="33">
        <f>(AF61-AF57)/AF57</f>
        <v>1.5822258467475463E-2</v>
      </c>
      <c r="AI61" s="33">
        <f t="shared" si="27"/>
        <v>-8.3886733911812204E-3</v>
      </c>
      <c r="AJ61" s="40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>
        <v>12359301</v>
      </c>
      <c r="AW61" s="26"/>
      <c r="AX61" s="26">
        <f t="shared" si="25"/>
        <v>-2.6932034135965944E-3</v>
      </c>
      <c r="AY61" s="32">
        <v>7231.2639755358396</v>
      </c>
      <c r="AZ61" s="33">
        <f t="shared" si="26"/>
        <v>3.4738113286745531E-3</v>
      </c>
      <c r="BA61" s="26"/>
      <c r="BB61" s="26">
        <f t="shared" si="30"/>
        <v>121.43071141130039</v>
      </c>
      <c r="BC61" s="26"/>
      <c r="BD61" s="26"/>
      <c r="BE61" s="33">
        <f t="shared" si="22"/>
        <v>9.3824835777104234E-3</v>
      </c>
    </row>
    <row r="62" spans="1:57" s="34" customFormat="1">
      <c r="A62" s="26">
        <f t="shared" si="28"/>
        <v>2027</v>
      </c>
      <c r="B62" s="26">
        <f t="shared" si="29"/>
        <v>3</v>
      </c>
      <c r="C62" s="19"/>
      <c r="D62" s="19">
        <v>117177441.438144</v>
      </c>
      <c r="E62" s="19"/>
      <c r="F62" s="27">
        <v>22258991.4753373</v>
      </c>
      <c r="G62" s="19">
        <v>1978236.2353221001</v>
      </c>
      <c r="H62" s="19">
        <v>10883672.0926909</v>
      </c>
      <c r="I62" s="27">
        <v>61182.563979033599</v>
      </c>
      <c r="J62" s="19">
        <v>336608.41523786099</v>
      </c>
      <c r="K62" s="19"/>
      <c r="L62" s="27">
        <v>2314337.09311591</v>
      </c>
      <c r="M62" s="27"/>
      <c r="N62" s="27">
        <v>960604.43821386597</v>
      </c>
      <c r="O62" s="19"/>
      <c r="P62" s="19">
        <v>17294068.372996699</v>
      </c>
      <c r="Q62" s="27"/>
      <c r="R62" s="27">
        <v>17187906.0364048</v>
      </c>
      <c r="S62" s="27"/>
      <c r="T62" s="19">
        <v>65719448.435229197</v>
      </c>
      <c r="U62" s="19"/>
      <c r="V62" s="27">
        <v>116650.128097906</v>
      </c>
      <c r="W62" s="27"/>
      <c r="X62" s="27">
        <v>292991.49061680801</v>
      </c>
      <c r="Y62" s="19"/>
      <c r="Z62" s="19">
        <f t="shared" si="23"/>
        <v>-8229376.8421643712</v>
      </c>
      <c r="AA62" s="19"/>
      <c r="AB62" s="19">
        <f t="shared" si="24"/>
        <v>-68752061.375911504</v>
      </c>
      <c r="AC62" s="13"/>
      <c r="AD62" s="18"/>
      <c r="AE62" s="18"/>
      <c r="AF62" s="18">
        <f>BB60/100*AF25</f>
        <v>6973274640.3933229</v>
      </c>
      <c r="AG62" s="28">
        <f t="shared" si="31"/>
        <v>7.6175756227361106E-3</v>
      </c>
      <c r="AH62" s="28"/>
      <c r="AI62" s="28">
        <f t="shared" si="27"/>
        <v>-1.033139161356578E-2</v>
      </c>
      <c r="AT62" s="19"/>
      <c r="AU62"/>
      <c r="AV62" s="26">
        <v>12358281</v>
      </c>
      <c r="AW62"/>
      <c r="AX62" s="26">
        <f t="shared" si="25"/>
        <v>-8.2528939136606514E-5</v>
      </c>
      <c r="AY62" s="32">
        <v>7243.92438884896</v>
      </c>
      <c r="AZ62" s="33">
        <f t="shared" si="26"/>
        <v>1.7507884314487774E-3</v>
      </c>
      <c r="BA62" s="26"/>
      <c r="BB62" s="26">
        <f t="shared" si="30"/>
        <v>121.63327180266056</v>
      </c>
      <c r="BC62" s="26"/>
      <c r="BD62"/>
      <c r="BE62" s="28">
        <f t="shared" si="22"/>
        <v>1.1080238569826314E-2</v>
      </c>
    </row>
    <row r="63" spans="1:57" s="26" customFormat="1">
      <c r="A63" s="26">
        <f t="shared" si="28"/>
        <v>2027</v>
      </c>
      <c r="B63" s="26">
        <f t="shared" si="29"/>
        <v>4</v>
      </c>
      <c r="C63" s="19"/>
      <c r="D63" s="19">
        <v>117249842.0818</v>
      </c>
      <c r="E63" s="19"/>
      <c r="F63" s="27">
        <v>22275623.372351602</v>
      </c>
      <c r="G63" s="19">
        <v>2069988.0401930599</v>
      </c>
      <c r="H63" s="19">
        <v>11388463.451931899</v>
      </c>
      <c r="I63" s="27">
        <v>64020.248665764499</v>
      </c>
      <c r="J63" s="19">
        <v>352220.51913191401</v>
      </c>
      <c r="K63" s="19"/>
      <c r="L63" s="27">
        <v>2313331.9860372799</v>
      </c>
      <c r="M63" s="27"/>
      <c r="N63" s="27">
        <v>964076.66122104996</v>
      </c>
      <c r="O63" s="19"/>
      <c r="P63" s="19">
        <v>17307956.014101699</v>
      </c>
      <c r="Q63" s="27"/>
      <c r="R63" s="27">
        <v>20323435.537399501</v>
      </c>
      <c r="S63" s="27"/>
      <c r="T63" s="19">
        <v>77708417.243954897</v>
      </c>
      <c r="U63" s="19"/>
      <c r="V63" s="27">
        <v>123275.149523974</v>
      </c>
      <c r="W63" s="27"/>
      <c r="X63" s="27">
        <v>309631.63439241401</v>
      </c>
      <c r="Y63" s="19"/>
      <c r="Z63" s="19">
        <f t="shared" si="23"/>
        <v>-5106321.3326864578</v>
      </c>
      <c r="AA63" s="19"/>
      <c r="AB63" s="19">
        <f t="shared" si="24"/>
        <v>-56849380.851946801</v>
      </c>
      <c r="AC63" s="13"/>
      <c r="AD63" s="19"/>
      <c r="AE63" s="19"/>
      <c r="AF63" s="19">
        <f>BB61/100*AF25</f>
        <v>6978652794.041853</v>
      </c>
      <c r="AG63" s="33">
        <f t="shared" si="31"/>
        <v>7.7125223454939894E-4</v>
      </c>
      <c r="AH63" s="33"/>
      <c r="AI63" s="33">
        <f t="shared" si="27"/>
        <v>-8.2629899737352748E-3</v>
      </c>
      <c r="AT63"/>
      <c r="AU63"/>
      <c r="AV63" s="26">
        <v>12381371</v>
      </c>
      <c r="AW63"/>
      <c r="AX63" s="26">
        <f t="shared" si="25"/>
        <v>1.8683828276764383E-3</v>
      </c>
      <c r="AY63" s="32">
        <v>7268.1851953792802</v>
      </c>
      <c r="AZ63" s="33">
        <f t="shared" si="26"/>
        <v>3.3491247600080489E-3</v>
      </c>
      <c r="BB63" s="26">
        <f t="shared" si="30"/>
        <v>122.26865543498062</v>
      </c>
      <c r="BC63" s="40" t="e">
        <f>(BA63-BA59)/BA59</f>
        <v>#DIV/0!</v>
      </c>
      <c r="BD63"/>
      <c r="BE63" s="33">
        <f t="shared" si="22"/>
        <v>9.3738458877669611E-3</v>
      </c>
    </row>
    <row r="64" spans="1:57">
      <c r="A64" s="34">
        <f t="shared" si="28"/>
        <v>2028</v>
      </c>
      <c r="B64" s="34">
        <f t="shared" si="29"/>
        <v>1</v>
      </c>
      <c r="C64" s="18"/>
      <c r="D64" s="18">
        <v>116985302.096251</v>
      </c>
      <c r="E64" s="18"/>
      <c r="F64" s="38">
        <v>22226821.959966201</v>
      </c>
      <c r="G64" s="18">
        <v>2187174.2387683298</v>
      </c>
      <c r="H64" s="18">
        <v>12033187.3409747</v>
      </c>
      <c r="I64" s="38">
        <v>67644.564085617196</v>
      </c>
      <c r="J64" s="18">
        <v>372160.43322601501</v>
      </c>
      <c r="K64" s="18"/>
      <c r="L64" s="38">
        <v>2878813.0458843498</v>
      </c>
      <c r="M64" s="38"/>
      <c r="N64" s="38">
        <v>963358.52262848604</v>
      </c>
      <c r="O64" s="18"/>
      <c r="P64" s="18">
        <v>20238288.935180899</v>
      </c>
      <c r="Q64" s="38"/>
      <c r="R64" s="38">
        <v>17416840.201801099</v>
      </c>
      <c r="S64" s="38"/>
      <c r="T64" s="18">
        <v>66594798.058735497</v>
      </c>
      <c r="U64" s="18"/>
      <c r="V64" s="38">
        <v>124440.09333711</v>
      </c>
      <c r="W64" s="38"/>
      <c r="X64" s="38">
        <v>312557.63738839002</v>
      </c>
      <c r="Y64" s="18"/>
      <c r="Z64" s="18">
        <f t="shared" si="23"/>
        <v>-8527713.2333408277</v>
      </c>
      <c r="AA64" s="18"/>
      <c r="AB64" s="18">
        <f t="shared" si="24"/>
        <v>-70628792.972696394</v>
      </c>
      <c r="AC64" s="13"/>
      <c r="AD64" s="19"/>
      <c r="AE64" s="19"/>
      <c r="AF64" s="19">
        <f>BB62/100*AF25</f>
        <v>6990293989.4585533</v>
      </c>
      <c r="AG64" s="33">
        <f t="shared" si="31"/>
        <v>1.6681150016001995E-3</v>
      </c>
      <c r="AH64" s="33"/>
      <c r="AI64" s="33">
        <f t="shared" si="27"/>
        <v>-9.8353604983696576E-3</v>
      </c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8">
        <f>AVERAGE(AG66:AG69)</f>
        <v>6.3954359744610809E-3</v>
      </c>
      <c r="AU64" s="34"/>
      <c r="AV64" s="34">
        <v>12432711</v>
      </c>
      <c r="AW64" s="34"/>
      <c r="AX64" s="34">
        <f t="shared" si="25"/>
        <v>4.1465521063862795E-3</v>
      </c>
      <c r="AY64" s="39">
        <v>7306.06159045815</v>
      </c>
      <c r="AZ64" s="28">
        <f t="shared" si="26"/>
        <v>5.2112589402578185E-3</v>
      </c>
      <c r="BA64" s="34"/>
      <c r="BB64" s="34">
        <f t="shared" si="30"/>
        <v>123.4154644831001</v>
      </c>
      <c r="BC64" s="34"/>
      <c r="BD64" s="34"/>
      <c r="BE64" s="33">
        <f t="shared" si="22"/>
        <v>1.1072836538225357E-2</v>
      </c>
    </row>
    <row r="65" spans="1:57">
      <c r="A65" s="26">
        <f t="shared" si="28"/>
        <v>2028</v>
      </c>
      <c r="B65" s="26">
        <f t="shared" si="29"/>
        <v>2</v>
      </c>
      <c r="C65" s="19"/>
      <c r="D65" s="19">
        <v>117334241.29834101</v>
      </c>
      <c r="E65" s="19"/>
      <c r="F65" s="27">
        <v>22295160.269421101</v>
      </c>
      <c r="G65" s="19">
        <v>2265486.9853458898</v>
      </c>
      <c r="H65" s="19">
        <v>12464040.9666487</v>
      </c>
      <c r="I65" s="27">
        <v>70066.607794202399</v>
      </c>
      <c r="J65" s="19">
        <v>385485.80309222499</v>
      </c>
      <c r="K65" s="19"/>
      <c r="L65" s="27">
        <v>2271183.82784762</v>
      </c>
      <c r="M65" s="27"/>
      <c r="N65" s="27">
        <v>968273.00163166597</v>
      </c>
      <c r="O65" s="19"/>
      <c r="P65" s="19">
        <v>17112336.047710299</v>
      </c>
      <c r="Q65" s="27"/>
      <c r="R65" s="27">
        <v>20685103.500802498</v>
      </c>
      <c r="S65" s="27"/>
      <c r="T65" s="19">
        <v>79091286.048403695</v>
      </c>
      <c r="U65" s="19"/>
      <c r="V65" s="27">
        <v>121838.809905214</v>
      </c>
      <c r="W65" s="27"/>
      <c r="X65" s="27">
        <v>306023.963378291</v>
      </c>
      <c r="Y65" s="19"/>
      <c r="Z65" s="19">
        <f t="shared" si="23"/>
        <v>-4727674.7881926745</v>
      </c>
      <c r="AA65" s="19"/>
      <c r="AB65" s="19">
        <f t="shared" si="24"/>
        <v>-55355291.29764761</v>
      </c>
      <c r="AC65" s="13"/>
      <c r="AD65" s="19"/>
      <c r="AE65" s="19"/>
      <c r="AF65" s="19">
        <f>BB63/100*AF25</f>
        <v>7026809642.7841759</v>
      </c>
      <c r="AG65" s="33">
        <f t="shared" si="31"/>
        <v>5.2237650348738694E-3</v>
      </c>
      <c r="AH65" s="33">
        <f>(AF65-AF61)/AF61</f>
        <v>1.535322524243702E-2</v>
      </c>
      <c r="AI65" s="33">
        <f t="shared" si="27"/>
        <v>-8.0903544769176123E-3</v>
      </c>
      <c r="AJ65" s="40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>
        <v>12443623</v>
      </c>
      <c r="AW65" s="26"/>
      <c r="AX65" s="26">
        <f t="shared" si="25"/>
        <v>8.7768468196518039E-4</v>
      </c>
      <c r="AY65" s="32">
        <v>7333.3951346458898</v>
      </c>
      <c r="AZ65" s="33">
        <f t="shared" si="26"/>
        <v>3.7412145859046547E-3</v>
      </c>
      <c r="BA65" s="26"/>
      <c r="BB65" s="26">
        <f t="shared" si="30"/>
        <v>123.98591332949515</v>
      </c>
      <c r="BC65" s="26"/>
      <c r="BD65" s="26"/>
      <c r="BE65" s="33">
        <f t="shared" si="22"/>
        <v>9.3712355425592288E-3</v>
      </c>
    </row>
    <row r="66" spans="1:57" s="34" customFormat="1">
      <c r="A66" s="26">
        <f t="shared" si="28"/>
        <v>2028</v>
      </c>
      <c r="B66" s="26">
        <f t="shared" si="29"/>
        <v>3</v>
      </c>
      <c r="C66" s="19"/>
      <c r="D66" s="19">
        <v>117399840.298613</v>
      </c>
      <c r="E66" s="19"/>
      <c r="F66" s="27">
        <v>22309588.176340699</v>
      </c>
      <c r="G66" s="19">
        <v>2367624.1298845899</v>
      </c>
      <c r="H66" s="19">
        <v>13025969.400571</v>
      </c>
      <c r="I66" s="27">
        <v>73225.488553132396</v>
      </c>
      <c r="J66" s="19">
        <v>402865.03300735599</v>
      </c>
      <c r="K66" s="19"/>
      <c r="L66" s="27">
        <v>2263414.96884755</v>
      </c>
      <c r="M66" s="27"/>
      <c r="N66" s="27">
        <v>970777.51374175004</v>
      </c>
      <c r="O66" s="19"/>
      <c r="P66" s="19">
        <v>17085802.4881065</v>
      </c>
      <c r="Q66" s="27"/>
      <c r="R66" s="27">
        <v>17589178.114593901</v>
      </c>
      <c r="S66" s="27"/>
      <c r="T66" s="19">
        <v>67253747.005118698</v>
      </c>
      <c r="U66" s="19"/>
      <c r="V66" s="27">
        <v>122204.168489239</v>
      </c>
      <c r="W66" s="27"/>
      <c r="X66" s="27">
        <v>306941.63880556001</v>
      </c>
      <c r="Y66" s="19"/>
      <c r="Z66" s="19">
        <f t="shared" si="23"/>
        <v>-7832398.3758468591</v>
      </c>
      <c r="AA66" s="19"/>
      <c r="AB66" s="19">
        <f t="shared" si="24"/>
        <v>-67231895.781600803</v>
      </c>
      <c r="AC66" s="13"/>
      <c r="AD66" s="18"/>
      <c r="AE66" s="18"/>
      <c r="AF66" s="18">
        <f>BB64/100*AF25</f>
        <v>7092717040.3022861</v>
      </c>
      <c r="AG66" s="28">
        <f t="shared" si="31"/>
        <v>9.3794198033798331E-3</v>
      </c>
      <c r="AH66" s="28"/>
      <c r="AI66" s="28">
        <f t="shared" si="27"/>
        <v>-9.9579318576180284E-3</v>
      </c>
      <c r="AT66" s="19"/>
      <c r="AU66"/>
      <c r="AV66" s="26">
        <v>12534430</v>
      </c>
      <c r="AW66"/>
      <c r="AX66" s="26">
        <f t="shared" si="25"/>
        <v>7.2974727697873842E-3</v>
      </c>
      <c r="AY66" s="32">
        <v>7323.7011942467298</v>
      </c>
      <c r="AZ66" s="33">
        <f t="shared" si="26"/>
        <v>-1.3218898233591705E-3</v>
      </c>
      <c r="BA66" s="26"/>
      <c r="BB66" s="26">
        <f t="shared" si="30"/>
        <v>124.72560541425182</v>
      </c>
      <c r="BC66" s="26"/>
      <c r="BD66"/>
      <c r="BE66" s="28">
        <f t="shared" si="22"/>
        <v>1.1094111387733484E-2</v>
      </c>
    </row>
    <row r="67" spans="1:57" s="26" customFormat="1">
      <c r="A67" s="26">
        <f t="shared" si="28"/>
        <v>2028</v>
      </c>
      <c r="B67" s="26">
        <f t="shared" si="29"/>
        <v>4</v>
      </c>
      <c r="C67" s="19"/>
      <c r="D67" s="19">
        <v>118006400.937442</v>
      </c>
      <c r="E67" s="19"/>
      <c r="F67" s="27">
        <v>22426593.059028901</v>
      </c>
      <c r="G67" s="19">
        <v>2436942.4723277199</v>
      </c>
      <c r="H67" s="19">
        <v>13407338.468475601</v>
      </c>
      <c r="I67" s="27">
        <v>75369.354814259306</v>
      </c>
      <c r="J67" s="19">
        <v>414659.95263326599</v>
      </c>
      <c r="K67" s="19"/>
      <c r="L67" s="27">
        <v>2186553.1017749002</v>
      </c>
      <c r="M67" s="27"/>
      <c r="N67" s="27">
        <v>977532.82032794098</v>
      </c>
      <c r="O67" s="19"/>
      <c r="P67" s="19">
        <v>16724131.5981801</v>
      </c>
      <c r="Q67" s="27"/>
      <c r="R67" s="27">
        <v>20888547.6162358</v>
      </c>
      <c r="S67" s="27"/>
      <c r="T67" s="19">
        <v>79869172.256610096</v>
      </c>
      <c r="U67" s="19"/>
      <c r="V67" s="27">
        <v>125779.15593067301</v>
      </c>
      <c r="W67" s="27"/>
      <c r="X67" s="27">
        <v>315920.97656096303</v>
      </c>
      <c r="Y67" s="19"/>
      <c r="Z67" s="19">
        <f t="shared" si="23"/>
        <v>-4576352.2089652717</v>
      </c>
      <c r="AA67" s="19"/>
      <c r="AB67" s="19">
        <f t="shared" si="24"/>
        <v>-54861360.27901201</v>
      </c>
      <c r="AC67" s="13"/>
      <c r="AD67" s="19"/>
      <c r="AE67" s="19"/>
      <c r="AF67" s="19">
        <f>BB65/100*AF25</f>
        <v>7125500875.5403814</v>
      </c>
      <c r="AG67" s="33">
        <f t="shared" si="31"/>
        <v>4.6221828746037304E-3</v>
      </c>
      <c r="AH67" s="33"/>
      <c r="AI67" s="33">
        <f t="shared" si="27"/>
        <v>-7.7686175701226889E-3</v>
      </c>
      <c r="AT67"/>
      <c r="AU67"/>
      <c r="AV67" s="26">
        <v>12559540</v>
      </c>
      <c r="AW67"/>
      <c r="AX67" s="26">
        <f t="shared" si="25"/>
        <v>2.003282159619544E-3</v>
      </c>
      <c r="AY67" s="32">
        <v>7350.09364065916</v>
      </c>
      <c r="AZ67" s="33">
        <f t="shared" si="26"/>
        <v>3.6037033342052917E-3</v>
      </c>
      <c r="BB67" s="26">
        <f t="shared" si="30"/>
        <v>125.42584049792393</v>
      </c>
      <c r="BC67" s="40" t="e">
        <f>(BA67-BA63)/BA63</f>
        <v>#DIV/0!</v>
      </c>
      <c r="BD67"/>
      <c r="BE67" s="33">
        <f t="shared" si="22"/>
        <v>9.4236550781905404E-3</v>
      </c>
    </row>
    <row r="68" spans="1:57">
      <c r="A68" s="34">
        <f t="shared" si="28"/>
        <v>2029</v>
      </c>
      <c r="B68" s="34">
        <f t="shared" si="29"/>
        <v>1</v>
      </c>
      <c r="C68" s="18"/>
      <c r="D68" s="18">
        <v>118149122.217316</v>
      </c>
      <c r="E68" s="18"/>
      <c r="F68" s="38">
        <v>22455800.280770902</v>
      </c>
      <c r="G68" s="18">
        <v>2505834.2088101101</v>
      </c>
      <c r="H68" s="18">
        <v>13786360.4762534</v>
      </c>
      <c r="I68" s="38">
        <v>77500.027076601502</v>
      </c>
      <c r="J68" s="18">
        <v>426382.28277072299</v>
      </c>
      <c r="K68" s="18"/>
      <c r="L68" s="38">
        <v>2725954.2469845</v>
      </c>
      <c r="M68" s="38"/>
      <c r="N68" s="38">
        <v>980798.76002899196</v>
      </c>
      <c r="O68" s="18"/>
      <c r="P68" s="18">
        <v>19541054.941505101</v>
      </c>
      <c r="Q68" s="38"/>
      <c r="R68" s="38">
        <v>17663101.822858501</v>
      </c>
      <c r="S68" s="38"/>
      <c r="T68" s="18">
        <v>67536400.710761696</v>
      </c>
      <c r="U68" s="18"/>
      <c r="V68" s="38">
        <v>125827.09736115699</v>
      </c>
      <c r="W68" s="38"/>
      <c r="X68" s="38">
        <v>316041.39161244</v>
      </c>
      <c r="Y68" s="18"/>
      <c r="Z68" s="18">
        <f t="shared" si="23"/>
        <v>-8373624.3675647341</v>
      </c>
      <c r="AA68" s="18"/>
      <c r="AB68" s="18">
        <f t="shared" si="24"/>
        <v>-70153776.44805941</v>
      </c>
      <c r="AC68" s="13"/>
      <c r="AD68" s="19"/>
      <c r="AE68" s="19"/>
      <c r="AF68" s="19">
        <f>BB66/100*AF25</f>
        <v>7168011161.2335386</v>
      </c>
      <c r="AG68" s="33">
        <f t="shared" si="31"/>
        <v>5.9659364914376369E-3</v>
      </c>
      <c r="AH68" s="33"/>
      <c r="AI68" s="33">
        <f t="shared" si="27"/>
        <v>-9.3794351416761623E-3</v>
      </c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8">
        <f>AVERAGE(AG70:AG73)</f>
        <v>3.1395483946971238E-3</v>
      </c>
      <c r="AU68" s="34"/>
      <c r="AV68" s="34">
        <v>12517391</v>
      </c>
      <c r="AW68" s="34"/>
      <c r="AX68" s="34">
        <f t="shared" si="25"/>
        <v>-3.3559350103586597E-3</v>
      </c>
      <c r="AY68" s="39">
        <v>7371.2784573951903</v>
      </c>
      <c r="AZ68" s="28">
        <f t="shared" si="26"/>
        <v>2.8822512707648313E-3</v>
      </c>
      <c r="BA68" s="34"/>
      <c r="BB68" s="34">
        <f t="shared" si="30"/>
        <v>125.36521511675643</v>
      </c>
      <c r="BC68" s="34"/>
      <c r="BD68" s="34"/>
      <c r="BE68" s="33">
        <f t="shared" si="22"/>
        <v>1.104706465063578E-2</v>
      </c>
    </row>
    <row r="69" spans="1:57">
      <c r="A69" s="26">
        <f t="shared" si="28"/>
        <v>2029</v>
      </c>
      <c r="B69" s="26">
        <f t="shared" si="29"/>
        <v>2</v>
      </c>
      <c r="C69" s="19"/>
      <c r="D69" s="19">
        <v>118713240.14364199</v>
      </c>
      <c r="E69" s="19"/>
      <c r="F69" s="27">
        <v>22565846.862557601</v>
      </c>
      <c r="G69" s="19">
        <v>2564960.6685047899</v>
      </c>
      <c r="H69" s="19">
        <v>14111656.812367501</v>
      </c>
      <c r="I69" s="27">
        <v>79328.680469220999</v>
      </c>
      <c r="J69" s="19">
        <v>436442.99419693701</v>
      </c>
      <c r="K69" s="19"/>
      <c r="L69" s="27">
        <v>2211240.1729084998</v>
      </c>
      <c r="M69" s="27"/>
      <c r="N69" s="27">
        <v>988310.23111512896</v>
      </c>
      <c r="O69" s="19"/>
      <c r="P69" s="19">
        <v>16911527.061950602</v>
      </c>
      <c r="Q69" s="27"/>
      <c r="R69" s="27">
        <v>20940877.137421701</v>
      </c>
      <c r="S69" s="27"/>
      <c r="T69" s="19">
        <v>80069258.716352895</v>
      </c>
      <c r="U69" s="19"/>
      <c r="V69" s="27">
        <v>129495.428022262</v>
      </c>
      <c r="W69" s="27"/>
      <c r="X69" s="27">
        <v>325255.18062405998</v>
      </c>
      <c r="Y69" s="19"/>
      <c r="Z69" s="19">
        <f t="shared" si="23"/>
        <v>-4695024.7011372671</v>
      </c>
      <c r="AA69" s="19"/>
      <c r="AB69" s="19">
        <f t="shared" si="24"/>
        <v>-55555508.4892397</v>
      </c>
      <c r="AC69" s="13"/>
      <c r="AD69" s="19"/>
      <c r="AE69" s="19"/>
      <c r="AF69" s="19">
        <f>BB67/100*AF25</f>
        <v>7208253843.3883257</v>
      </c>
      <c r="AG69" s="33">
        <f t="shared" si="31"/>
        <v>5.6142047284231241E-3</v>
      </c>
      <c r="AH69" s="33">
        <f>(AF69-AF65)/AF65</f>
        <v>2.5821704276630674E-2</v>
      </c>
      <c r="AI69" s="33">
        <f t="shared" si="27"/>
        <v>-7.610908476722536E-3</v>
      </c>
      <c r="AJ69" s="40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>
        <v>12541355</v>
      </c>
      <c r="AW69" s="26"/>
      <c r="AX69" s="26">
        <f t="shared" si="25"/>
        <v>1.9144564550232553E-3</v>
      </c>
      <c r="AY69" s="32">
        <v>7384.1241692223402</v>
      </c>
      <c r="AZ69" s="33">
        <f t="shared" si="26"/>
        <v>1.7426708136717474E-3</v>
      </c>
      <c r="BA69" s="26"/>
      <c r="BB69" s="26">
        <f t="shared" si="30"/>
        <v>125.82410991538457</v>
      </c>
      <c r="BC69" s="26"/>
      <c r="BD69" s="26"/>
      <c r="BE69" s="33">
        <f t="shared" si="22"/>
        <v>9.3617133212350202E-3</v>
      </c>
    </row>
    <row r="70" spans="1:57" s="34" customFormat="1">
      <c r="A70" s="26">
        <f t="shared" si="28"/>
        <v>2029</v>
      </c>
      <c r="B70" s="26">
        <f t="shared" si="29"/>
        <v>3</v>
      </c>
      <c r="C70" s="19"/>
      <c r="D70" s="19">
        <v>118777046.210742</v>
      </c>
      <c r="E70" s="19"/>
      <c r="F70" s="27">
        <v>22579737.9136368</v>
      </c>
      <c r="G70" s="19">
        <v>2661483.59116157</v>
      </c>
      <c r="H70" s="19">
        <v>14642697.4539588</v>
      </c>
      <c r="I70" s="27">
        <v>82313.925499842502</v>
      </c>
      <c r="J70" s="19">
        <v>452866.931565737</v>
      </c>
      <c r="K70" s="19"/>
      <c r="L70" s="27">
        <v>2197960.5826211399</v>
      </c>
      <c r="M70" s="27"/>
      <c r="N70" s="27">
        <v>990603.77421207004</v>
      </c>
      <c r="O70" s="19"/>
      <c r="P70" s="19">
        <v>16855237.602235802</v>
      </c>
      <c r="Q70" s="27"/>
      <c r="R70" s="27">
        <v>17770464.425225198</v>
      </c>
      <c r="S70" s="27"/>
      <c r="T70" s="19">
        <v>67946910.926210001</v>
      </c>
      <c r="U70" s="19"/>
      <c r="V70" s="27">
        <v>131690.49029815401</v>
      </c>
      <c r="W70" s="27"/>
      <c r="X70" s="27">
        <v>330768.54420708597</v>
      </c>
      <c r="Y70" s="19"/>
      <c r="Z70" s="19">
        <f t="shared" si="23"/>
        <v>-7866147.3549466562</v>
      </c>
      <c r="AA70" s="19"/>
      <c r="AB70" s="19">
        <f t="shared" si="24"/>
        <v>-67685372.886767805</v>
      </c>
      <c r="AC70" s="13"/>
      <c r="AD70" s="18"/>
      <c r="AE70" s="18"/>
      <c r="AF70" s="18">
        <f>BB68/100*AF25</f>
        <v>7204769687.8500986</v>
      </c>
      <c r="AG70" s="28">
        <f t="shared" si="31"/>
        <v>-4.8335638754216134E-4</v>
      </c>
      <c r="AH70" s="28"/>
      <c r="AI70" s="28">
        <f t="shared" si="27"/>
        <v>-9.7371296359916367E-3</v>
      </c>
      <c r="AT70" s="19"/>
      <c r="AU70"/>
      <c r="AV70" s="26">
        <v>12521876</v>
      </c>
      <c r="AW70"/>
      <c r="AX70" s="26">
        <f t="shared" si="25"/>
        <v>-1.5531814544760116E-3</v>
      </c>
      <c r="AY70" s="32">
        <v>7415.4924624534697</v>
      </c>
      <c r="AZ70" s="33">
        <f t="shared" si="26"/>
        <v>4.2480722848452562E-3</v>
      </c>
      <c r="BA70" s="26"/>
      <c r="BB70" s="26">
        <f t="shared" si="30"/>
        <v>126.16236196454911</v>
      </c>
      <c r="BC70" s="26"/>
      <c r="BD70"/>
      <c r="BE70" s="28">
        <f t="shared" si="22"/>
        <v>1.109458694194379E-2</v>
      </c>
    </row>
    <row r="71" spans="1:57" s="26" customFormat="1">
      <c r="A71" s="26">
        <f t="shared" si="28"/>
        <v>2029</v>
      </c>
      <c r="B71" s="26">
        <f t="shared" si="29"/>
        <v>4</v>
      </c>
      <c r="C71" s="19"/>
      <c r="D71" s="19">
        <v>119431337.214141</v>
      </c>
      <c r="E71" s="19"/>
      <c r="F71" s="27">
        <v>22705167.124736398</v>
      </c>
      <c r="G71" s="19">
        <v>2764230.0850729099</v>
      </c>
      <c r="H71" s="19">
        <v>15207978.348342299</v>
      </c>
      <c r="I71" s="27">
        <v>85491.652115656107</v>
      </c>
      <c r="J71" s="19">
        <v>470349.845825014</v>
      </c>
      <c r="K71" s="19"/>
      <c r="L71" s="27">
        <v>2215550.5274503399</v>
      </c>
      <c r="M71" s="27"/>
      <c r="N71" s="27">
        <v>997107.85045412905</v>
      </c>
      <c r="O71" s="19"/>
      <c r="P71" s="19">
        <v>16982295.418044601</v>
      </c>
      <c r="Q71" s="27"/>
      <c r="R71" s="27">
        <v>21178315.116939601</v>
      </c>
      <c r="S71" s="27"/>
      <c r="T71" s="19">
        <v>80977123.410193101</v>
      </c>
      <c r="U71" s="19"/>
      <c r="V71" s="27">
        <v>129020.23128363999</v>
      </c>
      <c r="W71" s="27"/>
      <c r="X71" s="27">
        <v>324061.623419663</v>
      </c>
      <c r="Y71" s="19"/>
      <c r="Z71" s="19">
        <f t="shared" si="23"/>
        <v>-4610490.1544176266</v>
      </c>
      <c r="AA71" s="19"/>
      <c r="AB71" s="19">
        <f t="shared" si="24"/>
        <v>-55436509.221992493</v>
      </c>
      <c r="AC71" s="13"/>
      <c r="AD71" s="19"/>
      <c r="AE71" s="19"/>
      <c r="AF71" s="19">
        <f>BB69/100*AF25</f>
        <v>7231142484.5783539</v>
      </c>
      <c r="AG71" s="33">
        <f t="shared" si="31"/>
        <v>3.6604635360835396E-3</v>
      </c>
      <c r="AH71" s="33"/>
      <c r="AI71" s="33">
        <f t="shared" si="27"/>
        <v>-7.6828120324998863E-3</v>
      </c>
      <c r="AT71"/>
      <c r="AU71"/>
      <c r="AV71" s="26">
        <v>12593153</v>
      </c>
      <c r="AW71"/>
      <c r="AX71" s="26">
        <f t="shared" si="25"/>
        <v>5.6921981977780325E-3</v>
      </c>
      <c r="AY71" s="32">
        <v>7422.8703737830201</v>
      </c>
      <c r="AZ71" s="33">
        <f t="shared" si="26"/>
        <v>9.9493207860525666E-4</v>
      </c>
      <c r="BB71" s="26">
        <f t="shared" si="30"/>
        <v>127.00674061666868</v>
      </c>
      <c r="BC71" s="40" t="e">
        <f>(BA71-BA67)/BA67</f>
        <v>#DIV/0!</v>
      </c>
      <c r="BD71"/>
      <c r="BE71" s="33">
        <f t="shared" si="22"/>
        <v>9.3706215355033717E-3</v>
      </c>
    </row>
    <row r="72" spans="1:57">
      <c r="A72" s="34">
        <f t="shared" si="28"/>
        <v>2030</v>
      </c>
      <c r="B72" s="34">
        <f t="shared" si="29"/>
        <v>1</v>
      </c>
      <c r="C72" s="18"/>
      <c r="D72" s="18">
        <v>119060511.71332499</v>
      </c>
      <c r="E72" s="18"/>
      <c r="F72" s="38">
        <v>22635836.310017601</v>
      </c>
      <c r="G72" s="18">
        <v>2832629.6534545701</v>
      </c>
      <c r="H72" s="18">
        <v>15584292.592442799</v>
      </c>
      <c r="I72" s="38">
        <v>87607.102684162106</v>
      </c>
      <c r="J72" s="18">
        <v>481988.430694109</v>
      </c>
      <c r="K72" s="18"/>
      <c r="L72" s="38">
        <v>2740405.7015338</v>
      </c>
      <c r="M72" s="38"/>
      <c r="N72" s="38">
        <v>995178.96005350002</v>
      </c>
      <c r="O72" s="18"/>
      <c r="P72" s="18">
        <v>19695159.225550599</v>
      </c>
      <c r="Q72" s="38"/>
      <c r="R72" s="38">
        <v>18145879.520717401</v>
      </c>
      <c r="S72" s="38"/>
      <c r="T72" s="18">
        <v>69382343.081688896</v>
      </c>
      <c r="U72" s="18"/>
      <c r="V72" s="38">
        <v>128618.145049614</v>
      </c>
      <c r="W72" s="38"/>
      <c r="X72" s="38">
        <v>323051.69872446702</v>
      </c>
      <c r="Y72" s="18"/>
      <c r="Z72" s="18">
        <f t="shared" si="23"/>
        <v>-8096923.3058378864</v>
      </c>
      <c r="AA72" s="18"/>
      <c r="AB72" s="18">
        <f t="shared" si="24"/>
        <v>-69373327.857186705</v>
      </c>
      <c r="AC72" s="13"/>
      <c r="AD72" s="19"/>
      <c r="AE72" s="19"/>
      <c r="AF72" s="19">
        <f>BB70/100*AF25</f>
        <v>7250581912.8791313</v>
      </c>
      <c r="AG72" s="33">
        <f t="shared" si="31"/>
        <v>2.688292803279058E-3</v>
      </c>
      <c r="AH72" s="33"/>
      <c r="AI72" s="33">
        <f t="shared" si="27"/>
        <v>-9.3351642254449942E-3</v>
      </c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8">
        <f>AVERAGE(AG74:AG77)</f>
        <v>4.8328025250399557E-3</v>
      </c>
      <c r="AU72" s="34"/>
      <c r="AV72" s="34">
        <v>12638222</v>
      </c>
      <c r="AW72" s="34"/>
      <c r="AX72" s="34">
        <f t="shared" si="25"/>
        <v>3.5788495541982219E-3</v>
      </c>
      <c r="AY72" s="39">
        <v>7460.7095638892097</v>
      </c>
      <c r="AZ72" s="28">
        <f t="shared" si="26"/>
        <v>5.0976493190335818E-3</v>
      </c>
      <c r="BA72" s="34"/>
      <c r="BB72" s="34">
        <f t="shared" si="30"/>
        <v>128.11103153393506</v>
      </c>
      <c r="BC72" s="34"/>
      <c r="BD72" s="34"/>
      <c r="BE72" s="33">
        <f t="shared" si="22"/>
        <v>1.1104394632499489E-2</v>
      </c>
    </row>
    <row r="73" spans="1:57">
      <c r="A73" s="26">
        <f t="shared" si="28"/>
        <v>2030</v>
      </c>
      <c r="B73" s="26">
        <f t="shared" si="29"/>
        <v>2</v>
      </c>
      <c r="C73" s="19"/>
      <c r="D73" s="19">
        <v>119735965.432872</v>
      </c>
      <c r="E73" s="19"/>
      <c r="F73" s="27">
        <v>22767564.6074857</v>
      </c>
      <c r="G73" s="19">
        <v>2940969.3912779102</v>
      </c>
      <c r="H73" s="19">
        <v>16180345.8645564</v>
      </c>
      <c r="I73" s="27">
        <v>90957.816225090093</v>
      </c>
      <c r="J73" s="19">
        <v>500423.06797597097</v>
      </c>
      <c r="K73" s="19"/>
      <c r="L73" s="27">
        <v>2145645.69875596</v>
      </c>
      <c r="M73" s="27"/>
      <c r="N73" s="27">
        <v>1004135.54849621</v>
      </c>
      <c r="O73" s="19"/>
      <c r="P73" s="19">
        <v>16658223.250757299</v>
      </c>
      <c r="Q73" s="27"/>
      <c r="R73" s="27">
        <v>21356707.5938401</v>
      </c>
      <c r="S73" s="27"/>
      <c r="T73" s="19">
        <v>81659222.507201195</v>
      </c>
      <c r="U73" s="19"/>
      <c r="V73" s="27">
        <v>134674.80324544301</v>
      </c>
      <c r="W73" s="27"/>
      <c r="X73" s="27">
        <v>338264.27792937902</v>
      </c>
      <c r="Y73" s="19"/>
      <c r="Z73" s="19">
        <f t="shared" si="23"/>
        <v>-4425963.4576523267</v>
      </c>
      <c r="AA73" s="19"/>
      <c r="AB73" s="19">
        <f t="shared" si="24"/>
        <v>-54734966.176428102</v>
      </c>
      <c r="AC73" s="13"/>
      <c r="AD73" s="19"/>
      <c r="AE73" s="19"/>
      <c r="AF73" s="19">
        <f>BB71/100*AF25</f>
        <v>7299108561.2974586</v>
      </c>
      <c r="AG73" s="33">
        <f t="shared" si="31"/>
        <v>6.6927936269680598E-3</v>
      </c>
      <c r="AH73" s="33">
        <f>(AF73-AF69)/AF69</f>
        <v>1.260426170929985E-2</v>
      </c>
      <c r="AI73" s="33">
        <f t="shared" si="27"/>
        <v>-7.5949698180867078E-3</v>
      </c>
      <c r="AJ73" s="40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>
        <v>12689538</v>
      </c>
      <c r="AW73" s="26"/>
      <c r="AX73" s="26">
        <f t="shared" si="25"/>
        <v>4.0603812783158895E-3</v>
      </c>
      <c r="AY73" s="32">
        <v>7460.1759002466997</v>
      </c>
      <c r="AZ73" s="33">
        <f t="shared" si="26"/>
        <v>-7.1529877679860985E-5</v>
      </c>
      <c r="BA73" s="26"/>
      <c r="BB73" s="26">
        <f t="shared" si="30"/>
        <v>128.62201019312056</v>
      </c>
      <c r="BC73" s="26"/>
      <c r="BD73" s="26"/>
      <c r="BE73" s="33">
        <f t="shared" ref="BE73:BE104" si="32">T78/AF80</f>
        <v>9.4408946896123568E-3</v>
      </c>
    </row>
    <row r="74" spans="1:57" s="34" customFormat="1">
      <c r="A74" s="26">
        <f t="shared" si="28"/>
        <v>2030</v>
      </c>
      <c r="B74" s="26">
        <f t="shared" si="29"/>
        <v>3</v>
      </c>
      <c r="C74" s="19"/>
      <c r="D74" s="19">
        <v>119689160.557062</v>
      </c>
      <c r="E74" s="19"/>
      <c r="F74" s="27">
        <v>22760129.709668498</v>
      </c>
      <c r="G74" s="19">
        <v>3018032.0205024099</v>
      </c>
      <c r="H74" s="19">
        <v>16604321.713398101</v>
      </c>
      <c r="I74" s="27">
        <v>93341.196510383394</v>
      </c>
      <c r="J74" s="19">
        <v>513535.72309478401</v>
      </c>
      <c r="K74" s="19"/>
      <c r="L74" s="27">
        <v>2149861.3180359802</v>
      </c>
      <c r="M74" s="27"/>
      <c r="N74" s="27">
        <v>1005207.99089736</v>
      </c>
      <c r="O74" s="19"/>
      <c r="P74" s="19">
        <v>16685998.380911</v>
      </c>
      <c r="Q74" s="27"/>
      <c r="R74" s="27">
        <v>18130964.986058</v>
      </c>
      <c r="S74" s="27"/>
      <c r="T74" s="19">
        <v>69325316.065750897</v>
      </c>
      <c r="U74" s="19"/>
      <c r="V74" s="27">
        <v>133649.61551324301</v>
      </c>
      <c r="W74" s="27"/>
      <c r="X74" s="27">
        <v>335689.30191591702</v>
      </c>
      <c r="Y74" s="19"/>
      <c r="Z74" s="19">
        <f t="shared" si="23"/>
        <v>-7650584.4170305971</v>
      </c>
      <c r="AA74" s="19"/>
      <c r="AB74" s="19">
        <f t="shared" si="24"/>
        <v>-67049842.872222103</v>
      </c>
      <c r="AC74" s="13"/>
      <c r="AD74" s="18"/>
      <c r="AE74" s="18"/>
      <c r="AF74" s="18">
        <f>BB72/100*AF25</f>
        <v>7362572431.3979425</v>
      </c>
      <c r="AG74" s="28">
        <f t="shared" si="31"/>
        <v>8.6947425932246761E-3</v>
      </c>
      <c r="AH74" s="28"/>
      <c r="AI74" s="28">
        <f t="shared" si="27"/>
        <v>-9.4224306115267224E-3</v>
      </c>
      <c r="AT74" s="19"/>
      <c r="AU74"/>
      <c r="AV74" s="26">
        <v>12696447</v>
      </c>
      <c r="AW74"/>
      <c r="AX74" s="26">
        <f t="shared" si="25"/>
        <v>5.4446426654776556E-4</v>
      </c>
      <c r="AY74" s="32">
        <v>7469.4882707262204</v>
      </c>
      <c r="AZ74" s="33">
        <f t="shared" si="26"/>
        <v>1.2482776014990174E-3</v>
      </c>
      <c r="BA74" s="26"/>
      <c r="BB74" s="26">
        <f t="shared" si="30"/>
        <v>128.85268367293693</v>
      </c>
      <c r="BC74" s="26"/>
      <c r="BD74"/>
      <c r="BE74" s="28">
        <f t="shared" si="32"/>
        <v>1.1129659812996516E-2</v>
      </c>
    </row>
    <row r="75" spans="1:57" s="26" customFormat="1">
      <c r="A75" s="26">
        <f t="shared" si="28"/>
        <v>2030</v>
      </c>
      <c r="B75" s="26">
        <f t="shared" si="29"/>
        <v>4</v>
      </c>
      <c r="C75" s="19"/>
      <c r="D75" s="19">
        <v>120110356.645265</v>
      </c>
      <c r="E75" s="19"/>
      <c r="F75" s="27">
        <v>22841813.5534412</v>
      </c>
      <c r="G75" s="19">
        <v>3102670.4519648501</v>
      </c>
      <c r="H75" s="19">
        <v>17069977.3909299</v>
      </c>
      <c r="I75" s="27">
        <v>95958.879957675497</v>
      </c>
      <c r="J75" s="19">
        <v>527937.44508030405</v>
      </c>
      <c r="K75" s="19"/>
      <c r="L75" s="27">
        <v>2156279.7305806</v>
      </c>
      <c r="M75" s="27"/>
      <c r="N75" s="27">
        <v>1010334.45984633</v>
      </c>
      <c r="O75" s="19"/>
      <c r="P75" s="19">
        <v>16747507.873721199</v>
      </c>
      <c r="Q75" s="27"/>
      <c r="R75" s="27">
        <v>21591354.823061202</v>
      </c>
      <c r="S75" s="27"/>
      <c r="T75" s="19">
        <v>82556416.525402203</v>
      </c>
      <c r="U75" s="19"/>
      <c r="V75" s="27">
        <v>132229.258231771</v>
      </c>
      <c r="W75" s="27"/>
      <c r="X75" s="27">
        <v>332121.77392522601</v>
      </c>
      <c r="Y75" s="19"/>
      <c r="Z75" s="19">
        <f t="shared" si="23"/>
        <v>-4284843.6625751592</v>
      </c>
      <c r="AA75" s="19"/>
      <c r="AB75" s="19">
        <f t="shared" si="24"/>
        <v>-54301447.993583992</v>
      </c>
      <c r="AC75" s="13"/>
      <c r="AD75" s="19"/>
      <c r="AE75" s="19"/>
      <c r="AF75" s="19">
        <f>BB73/100*AF25</f>
        <v>7391938500.3781567</v>
      </c>
      <c r="AG75" s="33">
        <f t="shared" si="31"/>
        <v>3.9885609620601507E-3</v>
      </c>
      <c r="AH75" s="33"/>
      <c r="AI75" s="33">
        <f t="shared" si="27"/>
        <v>-7.4046836528236766E-3</v>
      </c>
      <c r="AT75"/>
      <c r="AU75"/>
      <c r="AV75" s="26">
        <v>12738054</v>
      </c>
      <c r="AW75"/>
      <c r="AX75" s="26">
        <f t="shared" si="25"/>
        <v>3.2770585345648275E-3</v>
      </c>
      <c r="AY75" s="32">
        <v>7481.2323534173602</v>
      </c>
      <c r="AZ75" s="33">
        <f t="shared" si="26"/>
        <v>1.572274065569678E-3</v>
      </c>
      <c r="BB75" s="26">
        <f t="shared" si="30"/>
        <v>129.47819709745397</v>
      </c>
      <c r="BC75" s="40" t="e">
        <f>(BA75-BA71)/BA71</f>
        <v>#DIV/0!</v>
      </c>
      <c r="BD75"/>
      <c r="BE75" s="33">
        <f t="shared" si="32"/>
        <v>9.414595784969379E-3</v>
      </c>
    </row>
    <row r="76" spans="1:57">
      <c r="A76" s="34">
        <f t="shared" si="28"/>
        <v>2031</v>
      </c>
      <c r="B76" s="34">
        <f t="shared" si="29"/>
        <v>1</v>
      </c>
      <c r="C76" s="18"/>
      <c r="D76" s="18">
        <v>120186726.66930699</v>
      </c>
      <c r="E76" s="18"/>
      <c r="F76" s="38">
        <v>22858533.3696885</v>
      </c>
      <c r="G76" s="18">
        <v>3180716.7903121002</v>
      </c>
      <c r="H76" s="18">
        <v>17499365.317123901</v>
      </c>
      <c r="I76" s="38">
        <v>98372.684236457106</v>
      </c>
      <c r="J76" s="18">
        <v>541217.48403476004</v>
      </c>
      <c r="K76" s="18"/>
      <c r="L76" s="38">
        <v>2621932.9016391998</v>
      </c>
      <c r="M76" s="38"/>
      <c r="N76" s="38">
        <v>1013173.12021478</v>
      </c>
      <c r="O76" s="18"/>
      <c r="P76" s="18">
        <v>19179401.863773402</v>
      </c>
      <c r="Q76" s="38"/>
      <c r="R76" s="38">
        <v>18342106.076591</v>
      </c>
      <c r="S76" s="38"/>
      <c r="T76" s="18">
        <v>70132632.325360894</v>
      </c>
      <c r="U76" s="18"/>
      <c r="V76" s="38">
        <v>133258.643813726</v>
      </c>
      <c r="W76" s="38"/>
      <c r="X76" s="38">
        <v>334707.29372699902</v>
      </c>
      <c r="Y76" s="18"/>
      <c r="Z76" s="18">
        <f t="shared" si="23"/>
        <v>-8018274.6711377539</v>
      </c>
      <c r="AA76" s="18"/>
      <c r="AB76" s="18">
        <f t="shared" si="24"/>
        <v>-69233496.207719505</v>
      </c>
      <c r="AC76" s="13"/>
      <c r="AD76" s="19"/>
      <c r="AE76" s="19"/>
      <c r="AF76" s="19">
        <f>BB74/100*AF25</f>
        <v>7405195361.8897333</v>
      </c>
      <c r="AG76" s="33">
        <f t="shared" si="31"/>
        <v>1.793421510595422E-3</v>
      </c>
      <c r="AH76" s="33"/>
      <c r="AI76" s="33">
        <f t="shared" si="27"/>
        <v>-9.0544326780747676E-3</v>
      </c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8">
        <f>AVERAGE(AG78:AG81)</f>
        <v>3.5514053783883021E-3</v>
      </c>
      <c r="AU76" s="34"/>
      <c r="AV76" s="34">
        <v>12802710</v>
      </c>
      <c r="AW76" s="34"/>
      <c r="AX76" s="34">
        <f t="shared" si="25"/>
        <v>5.0758145631978006E-3</v>
      </c>
      <c r="AY76" s="39">
        <v>7486.6299467582703</v>
      </c>
      <c r="AZ76" s="28">
        <f t="shared" si="26"/>
        <v>7.214845209886526E-4</v>
      </c>
      <c r="BA76" s="34"/>
      <c r="BB76" s="34">
        <f t="shared" si="30"/>
        <v>130.2292950958165</v>
      </c>
      <c r="BC76" s="34"/>
      <c r="BD76" s="34"/>
      <c r="BE76" s="33">
        <f t="shared" si="32"/>
        <v>1.1169554526013203E-2</v>
      </c>
    </row>
    <row r="77" spans="1:57">
      <c r="A77" s="26">
        <f t="shared" si="28"/>
        <v>2031</v>
      </c>
      <c r="B77" s="26">
        <f t="shared" si="29"/>
        <v>2</v>
      </c>
      <c r="C77" s="19"/>
      <c r="D77" s="19">
        <v>120305601.22389901</v>
      </c>
      <c r="E77" s="19"/>
      <c r="F77" s="27">
        <v>22883320.820433602</v>
      </c>
      <c r="G77" s="19">
        <v>3290344.6874015001</v>
      </c>
      <c r="H77" s="19">
        <v>18102505.6614508</v>
      </c>
      <c r="I77" s="27">
        <v>101763.237754685</v>
      </c>
      <c r="J77" s="19">
        <v>559871.30911703501</v>
      </c>
      <c r="K77" s="19"/>
      <c r="L77" s="27">
        <v>2150257.3177733002</v>
      </c>
      <c r="M77" s="27"/>
      <c r="N77" s="27">
        <v>1016353.71351801</v>
      </c>
      <c r="O77" s="19"/>
      <c r="P77" s="19">
        <v>16749373.702769401</v>
      </c>
      <c r="Q77" s="27"/>
      <c r="R77" s="27">
        <v>21821533.339259401</v>
      </c>
      <c r="S77" s="27"/>
      <c r="T77" s="19">
        <v>83436524.032049507</v>
      </c>
      <c r="U77" s="19"/>
      <c r="V77" s="27">
        <v>135005.050315411</v>
      </c>
      <c r="W77" s="27"/>
      <c r="X77" s="27">
        <v>339093.76335626602</v>
      </c>
      <c r="Y77" s="19"/>
      <c r="Z77" s="19">
        <f t="shared" si="23"/>
        <v>-4093393.4621501006</v>
      </c>
      <c r="AA77" s="19"/>
      <c r="AB77" s="19">
        <f t="shared" si="24"/>
        <v>-53618450.894618899</v>
      </c>
      <c r="AC77" s="13"/>
      <c r="AD77" s="19"/>
      <c r="AE77" s="19"/>
      <c r="AF77" s="19">
        <f>BB75/100*AF25</f>
        <v>7441143771.9499435</v>
      </c>
      <c r="AG77" s="33">
        <f t="shared" si="31"/>
        <v>4.8544850342795744E-3</v>
      </c>
      <c r="AH77" s="33">
        <f>(AF77-AF73)/AF73</f>
        <v>1.9459254436303017E-2</v>
      </c>
      <c r="AI77" s="33">
        <f t="shared" si="27"/>
        <v>-7.2974598607109505E-3</v>
      </c>
      <c r="AJ77" s="40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>
        <v>12829364</v>
      </c>
      <c r="AW77" s="26"/>
      <c r="AX77" s="26">
        <f t="shared" si="25"/>
        <v>2.0819029721051248E-3</v>
      </c>
      <c r="AY77" s="32">
        <v>7500.5432826073802</v>
      </c>
      <c r="AZ77" s="33">
        <f t="shared" si="26"/>
        <v>1.8584244109907434E-3</v>
      </c>
      <c r="BA77" s="26"/>
      <c r="BB77" s="26">
        <f t="shared" si="30"/>
        <v>130.74294501822973</v>
      </c>
      <c r="BC77" s="26"/>
      <c r="BD77" s="26"/>
      <c r="BE77" s="33">
        <f t="shared" si="32"/>
        <v>9.3972146151332734E-3</v>
      </c>
    </row>
    <row r="78" spans="1:57" s="34" customFormat="1">
      <c r="A78" s="26">
        <f t="shared" si="28"/>
        <v>2031</v>
      </c>
      <c r="B78" s="26">
        <f t="shared" si="29"/>
        <v>3</v>
      </c>
      <c r="C78" s="19"/>
      <c r="D78" s="19">
        <v>120195677.38143601</v>
      </c>
      <c r="E78" s="19"/>
      <c r="F78" s="27">
        <v>22864849.1939268</v>
      </c>
      <c r="G78" s="19">
        <v>3413090.1746547399</v>
      </c>
      <c r="H78" s="19">
        <v>18777815.1165445</v>
      </c>
      <c r="I78" s="27">
        <v>105559.489937776</v>
      </c>
      <c r="J78" s="19">
        <v>580757.16855292302</v>
      </c>
      <c r="K78" s="19"/>
      <c r="L78" s="27">
        <v>2141574.8643797999</v>
      </c>
      <c r="M78" s="27"/>
      <c r="N78" s="27">
        <v>1017862.04657202</v>
      </c>
      <c r="O78" s="19"/>
      <c r="P78" s="19">
        <v>16712618.8142689</v>
      </c>
      <c r="Q78" s="27"/>
      <c r="R78" s="27">
        <v>18585061.050577998</v>
      </c>
      <c r="S78" s="27"/>
      <c r="T78" s="19">
        <v>71061591.725720897</v>
      </c>
      <c r="U78" s="19"/>
      <c r="V78" s="27">
        <v>128507.621725271</v>
      </c>
      <c r="W78" s="27"/>
      <c r="X78" s="27">
        <v>322774.09599847603</v>
      </c>
      <c r="Y78" s="19"/>
      <c r="Z78" s="19">
        <f t="shared" ref="Z78:Z109" si="33">R78+V78-N78-L78-F78</f>
        <v>-7310717.4325753488</v>
      </c>
      <c r="AA78" s="19"/>
      <c r="AB78" s="19">
        <f t="shared" ref="AB78:AB109" si="34">T78-P78-D78</f>
        <v>-65846704.46998401</v>
      </c>
      <c r="AC78" s="13"/>
      <c r="AD78" s="18"/>
      <c r="AE78" s="18"/>
      <c r="AF78" s="18">
        <f>BB76/100*AF25</f>
        <v>7484309558.2979927</v>
      </c>
      <c r="AG78" s="28">
        <f t="shared" si="31"/>
        <v>5.8009612058251654E-3</v>
      </c>
      <c r="AH78" s="28"/>
      <c r="AI78" s="28">
        <f t="shared" si="27"/>
        <v>-9.2504853879218623E-3</v>
      </c>
      <c r="AT78" s="19"/>
      <c r="AU78"/>
      <c r="AV78" s="26">
        <v>12790735</v>
      </c>
      <c r="AW78"/>
      <c r="AX78" s="26">
        <f t="shared" si="25"/>
        <v>-3.0109832412581012E-3</v>
      </c>
      <c r="AY78" s="32">
        <v>7536.3803737087501</v>
      </c>
      <c r="AZ78" s="33">
        <f t="shared" si="26"/>
        <v>4.7779327111504904E-3</v>
      </c>
      <c r="BA78" s="26"/>
      <c r="BB78" s="26">
        <f t="shared" si="30"/>
        <v>130.97208029161854</v>
      </c>
      <c r="BC78" s="26"/>
      <c r="BD78"/>
      <c r="BE78" s="28">
        <f t="shared" si="32"/>
        <v>1.1121186062968727E-2</v>
      </c>
    </row>
    <row r="79" spans="1:57" s="26" customFormat="1">
      <c r="A79" s="26">
        <f t="shared" si="28"/>
        <v>2031</v>
      </c>
      <c r="B79" s="26">
        <f t="shared" si="29"/>
        <v>4</v>
      </c>
      <c r="C79" s="19"/>
      <c r="D79" s="19">
        <v>119776198.919084</v>
      </c>
      <c r="E79" s="19"/>
      <c r="F79" s="27">
        <v>22787199.995825902</v>
      </c>
      <c r="G79" s="19">
        <v>3535037.2068542498</v>
      </c>
      <c r="H79" s="19">
        <v>19448731.7075148</v>
      </c>
      <c r="I79" s="27">
        <v>109331.04763466799</v>
      </c>
      <c r="J79" s="19">
        <v>601507.166211801</v>
      </c>
      <c r="K79" s="19"/>
      <c r="L79" s="27">
        <v>2075517.86540498</v>
      </c>
      <c r="M79" s="27"/>
      <c r="N79" s="27">
        <v>1016458.02446462</v>
      </c>
      <c r="O79" s="19"/>
      <c r="P79" s="19">
        <v>16362124.2171854</v>
      </c>
      <c r="Q79" s="27"/>
      <c r="R79" s="27">
        <v>21968842.014679998</v>
      </c>
      <c r="S79" s="27"/>
      <c r="T79" s="19">
        <v>83999771.520013303</v>
      </c>
      <c r="U79" s="19"/>
      <c r="V79" s="27">
        <v>132956.896797352</v>
      </c>
      <c r="W79" s="27"/>
      <c r="X79" s="27">
        <v>333949.39221794601</v>
      </c>
      <c r="Y79" s="19"/>
      <c r="Z79" s="19">
        <f t="shared" si="33"/>
        <v>-3777376.9742181487</v>
      </c>
      <c r="AA79" s="19"/>
      <c r="AB79" s="19">
        <f t="shared" si="34"/>
        <v>-52138551.616256103</v>
      </c>
      <c r="AC79" s="13"/>
      <c r="AD79" s="19"/>
      <c r="AE79" s="19"/>
      <c r="AF79" s="19">
        <f>BB77/100*AF25</f>
        <v>7513829145.4316568</v>
      </c>
      <c r="AG79" s="33">
        <f t="shared" si="31"/>
        <v>3.9441964424006513E-3</v>
      </c>
      <c r="AH79" s="33"/>
      <c r="AI79" s="33">
        <f t="shared" si="27"/>
        <v>-7.1359688724381568E-3</v>
      </c>
      <c r="AT79"/>
      <c r="AU79"/>
      <c r="AV79" s="26">
        <v>12772000</v>
      </c>
      <c r="AW79"/>
      <c r="AX79" s="26">
        <f t="shared" ref="AX79:AX115" si="35">(AV79-AV78)/AV78</f>
        <v>-1.4647320892818123E-3</v>
      </c>
      <c r="AY79" s="32">
        <v>7567.8730496812695</v>
      </c>
      <c r="AZ79" s="33">
        <f t="shared" ref="AZ79:AZ110" si="36">(AY79-AY78)/AY78</f>
        <v>4.1787535144038263E-3</v>
      </c>
      <c r="BB79" s="26">
        <f t="shared" si="30"/>
        <v>131.32673967569056</v>
      </c>
      <c r="BC79" s="40" t="e">
        <f>(BA79-BA75)/BA75</f>
        <v>#DIV/0!</v>
      </c>
      <c r="BD79"/>
      <c r="BE79" s="33">
        <f t="shared" si="32"/>
        <v>9.3972333789999196E-3</v>
      </c>
    </row>
    <row r="80" spans="1:57">
      <c r="A80" s="34">
        <f t="shared" si="28"/>
        <v>2032</v>
      </c>
      <c r="B80" s="34">
        <f t="shared" si="29"/>
        <v>1</v>
      </c>
      <c r="C80" s="18"/>
      <c r="D80" s="18">
        <v>120119483.709961</v>
      </c>
      <c r="E80" s="18"/>
      <c r="F80" s="38">
        <v>22853995.286750998</v>
      </c>
      <c r="G80" s="18">
        <v>3589729.9150612899</v>
      </c>
      <c r="H80" s="18">
        <v>19749634.851112101</v>
      </c>
      <c r="I80" s="38">
        <v>111022.574692617</v>
      </c>
      <c r="J80" s="18">
        <v>610813.44900346606</v>
      </c>
      <c r="K80" s="18"/>
      <c r="L80" s="38">
        <v>2623364.3485235102</v>
      </c>
      <c r="M80" s="38"/>
      <c r="N80" s="38">
        <v>1020857.2411086001</v>
      </c>
      <c r="O80" s="18"/>
      <c r="P80" s="18">
        <v>19229105.4144364</v>
      </c>
      <c r="Q80" s="38"/>
      <c r="R80" s="38">
        <v>18641023.7997903</v>
      </c>
      <c r="S80" s="38"/>
      <c r="T80" s="18">
        <v>71275570.147720501</v>
      </c>
      <c r="U80" s="18"/>
      <c r="V80" s="38">
        <v>136022.37136993199</v>
      </c>
      <c r="W80" s="38"/>
      <c r="X80" s="38">
        <v>341648.98054342403</v>
      </c>
      <c r="Y80" s="18"/>
      <c r="Z80" s="18">
        <f t="shared" si="33"/>
        <v>-7721170.7052228767</v>
      </c>
      <c r="AA80" s="18"/>
      <c r="AB80" s="18">
        <f t="shared" si="34"/>
        <v>-68073018.976676896</v>
      </c>
      <c r="AC80" s="13"/>
      <c r="AD80" s="19"/>
      <c r="AE80" s="19"/>
      <c r="AF80" s="19">
        <f>BB78/100*AF25</f>
        <v>7526997605.8422365</v>
      </c>
      <c r="AG80" s="33">
        <f t="shared" si="31"/>
        <v>1.7525631945711716E-3</v>
      </c>
      <c r="AH80" s="33"/>
      <c r="AI80" s="33">
        <f t="shared" ref="AI80:AI111" si="37">AB78/AF80</f>
        <v>-8.7480703353586455E-3</v>
      </c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8">
        <f>AVERAGE(AG82:AG85)</f>
        <v>2.4844746415519552E-3</v>
      </c>
      <c r="AU80" s="34"/>
      <c r="AV80" s="34">
        <v>12763977</v>
      </c>
      <c r="AW80" s="34"/>
      <c r="AX80" s="34">
        <f t="shared" si="35"/>
        <v>-6.2817099906044478E-4</v>
      </c>
      <c r="AY80" s="39">
        <v>7596.0802101253903</v>
      </c>
      <c r="AZ80" s="28">
        <f t="shared" si="36"/>
        <v>3.7272243150681186E-3</v>
      </c>
      <c r="BA80" s="34"/>
      <c r="BB80" s="34">
        <f t="shared" si="30"/>
        <v>131.73342076397316</v>
      </c>
      <c r="BC80" s="34"/>
      <c r="BD80" s="34"/>
      <c r="BE80" s="33">
        <f t="shared" si="32"/>
        <v>1.1165158462976081E-2</v>
      </c>
    </row>
    <row r="81" spans="1:57">
      <c r="A81" s="26">
        <f t="shared" si="28"/>
        <v>2032</v>
      </c>
      <c r="B81" s="26">
        <f t="shared" si="29"/>
        <v>2</v>
      </c>
      <c r="C81" s="19"/>
      <c r="D81" s="19">
        <v>120291836.69103</v>
      </c>
      <c r="E81" s="19"/>
      <c r="F81" s="27">
        <v>22888630.5249766</v>
      </c>
      <c r="G81" s="19">
        <v>3639456.8318943102</v>
      </c>
      <c r="H81" s="19">
        <v>20023217.675714999</v>
      </c>
      <c r="I81" s="27">
        <v>112560.520574051</v>
      </c>
      <c r="J81" s="19">
        <v>619274.77347572194</v>
      </c>
      <c r="K81" s="19"/>
      <c r="L81" s="27">
        <v>2086834.09009708</v>
      </c>
      <c r="M81" s="27"/>
      <c r="N81" s="27">
        <v>1024165.2848438</v>
      </c>
      <c r="O81" s="19"/>
      <c r="P81" s="19">
        <v>16463247.233504601</v>
      </c>
      <c r="Q81" s="27"/>
      <c r="R81" s="27">
        <v>22150837.323724698</v>
      </c>
      <c r="S81" s="27"/>
      <c r="T81" s="19">
        <v>84695646.357988507</v>
      </c>
      <c r="U81" s="19"/>
      <c r="V81" s="27">
        <v>126391.33503920199</v>
      </c>
      <c r="W81" s="27"/>
      <c r="X81" s="27">
        <v>317458.59398545302</v>
      </c>
      <c r="Y81" s="19"/>
      <c r="Z81" s="19">
        <f t="shared" si="33"/>
        <v>-3722401.2411535792</v>
      </c>
      <c r="AA81" s="19"/>
      <c r="AB81" s="19">
        <f t="shared" si="34"/>
        <v>-52059437.566546082</v>
      </c>
      <c r="AC81" s="13"/>
      <c r="AD81" s="19"/>
      <c r="AE81" s="19"/>
      <c r="AF81" s="19">
        <f>BB79/100*AF25</f>
        <v>7547379967.7078772</v>
      </c>
      <c r="AG81" s="33">
        <f t="shared" si="31"/>
        <v>2.707900670756218E-3</v>
      </c>
      <c r="AH81" s="33">
        <f>(AF81-AF77)/AF77</f>
        <v>1.4276863747533067E-2</v>
      </c>
      <c r="AI81" s="33">
        <f t="shared" si="37"/>
        <v>-6.9081657262964682E-3</v>
      </c>
      <c r="AJ81" s="40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>
        <v>12788635</v>
      </c>
      <c r="AW81" s="26"/>
      <c r="AX81" s="26">
        <f t="shared" si="35"/>
        <v>1.9318430298017617E-3</v>
      </c>
      <c r="AY81" s="32">
        <v>7593.4226794222404</v>
      </c>
      <c r="AZ81" s="33">
        <f t="shared" si="36"/>
        <v>-3.4985553464896745E-4</v>
      </c>
      <c r="BA81" s="26"/>
      <c r="BB81" s="26">
        <f t="shared" si="30"/>
        <v>131.94173235417847</v>
      </c>
      <c r="BC81" s="26"/>
      <c r="BD81" s="26"/>
      <c r="BE81" s="33">
        <f t="shared" si="32"/>
        <v>9.4417636039385664E-3</v>
      </c>
    </row>
    <row r="82" spans="1:57" s="34" customFormat="1">
      <c r="A82" s="26">
        <f t="shared" ref="A82:A113" si="38">A78+1</f>
        <v>2032</v>
      </c>
      <c r="B82" s="26">
        <f t="shared" ref="B82:B113" si="39">B78</f>
        <v>3</v>
      </c>
      <c r="C82" s="19"/>
      <c r="D82" s="19">
        <v>120641155.33273301</v>
      </c>
      <c r="E82" s="19"/>
      <c r="F82" s="27">
        <v>22957489.125485599</v>
      </c>
      <c r="G82" s="19">
        <v>3718299.5377356899</v>
      </c>
      <c r="H82" s="19">
        <v>20456986.980895299</v>
      </c>
      <c r="I82" s="27">
        <v>114998.95477533</v>
      </c>
      <c r="J82" s="19">
        <v>632690.31899675797</v>
      </c>
      <c r="K82" s="19"/>
      <c r="L82" s="27">
        <v>2077419.47510864</v>
      </c>
      <c r="M82" s="27"/>
      <c r="N82" s="27">
        <v>1029531.08725987</v>
      </c>
      <c r="O82" s="19"/>
      <c r="P82" s="19">
        <v>16443915.8132999</v>
      </c>
      <c r="Q82" s="27"/>
      <c r="R82" s="27">
        <v>18674841.682381399</v>
      </c>
      <c r="S82" s="27"/>
      <c r="T82" s="19">
        <v>71404875.752861306</v>
      </c>
      <c r="U82" s="19"/>
      <c r="V82" s="27">
        <v>129151.17144509499</v>
      </c>
      <c r="W82" s="27"/>
      <c r="X82" s="27">
        <v>324390.50735414203</v>
      </c>
      <c r="Y82" s="19"/>
      <c r="Z82" s="19">
        <f t="shared" si="33"/>
        <v>-7260446.8340276163</v>
      </c>
      <c r="AA82" s="19"/>
      <c r="AB82" s="19">
        <f t="shared" si="34"/>
        <v>-65680195.393171601</v>
      </c>
      <c r="AC82" s="13"/>
      <c r="AD82" s="18"/>
      <c r="AE82" s="18"/>
      <c r="AF82" s="18">
        <f>BB80/100*AF25</f>
        <v>7570752029.6849709</v>
      </c>
      <c r="AG82" s="28">
        <f t="shared" si="31"/>
        <v>3.0967119817861431E-3</v>
      </c>
      <c r="AH82" s="28"/>
      <c r="AI82" s="28">
        <f t="shared" si="37"/>
        <v>-8.9915795299809215E-3</v>
      </c>
      <c r="AT82" s="19"/>
      <c r="AU82"/>
      <c r="AV82" s="26">
        <v>12816510</v>
      </c>
      <c r="AW82"/>
      <c r="AX82" s="26">
        <f t="shared" si="35"/>
        <v>2.1796696832773787E-3</v>
      </c>
      <c r="AY82" s="32">
        <v>7592.68661467734</v>
      </c>
      <c r="AZ82" s="33">
        <f t="shared" si="36"/>
        <v>-9.6934515036957843E-5</v>
      </c>
      <c r="BA82" s="26"/>
      <c r="BB82" s="26">
        <f t="shared" si="30"/>
        <v>132.21650416297265</v>
      </c>
      <c r="BC82" s="26"/>
      <c r="BD82"/>
      <c r="BE82" s="28">
        <f t="shared" si="32"/>
        <v>1.1187625652775288E-2</v>
      </c>
    </row>
    <row r="83" spans="1:57" s="26" customFormat="1">
      <c r="A83" s="26">
        <f t="shared" si="38"/>
        <v>2032</v>
      </c>
      <c r="B83" s="26">
        <f t="shared" si="39"/>
        <v>4</v>
      </c>
      <c r="C83" s="19"/>
      <c r="D83" s="19">
        <v>121331278.300459</v>
      </c>
      <c r="E83" s="19"/>
      <c r="F83" s="27">
        <v>23090654.1751252</v>
      </c>
      <c r="G83" s="19">
        <v>3802229.8090440901</v>
      </c>
      <c r="H83" s="19">
        <v>20918746.570200499</v>
      </c>
      <c r="I83" s="27">
        <v>117594.73636218801</v>
      </c>
      <c r="J83" s="19">
        <v>646971.54340826103</v>
      </c>
      <c r="K83" s="19"/>
      <c r="L83" s="27">
        <v>2064921.4656503701</v>
      </c>
      <c r="M83" s="27"/>
      <c r="N83" s="27">
        <v>1037258.1183743899</v>
      </c>
      <c r="O83" s="19"/>
      <c r="P83" s="19">
        <v>16421575.428157199</v>
      </c>
      <c r="Q83" s="27"/>
      <c r="R83" s="27">
        <v>22171067.7206042</v>
      </c>
      <c r="S83" s="27"/>
      <c r="T83" s="19">
        <v>84772999.033860296</v>
      </c>
      <c r="U83" s="19"/>
      <c r="V83" s="27">
        <v>136512.54456959499</v>
      </c>
      <c r="W83" s="27"/>
      <c r="X83" s="27">
        <v>342880.15430012299</v>
      </c>
      <c r="Y83" s="19"/>
      <c r="Z83" s="19">
        <f t="shared" si="33"/>
        <v>-3885253.4939761609</v>
      </c>
      <c r="AA83" s="19"/>
      <c r="AB83" s="19">
        <f t="shared" si="34"/>
        <v>-52979854.694755897</v>
      </c>
      <c r="AC83" s="13"/>
      <c r="AD83" s="19"/>
      <c r="AE83" s="19"/>
      <c r="AF83" s="19">
        <f>BB81/100*AF25</f>
        <v>7582723747.9111252</v>
      </c>
      <c r="AG83" s="33">
        <f t="shared" si="31"/>
        <v>1.5813116291767499E-3</v>
      </c>
      <c r="AH83" s="33"/>
      <c r="AI83" s="33">
        <f t="shared" si="37"/>
        <v>-6.8655326630997632E-3</v>
      </c>
      <c r="AT83"/>
      <c r="AU83"/>
      <c r="AV83" s="26">
        <v>12839009</v>
      </c>
      <c r="AW83"/>
      <c r="AX83" s="26">
        <f t="shared" si="35"/>
        <v>1.7554700928723967E-3</v>
      </c>
      <c r="AY83" s="32">
        <v>7603.4635926943602</v>
      </c>
      <c r="AZ83" s="33">
        <f t="shared" si="36"/>
        <v>1.4193892839179344E-3</v>
      </c>
      <c r="BB83" s="26">
        <f t="shared" si="30"/>
        <v>132.63660241424114</v>
      </c>
      <c r="BC83" s="40" t="e">
        <f>(BA83-BA79)/BA79</f>
        <v>#DIV/0!</v>
      </c>
      <c r="BD83"/>
      <c r="BE83" s="33">
        <f t="shared" si="32"/>
        <v>9.4191647372682367E-3</v>
      </c>
    </row>
    <row r="84" spans="1:57">
      <c r="A84" s="34">
        <f t="shared" si="38"/>
        <v>2033</v>
      </c>
      <c r="B84" s="34">
        <f t="shared" si="39"/>
        <v>1</v>
      </c>
      <c r="C84" s="18"/>
      <c r="D84" s="18">
        <v>121858815.15219299</v>
      </c>
      <c r="E84" s="18"/>
      <c r="F84" s="38">
        <v>23193219.238370299</v>
      </c>
      <c r="G84" s="18">
        <v>3850097.4049977199</v>
      </c>
      <c r="H84" s="18">
        <v>21182099.959913298</v>
      </c>
      <c r="I84" s="38">
        <v>119075.17747415599</v>
      </c>
      <c r="J84" s="18">
        <v>655116.49360556598</v>
      </c>
      <c r="K84" s="18"/>
      <c r="L84" s="38">
        <v>2524628.6402496798</v>
      </c>
      <c r="M84" s="38"/>
      <c r="N84" s="38">
        <v>1043937.11424449</v>
      </c>
      <c r="O84" s="18"/>
      <c r="P84" s="18">
        <v>18843744.007163901</v>
      </c>
      <c r="Q84" s="38"/>
      <c r="R84" s="38">
        <v>18783100.319453701</v>
      </c>
      <c r="S84" s="38"/>
      <c r="T84" s="18">
        <v>71818812.034667403</v>
      </c>
      <c r="U84" s="18"/>
      <c r="V84" s="38">
        <v>138517.55789179099</v>
      </c>
      <c r="W84" s="38"/>
      <c r="X84" s="38">
        <v>347916.16970409802</v>
      </c>
      <c r="Y84" s="18"/>
      <c r="Z84" s="18">
        <f t="shared" si="33"/>
        <v>-7840167.1155189797</v>
      </c>
      <c r="AA84" s="18"/>
      <c r="AB84" s="18">
        <f t="shared" si="34"/>
        <v>-68883747.12468949</v>
      </c>
      <c r="AC84" s="13"/>
      <c r="AD84" s="19"/>
      <c r="AE84" s="19"/>
      <c r="AF84" s="19">
        <f>BB82/100*AF25</f>
        <v>7598514951.214469</v>
      </c>
      <c r="AG84" s="33">
        <f t="shared" si="31"/>
        <v>2.0825238830168256E-3</v>
      </c>
      <c r="AH84" s="33"/>
      <c r="AI84" s="33">
        <f t="shared" si="37"/>
        <v>-8.6438199852030238E-3</v>
      </c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8">
        <f>AVERAGE(AG86:AG89)</f>
        <v>1.5021613023683713E-3</v>
      </c>
      <c r="AU84" s="34"/>
      <c r="AV84" s="34">
        <v>12834803</v>
      </c>
      <c r="AW84" s="34"/>
      <c r="AX84" s="34">
        <f t="shared" si="35"/>
        <v>-3.2759537749369908E-4</v>
      </c>
      <c r="AY84" s="39">
        <v>7625.8021016642097</v>
      </c>
      <c r="AZ84" s="28">
        <f t="shared" si="36"/>
        <v>2.9379385720098693E-3</v>
      </c>
      <c r="BA84" s="34"/>
      <c r="BB84" s="34">
        <f t="shared" si="30"/>
        <v>132.98270180992307</v>
      </c>
      <c r="BC84" s="34"/>
      <c r="BD84" s="34"/>
      <c r="BE84" s="33">
        <f t="shared" si="32"/>
        <v>1.1145924443517497E-2</v>
      </c>
    </row>
    <row r="85" spans="1:57">
      <c r="A85" s="26">
        <f t="shared" si="38"/>
        <v>2033</v>
      </c>
      <c r="B85" s="26">
        <f t="shared" si="39"/>
        <v>2</v>
      </c>
      <c r="C85" s="19"/>
      <c r="D85" s="19">
        <v>122473385.022799</v>
      </c>
      <c r="E85" s="19"/>
      <c r="F85" s="27">
        <v>23311997.789715599</v>
      </c>
      <c r="G85" s="19">
        <v>3910526.94318227</v>
      </c>
      <c r="H85" s="19">
        <v>21514565.449408501</v>
      </c>
      <c r="I85" s="27">
        <v>120944.132263368</v>
      </c>
      <c r="J85" s="19">
        <v>665398.93142499996</v>
      </c>
      <c r="K85" s="19"/>
      <c r="L85" s="27">
        <v>2068863.5498097599</v>
      </c>
      <c r="M85" s="27"/>
      <c r="N85" s="27">
        <v>1051010.31680525</v>
      </c>
      <c r="O85" s="19"/>
      <c r="P85" s="19">
        <v>16517691.4598122</v>
      </c>
      <c r="Q85" s="27"/>
      <c r="R85" s="27">
        <v>22319861.6085083</v>
      </c>
      <c r="S85" s="27"/>
      <c r="T85" s="19">
        <v>85341925.3604808</v>
      </c>
      <c r="U85" s="19"/>
      <c r="V85" s="27">
        <v>137063.06295575699</v>
      </c>
      <c r="W85" s="27"/>
      <c r="X85" s="27">
        <v>344262.897767307</v>
      </c>
      <c r="Y85" s="19"/>
      <c r="Z85" s="19">
        <f t="shared" si="33"/>
        <v>-3974946.9848665558</v>
      </c>
      <c r="AA85" s="19"/>
      <c r="AB85" s="19">
        <f t="shared" si="34"/>
        <v>-53649151.122130394</v>
      </c>
      <c r="AC85" s="13"/>
      <c r="AD85" s="19"/>
      <c r="AE85" s="19"/>
      <c r="AF85" s="19">
        <f>BB83/100*AF25</f>
        <v>7622658100.8420515</v>
      </c>
      <c r="AG85" s="33">
        <f t="shared" si="31"/>
        <v>3.1773510722281012E-3</v>
      </c>
      <c r="AH85" s="33">
        <f>(AF85-AF81)/AF81</f>
        <v>9.9740749049681346E-3</v>
      </c>
      <c r="AI85" s="33">
        <f t="shared" si="37"/>
        <v>-6.9503123443124615E-3</v>
      </c>
      <c r="AJ85" s="40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>
        <v>12812078</v>
      </c>
      <c r="AW85" s="26"/>
      <c r="AX85" s="26">
        <f t="shared" si="35"/>
        <v>-1.7705764552833417E-3</v>
      </c>
      <c r="AY85" s="32">
        <v>7640.3720047843199</v>
      </c>
      <c r="AZ85" s="33">
        <f t="shared" si="36"/>
        <v>1.9106059829339871E-3</v>
      </c>
      <c r="BA85" s="26"/>
      <c r="BB85" s="26">
        <f t="shared" si="30"/>
        <v>133.00087345112297</v>
      </c>
      <c r="BC85" s="26"/>
      <c r="BD85" s="26"/>
      <c r="BE85" s="33">
        <f t="shared" si="32"/>
        <v>9.4199236271523372E-3</v>
      </c>
    </row>
    <row r="86" spans="1:57" s="34" customFormat="1">
      <c r="A86" s="26">
        <f t="shared" si="38"/>
        <v>2033</v>
      </c>
      <c r="B86" s="26">
        <f t="shared" si="39"/>
        <v>3</v>
      </c>
      <c r="C86" s="19"/>
      <c r="D86" s="19">
        <v>122734947.835842</v>
      </c>
      <c r="E86" s="19"/>
      <c r="F86" s="27">
        <v>23363511.7709052</v>
      </c>
      <c r="G86" s="19">
        <v>4025318.7267983202</v>
      </c>
      <c r="H86" s="19">
        <v>22146115.9738122</v>
      </c>
      <c r="I86" s="27">
        <v>124494.39361232</v>
      </c>
      <c r="J86" s="19">
        <v>684931.42187048402</v>
      </c>
      <c r="K86" s="19"/>
      <c r="L86" s="27">
        <v>2098775.2122907001</v>
      </c>
      <c r="M86" s="27"/>
      <c r="N86" s="27">
        <v>1054982.1605463999</v>
      </c>
      <c r="O86" s="19"/>
      <c r="P86" s="19">
        <v>16694755.1310004</v>
      </c>
      <c r="Q86" s="27"/>
      <c r="R86" s="27">
        <v>18941861.4839168</v>
      </c>
      <c r="S86" s="27"/>
      <c r="T86" s="19">
        <v>72425849.107091993</v>
      </c>
      <c r="U86" s="19"/>
      <c r="V86" s="27">
        <v>131614.778929936</v>
      </c>
      <c r="W86" s="27"/>
      <c r="X86" s="27">
        <v>330578.37907831598</v>
      </c>
      <c r="Y86" s="19"/>
      <c r="Z86" s="19">
        <f t="shared" si="33"/>
        <v>-7443792.8808955625</v>
      </c>
      <c r="AA86" s="19"/>
      <c r="AB86" s="19">
        <f t="shared" si="34"/>
        <v>-67003853.859750405</v>
      </c>
      <c r="AC86" s="13"/>
      <c r="AD86" s="18"/>
      <c r="AE86" s="18"/>
      <c r="AF86" s="18">
        <f>BB84/100*AF25</f>
        <v>7642548518.0735779</v>
      </c>
      <c r="AG86" s="28">
        <f t="shared" si="31"/>
        <v>2.6093807394206941E-3</v>
      </c>
      <c r="AH86" s="28"/>
      <c r="AI86" s="28">
        <f t="shared" si="37"/>
        <v>-9.0131906865607569E-3</v>
      </c>
      <c r="AT86" s="19"/>
      <c r="AU86"/>
      <c r="AV86" s="26">
        <v>12813801</v>
      </c>
      <c r="AW86"/>
      <c r="AX86" s="26">
        <f t="shared" si="35"/>
        <v>1.3448247817411039E-4</v>
      </c>
      <c r="AY86" s="32">
        <v>7666.5333817676701</v>
      </c>
      <c r="AZ86" s="33">
        <f t="shared" si="36"/>
        <v>3.4240972778509034E-3</v>
      </c>
      <c r="BA86" s="26"/>
      <c r="BB86" s="26">
        <f t="shared" si="30"/>
        <v>133.47422891130662</v>
      </c>
      <c r="BC86" s="26"/>
      <c r="BD86"/>
      <c r="BE86" s="28">
        <f t="shared" si="32"/>
        <v>1.1182814057827825E-2</v>
      </c>
    </row>
    <row r="87" spans="1:57" s="26" customFormat="1">
      <c r="A87" s="26">
        <f t="shared" si="38"/>
        <v>2033</v>
      </c>
      <c r="B87" s="26">
        <f t="shared" si="39"/>
        <v>4</v>
      </c>
      <c r="C87" s="19"/>
      <c r="D87" s="19">
        <v>123194048.31885</v>
      </c>
      <c r="E87" s="19"/>
      <c r="F87" s="27">
        <v>23452491.225518201</v>
      </c>
      <c r="G87" s="19">
        <v>4077872.5657832101</v>
      </c>
      <c r="H87" s="19">
        <v>22435251.690017801</v>
      </c>
      <c r="I87" s="27">
        <v>126119.77007576999</v>
      </c>
      <c r="J87" s="19">
        <v>693873.76360879897</v>
      </c>
      <c r="K87" s="19"/>
      <c r="L87" s="27">
        <v>2094925.7515892</v>
      </c>
      <c r="M87" s="27"/>
      <c r="N87" s="27">
        <v>1060514.6678968801</v>
      </c>
      <c r="O87" s="19"/>
      <c r="P87" s="19">
        <v>16705218.4842094</v>
      </c>
      <c r="Q87" s="27"/>
      <c r="R87" s="27">
        <v>22437719.068134401</v>
      </c>
      <c r="S87" s="27"/>
      <c r="T87" s="19">
        <v>85792563.572267696</v>
      </c>
      <c r="U87" s="19"/>
      <c r="V87" s="27">
        <v>132057.01900126899</v>
      </c>
      <c r="W87" s="27"/>
      <c r="X87" s="27">
        <v>331689.15863615402</v>
      </c>
      <c r="Y87" s="19"/>
      <c r="Z87" s="19">
        <f t="shared" si="33"/>
        <v>-4038155.5578686148</v>
      </c>
      <c r="AA87" s="19"/>
      <c r="AB87" s="19">
        <f t="shared" si="34"/>
        <v>-54106703.230791703</v>
      </c>
      <c r="AC87" s="13"/>
      <c r="AD87" s="19"/>
      <c r="AE87" s="19"/>
      <c r="AF87" s="19">
        <f>BB85/100*AF25</f>
        <v>7643592846.7541742</v>
      </c>
      <c r="AG87" s="33">
        <f t="shared" si="31"/>
        <v>1.3664665368190437E-4</v>
      </c>
      <c r="AH87" s="33"/>
      <c r="AI87" s="33">
        <f t="shared" si="37"/>
        <v>-7.018839464338073E-3</v>
      </c>
      <c r="AT87"/>
      <c r="AU87"/>
      <c r="AV87" s="26">
        <v>12797922</v>
      </c>
      <c r="AW87"/>
      <c r="AX87" s="26">
        <f t="shared" si="35"/>
        <v>-1.2392107540924039E-3</v>
      </c>
      <c r="AY87" s="32">
        <v>7673.7702680245202</v>
      </c>
      <c r="AZ87" s="33">
        <f t="shared" si="36"/>
        <v>9.4395809637516745E-4</v>
      </c>
      <c r="BB87" s="26">
        <f t="shared" si="30"/>
        <v>133.4346641572661</v>
      </c>
      <c r="BC87" s="40" t="e">
        <f>(BA87-BA83)/BA83</f>
        <v>#DIV/0!</v>
      </c>
      <c r="BD87"/>
      <c r="BE87" s="33">
        <f t="shared" si="32"/>
        <v>9.3874952107346477E-3</v>
      </c>
    </row>
    <row r="88" spans="1:57">
      <c r="A88" s="34">
        <f t="shared" si="38"/>
        <v>2034</v>
      </c>
      <c r="B88" s="34">
        <f t="shared" si="39"/>
        <v>1</v>
      </c>
      <c r="C88" s="18"/>
      <c r="D88" s="18">
        <v>123131160.420633</v>
      </c>
      <c r="E88" s="18"/>
      <c r="F88" s="38">
        <v>23441574.407823101</v>
      </c>
      <c r="G88" s="18">
        <v>4137950.4154639598</v>
      </c>
      <c r="H88" s="18">
        <v>22765782.293129899</v>
      </c>
      <c r="I88" s="38">
        <v>127977.84790094801</v>
      </c>
      <c r="J88" s="18">
        <v>704096.35958134197</v>
      </c>
      <c r="K88" s="18"/>
      <c r="L88" s="38">
        <v>2547890.2917328202</v>
      </c>
      <c r="M88" s="38"/>
      <c r="N88" s="38">
        <v>1061028.4701211001</v>
      </c>
      <c r="O88" s="18"/>
      <c r="P88" s="18">
        <v>19058480.424559001</v>
      </c>
      <c r="Q88" s="38"/>
      <c r="R88" s="38">
        <v>18970627.438448299</v>
      </c>
      <c r="S88" s="38"/>
      <c r="T88" s="18">
        <v>72535838.227437302</v>
      </c>
      <c r="U88" s="18"/>
      <c r="V88" s="38">
        <v>129596.599645824</v>
      </c>
      <c r="W88" s="38"/>
      <c r="X88" s="38">
        <v>325509.29457385902</v>
      </c>
      <c r="Y88" s="18"/>
      <c r="Z88" s="18">
        <f t="shared" si="33"/>
        <v>-7950269.131582899</v>
      </c>
      <c r="AA88" s="18"/>
      <c r="AB88" s="18">
        <f t="shared" si="34"/>
        <v>-69653802.617754698</v>
      </c>
      <c r="AC88" s="13"/>
      <c r="AD88" s="19"/>
      <c r="AE88" s="19"/>
      <c r="AF88" s="19">
        <f>BB86/100*AF25</f>
        <v>7670796701.2518778</v>
      </c>
      <c r="AG88" s="33">
        <f t="shared" si="31"/>
        <v>3.5590402371125218E-3</v>
      </c>
      <c r="AH88" s="33"/>
      <c r="AI88" s="33">
        <f t="shared" si="37"/>
        <v>-8.7349276052141166E-3</v>
      </c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8">
        <f>AVERAGE(AG90:AG93)</f>
        <v>1.8766493847004694E-3</v>
      </c>
      <c r="AU88" s="34"/>
      <c r="AV88" s="34">
        <v>12851344</v>
      </c>
      <c r="AW88" s="34"/>
      <c r="AX88" s="34">
        <f t="shared" si="35"/>
        <v>4.1742714168753331E-3</v>
      </c>
      <c r="AY88" s="39">
        <v>7674.1136400591704</v>
      </c>
      <c r="AZ88" s="28">
        <f t="shared" si="36"/>
        <v>4.4746196805106677E-5</v>
      </c>
      <c r="BA88" s="34"/>
      <c r="BB88" s="34">
        <f t="shared" ref="BB88:BB115" si="40">BB87*(1+AX88)*(1+AZ88)</f>
        <v>133.99765227891737</v>
      </c>
      <c r="BC88" s="34"/>
      <c r="BD88" s="34"/>
      <c r="BE88" s="33">
        <f t="shared" si="32"/>
        <v>1.1182872946510936E-2</v>
      </c>
    </row>
    <row r="89" spans="1:57">
      <c r="A89" s="26">
        <f t="shared" si="38"/>
        <v>2034</v>
      </c>
      <c r="B89" s="26">
        <f t="shared" si="39"/>
        <v>2</v>
      </c>
      <c r="C89" s="19"/>
      <c r="D89" s="19">
        <v>122840222.467383</v>
      </c>
      <c r="E89" s="19"/>
      <c r="F89" s="27">
        <v>23387319.240592498</v>
      </c>
      <c r="G89" s="19">
        <v>4200240.4439966297</v>
      </c>
      <c r="H89" s="19">
        <v>23108483.651586998</v>
      </c>
      <c r="I89" s="27">
        <v>129904.343628762</v>
      </c>
      <c r="J89" s="19">
        <v>714695.37066764303</v>
      </c>
      <c r="K89" s="19"/>
      <c r="L89" s="27">
        <v>2055766.4700692601</v>
      </c>
      <c r="M89" s="27"/>
      <c r="N89" s="27">
        <v>1059654.7197916601</v>
      </c>
      <c r="O89" s="19"/>
      <c r="P89" s="19">
        <v>16497289.6054979</v>
      </c>
      <c r="Q89" s="27"/>
      <c r="R89" s="27">
        <v>22395509.550967298</v>
      </c>
      <c r="S89" s="27"/>
      <c r="T89" s="19">
        <v>85631171.825008497</v>
      </c>
      <c r="U89" s="19"/>
      <c r="V89" s="27">
        <v>135665.28548535099</v>
      </c>
      <c r="W89" s="27"/>
      <c r="X89" s="27">
        <v>340752.08375207399</v>
      </c>
      <c r="Y89" s="19"/>
      <c r="Z89" s="19">
        <f t="shared" si="33"/>
        <v>-3971565.5940007679</v>
      </c>
      <c r="AA89" s="19"/>
      <c r="AB89" s="19">
        <f t="shared" si="34"/>
        <v>-53706340.247872397</v>
      </c>
      <c r="AC89" s="13"/>
      <c r="AD89" s="19"/>
      <c r="AE89" s="19"/>
      <c r="AF89" s="19">
        <f>BB87/100*AF25</f>
        <v>7668522905.1246758</v>
      </c>
      <c r="AG89" s="33">
        <f t="shared" si="31"/>
        <v>-2.964224207416355E-4</v>
      </c>
      <c r="AH89" s="33">
        <f>(AF89-AF85)/AF85</f>
        <v>6.0169042971450733E-3</v>
      </c>
      <c r="AI89" s="33">
        <f t="shared" si="37"/>
        <v>-7.0556877641499366E-3</v>
      </c>
      <c r="AJ89" s="40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>
        <v>12811468</v>
      </c>
      <c r="AW89" s="26"/>
      <c r="AX89" s="26">
        <f t="shared" si="35"/>
        <v>-3.1028661282430851E-3</v>
      </c>
      <c r="AY89" s="32">
        <v>7679.8622362166097</v>
      </c>
      <c r="AZ89" s="33">
        <f t="shared" si="36"/>
        <v>7.4908926647000078E-4</v>
      </c>
      <c r="BA89" s="26"/>
      <c r="BB89" s="26">
        <f t="shared" si="40"/>
        <v>133.68194025153082</v>
      </c>
      <c r="BC89" s="26"/>
      <c r="BD89" s="26"/>
      <c r="BE89" s="33">
        <f t="shared" si="32"/>
        <v>9.4335666389916174E-3</v>
      </c>
    </row>
    <row r="90" spans="1:57" s="34" customFormat="1">
      <c r="A90" s="26">
        <f t="shared" si="38"/>
        <v>2034</v>
      </c>
      <c r="B90" s="26">
        <f t="shared" si="39"/>
        <v>3</v>
      </c>
      <c r="C90" s="19"/>
      <c r="D90" s="19">
        <v>122748853.09545</v>
      </c>
      <c r="E90" s="19"/>
      <c r="F90" s="27">
        <v>23371825.326017201</v>
      </c>
      <c r="G90" s="19">
        <v>4320943.22220382</v>
      </c>
      <c r="H90" s="19">
        <v>23772554.7242059</v>
      </c>
      <c r="I90" s="27">
        <v>133637.419243418</v>
      </c>
      <c r="J90" s="19">
        <v>735233.65126410197</v>
      </c>
      <c r="K90" s="19"/>
      <c r="L90" s="27">
        <v>2096788.79111921</v>
      </c>
      <c r="M90" s="27"/>
      <c r="N90" s="27">
        <v>1060768.27012495</v>
      </c>
      <c r="O90" s="19"/>
      <c r="P90" s="19">
        <v>16716281.0498213</v>
      </c>
      <c r="Q90" s="27"/>
      <c r="R90" s="27">
        <v>18990456.719497699</v>
      </c>
      <c r="S90" s="27"/>
      <c r="T90" s="19">
        <v>72611657.202167198</v>
      </c>
      <c r="U90" s="19"/>
      <c r="V90" s="27">
        <v>136443.587107258</v>
      </c>
      <c r="W90" s="27"/>
      <c r="X90" s="27">
        <v>342706.95303571998</v>
      </c>
      <c r="Y90" s="19"/>
      <c r="Z90" s="19">
        <f t="shared" si="33"/>
        <v>-7402482.0806564018</v>
      </c>
      <c r="AA90" s="19"/>
      <c r="AB90" s="19">
        <f t="shared" si="34"/>
        <v>-66853476.943104103</v>
      </c>
      <c r="AC90" s="13"/>
      <c r="AD90" s="18"/>
      <c r="AE90" s="18"/>
      <c r="AF90" s="18">
        <f>BB88/100*AF25</f>
        <v>7700877970.6802616</v>
      </c>
      <c r="AG90" s="28">
        <f t="shared" ref="AG90:AG121" si="41">(AF90-AF89)/AF89</f>
        <v>4.2192043964508217E-3</v>
      </c>
      <c r="AH90" s="28"/>
      <c r="AI90" s="28">
        <f t="shared" si="37"/>
        <v>-9.0449170708780616E-3</v>
      </c>
      <c r="AT90" s="19"/>
      <c r="AU90"/>
      <c r="AV90" s="26">
        <v>12864432</v>
      </c>
      <c r="AW90"/>
      <c r="AX90" s="26">
        <f t="shared" si="35"/>
        <v>4.1341085970788049E-3</v>
      </c>
      <c r="AY90" s="32">
        <v>7673.7012001737303</v>
      </c>
      <c r="AZ90" s="33">
        <f t="shared" si="36"/>
        <v>-8.0223262519284698E-4</v>
      </c>
      <c r="BA90" s="26"/>
      <c r="BB90" s="26">
        <f t="shared" si="40"/>
        <v>134.12690853773026</v>
      </c>
      <c r="BC90" s="26"/>
      <c r="BD90"/>
      <c r="BE90" s="28">
        <f t="shared" si="32"/>
        <v>1.1235884713165861E-2</v>
      </c>
    </row>
    <row r="91" spans="1:57" s="26" customFormat="1">
      <c r="A91" s="26">
        <f t="shared" si="38"/>
        <v>2034</v>
      </c>
      <c r="B91" s="26">
        <f t="shared" si="39"/>
        <v>4</v>
      </c>
      <c r="C91" s="19"/>
      <c r="D91" s="19">
        <v>122796400.71141499</v>
      </c>
      <c r="E91" s="19"/>
      <c r="F91" s="27">
        <v>23383214.9273475</v>
      </c>
      <c r="G91" s="19">
        <v>4445856.13736255</v>
      </c>
      <c r="H91" s="19">
        <v>24459788.728140902</v>
      </c>
      <c r="I91" s="27">
        <v>137500.70527925299</v>
      </c>
      <c r="J91" s="19">
        <v>756488.31117961102</v>
      </c>
      <c r="K91" s="19"/>
      <c r="L91" s="27">
        <v>2032762.4840536399</v>
      </c>
      <c r="M91" s="27"/>
      <c r="N91" s="27">
        <v>1063515.5294218699</v>
      </c>
      <c r="O91" s="19"/>
      <c r="P91" s="19">
        <v>16399162.8481689</v>
      </c>
      <c r="Q91" s="27"/>
      <c r="R91" s="27">
        <v>22596612.2422475</v>
      </c>
      <c r="S91" s="27"/>
      <c r="T91" s="19">
        <v>86400105.395030499</v>
      </c>
      <c r="U91" s="19"/>
      <c r="V91" s="27">
        <v>137245.00007417399</v>
      </c>
      <c r="W91" s="27"/>
      <c r="X91" s="27">
        <v>344719.87135484401</v>
      </c>
      <c r="Y91" s="19"/>
      <c r="Z91" s="19">
        <f t="shared" si="33"/>
        <v>-3745635.6985013373</v>
      </c>
      <c r="AA91" s="19"/>
      <c r="AB91" s="19">
        <f t="shared" si="34"/>
        <v>-52795458.164553389</v>
      </c>
      <c r="AC91" s="13"/>
      <c r="AD91" s="19"/>
      <c r="AE91" s="19"/>
      <c r="AF91" s="19">
        <f>BB89/100*AF25</f>
        <v>7682733922.9642668</v>
      </c>
      <c r="AG91" s="33">
        <f t="shared" si="41"/>
        <v>-2.3561011854849674E-3</v>
      </c>
      <c r="AH91" s="33"/>
      <c r="AI91" s="33">
        <f t="shared" si="37"/>
        <v>-6.9905245692994944E-3</v>
      </c>
      <c r="AT91"/>
      <c r="AU91"/>
      <c r="AV91" s="26">
        <v>12800729</v>
      </c>
      <c r="AW91"/>
      <c r="AX91" s="26">
        <f t="shared" si="35"/>
        <v>-4.9518703973871524E-3</v>
      </c>
      <c r="AY91" s="32">
        <v>7729.74199927065</v>
      </c>
      <c r="AZ91" s="33">
        <f t="shared" si="36"/>
        <v>7.3029686242736397E-3</v>
      </c>
      <c r="BB91" s="26">
        <f t="shared" si="40"/>
        <v>134.43740359567744</v>
      </c>
      <c r="BC91" s="40" t="e">
        <f>(BA91-BA87)/BA87</f>
        <v>#DIV/0!</v>
      </c>
      <c r="BD91"/>
      <c r="BE91" s="33">
        <f t="shared" si="32"/>
        <v>9.4200183816892467E-3</v>
      </c>
    </row>
    <row r="92" spans="1:57">
      <c r="A92" s="34">
        <f t="shared" si="38"/>
        <v>2035</v>
      </c>
      <c r="B92" s="34">
        <f t="shared" si="39"/>
        <v>1</v>
      </c>
      <c r="C92" s="18"/>
      <c r="D92" s="18">
        <v>122352647.043723</v>
      </c>
      <c r="E92" s="18"/>
      <c r="F92" s="38">
        <v>23299675.609944601</v>
      </c>
      <c r="G92" s="18">
        <v>4562856.4048901601</v>
      </c>
      <c r="H92" s="18">
        <v>25103489.679417901</v>
      </c>
      <c r="I92" s="38">
        <v>141119.270254334</v>
      </c>
      <c r="J92" s="18">
        <v>776396.58802323404</v>
      </c>
      <c r="K92" s="18"/>
      <c r="L92" s="38">
        <v>2541347.2425199598</v>
      </c>
      <c r="M92" s="38"/>
      <c r="N92" s="38">
        <v>1060633.6939341</v>
      </c>
      <c r="O92" s="18"/>
      <c r="P92" s="18">
        <v>19022356.568986099</v>
      </c>
      <c r="Q92" s="38"/>
      <c r="R92" s="38">
        <v>19027018.7111567</v>
      </c>
      <c r="S92" s="38"/>
      <c r="T92" s="18">
        <v>72751455.146165103</v>
      </c>
      <c r="U92" s="18"/>
      <c r="V92" s="38">
        <v>138111.82540035699</v>
      </c>
      <c r="W92" s="38"/>
      <c r="X92" s="38">
        <v>346897.08666153898</v>
      </c>
      <c r="Y92" s="18"/>
      <c r="Z92" s="18">
        <f t="shared" si="33"/>
        <v>-7736526.009841606</v>
      </c>
      <c r="AA92" s="18"/>
      <c r="AB92" s="18">
        <f t="shared" si="34"/>
        <v>-68623548.466544002</v>
      </c>
      <c r="AC92" s="13"/>
      <c r="AD92" s="19"/>
      <c r="AE92" s="19"/>
      <c r="AF92" s="19">
        <f>BB90/100*AF25</f>
        <v>7708306359.6045151</v>
      </c>
      <c r="AG92" s="33">
        <f t="shared" si="41"/>
        <v>3.3285594550932413E-3</v>
      </c>
      <c r="AH92" s="33"/>
      <c r="AI92" s="33">
        <f t="shared" si="37"/>
        <v>-8.672913844401756E-3</v>
      </c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8">
        <f>AVERAGE(AG94:AG97)</f>
        <v>2.3150292147228143E-3</v>
      </c>
      <c r="AU92" s="34"/>
      <c r="AV92" s="34">
        <v>12871227</v>
      </c>
      <c r="AW92" s="34"/>
      <c r="AX92" s="34">
        <f t="shared" si="35"/>
        <v>5.5073425896290749E-3</v>
      </c>
      <c r="AY92" s="39">
        <v>7710.9615838024602</v>
      </c>
      <c r="AZ92" s="28">
        <f t="shared" si="36"/>
        <v>-2.4296303123651358E-3</v>
      </c>
      <c r="BA92" s="34"/>
      <c r="BB92" s="34">
        <f t="shared" si="40"/>
        <v>134.84936436236396</v>
      </c>
      <c r="BC92" s="34"/>
      <c r="BD92" s="34"/>
      <c r="BE92" s="33">
        <f t="shared" si="32"/>
        <v>1.1203405597313223E-2</v>
      </c>
    </row>
    <row r="93" spans="1:57">
      <c r="A93" s="26">
        <f t="shared" si="38"/>
        <v>2035</v>
      </c>
      <c r="B93" s="26">
        <f t="shared" si="39"/>
        <v>2</v>
      </c>
      <c r="C93" s="19"/>
      <c r="D93" s="19">
        <v>122464021.188399</v>
      </c>
      <c r="E93" s="19"/>
      <c r="F93" s="27">
        <v>23322614.0356839</v>
      </c>
      <c r="G93" s="19">
        <v>4654873.59197657</v>
      </c>
      <c r="H93" s="19">
        <v>25609741.093308002</v>
      </c>
      <c r="I93" s="27">
        <v>143965.16263845001</v>
      </c>
      <c r="J93" s="19">
        <v>792053.84824663599</v>
      </c>
      <c r="K93" s="19"/>
      <c r="L93" s="27">
        <v>1981767.8054108899</v>
      </c>
      <c r="M93" s="27"/>
      <c r="N93" s="27">
        <v>1063328.55051756</v>
      </c>
      <c r="O93" s="19"/>
      <c r="P93" s="19">
        <v>16133522.5155093</v>
      </c>
      <c r="Q93" s="27"/>
      <c r="R93" s="27">
        <v>22716492.429928601</v>
      </c>
      <c r="S93" s="27"/>
      <c r="T93" s="19">
        <v>86858477.682848796</v>
      </c>
      <c r="U93" s="19"/>
      <c r="V93" s="27">
        <v>138495.016231927</v>
      </c>
      <c r="W93" s="27"/>
      <c r="X93" s="27">
        <v>347859.551553461</v>
      </c>
      <c r="Y93" s="19"/>
      <c r="Z93" s="19">
        <f t="shared" si="33"/>
        <v>-3512722.9454518184</v>
      </c>
      <c r="AA93" s="19"/>
      <c r="AB93" s="19">
        <f t="shared" si="34"/>
        <v>-51739066.021059498</v>
      </c>
      <c r="AC93" s="13"/>
      <c r="AD93" s="19"/>
      <c r="AE93" s="19"/>
      <c r="AF93" s="19">
        <f>BB91/100*AF25</f>
        <v>7726150586.8061485</v>
      </c>
      <c r="AG93" s="33">
        <f t="shared" si="41"/>
        <v>2.314934872742782E-3</v>
      </c>
      <c r="AH93" s="33">
        <f>(AF93-AF89)/AF89</f>
        <v>7.5148346551800332E-3</v>
      </c>
      <c r="AI93" s="33">
        <f t="shared" si="37"/>
        <v>-6.8333457355479891E-3</v>
      </c>
      <c r="AJ93" s="40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>
        <v>12821962</v>
      </c>
      <c r="AW93" s="26"/>
      <c r="AX93" s="26">
        <f t="shared" si="35"/>
        <v>-3.8275294189124317E-3</v>
      </c>
      <c r="AY93" s="32">
        <v>7757.84093320593</v>
      </c>
      <c r="AZ93" s="33">
        <f t="shared" si="36"/>
        <v>6.0795724234891761E-3</v>
      </c>
      <c r="BA93" s="26"/>
      <c r="BB93" s="26">
        <f t="shared" si="40"/>
        <v>135.14991302008909</v>
      </c>
      <c r="BC93" s="26"/>
      <c r="BD93" s="26"/>
      <c r="BE93" s="33">
        <f t="shared" si="32"/>
        <v>9.4048445136320959E-3</v>
      </c>
    </row>
    <row r="94" spans="1:57" s="34" customFormat="1">
      <c r="A94" s="26">
        <f t="shared" si="38"/>
        <v>2035</v>
      </c>
      <c r="B94" s="26">
        <f t="shared" si="39"/>
        <v>3</v>
      </c>
      <c r="C94" s="19"/>
      <c r="D94" s="19">
        <v>123213013.52379</v>
      </c>
      <c r="E94" s="19"/>
      <c r="F94" s="27">
        <v>23467581.805352401</v>
      </c>
      <c r="G94" s="19">
        <v>4757513.31268558</v>
      </c>
      <c r="H94" s="19">
        <v>26174434.553035401</v>
      </c>
      <c r="I94" s="27">
        <v>147139.586990276</v>
      </c>
      <c r="J94" s="19">
        <v>809518.59442377998</v>
      </c>
      <c r="K94" s="19"/>
      <c r="L94" s="27">
        <v>2017862.6892065499</v>
      </c>
      <c r="M94" s="27"/>
      <c r="N94" s="27">
        <v>1072158.09723795</v>
      </c>
      <c r="O94" s="19"/>
      <c r="P94" s="19">
        <v>16369396.600031</v>
      </c>
      <c r="Q94" s="27"/>
      <c r="R94" s="27">
        <v>19216946.046220601</v>
      </c>
      <c r="S94" s="27"/>
      <c r="T94" s="19">
        <v>73477658.773107201</v>
      </c>
      <c r="U94" s="19"/>
      <c r="V94" s="27">
        <v>137657.17211154001</v>
      </c>
      <c r="W94" s="27"/>
      <c r="X94" s="27">
        <v>345755.12868021103</v>
      </c>
      <c r="Y94" s="19"/>
      <c r="Z94" s="19">
        <f t="shared" si="33"/>
        <v>-7202999.3734647576</v>
      </c>
      <c r="AA94" s="19"/>
      <c r="AB94" s="19">
        <f t="shared" si="34"/>
        <v>-66104751.350713804</v>
      </c>
      <c r="AC94" s="13"/>
      <c r="AD94" s="18"/>
      <c r="AE94" s="18"/>
      <c r="AF94" s="18">
        <f>BB92/100*AF25</f>
        <v>7749826073.1971884</v>
      </c>
      <c r="AG94" s="28">
        <f t="shared" si="41"/>
        <v>3.0643314707676267E-3</v>
      </c>
      <c r="AH94" s="28"/>
      <c r="AI94" s="28">
        <f t="shared" si="37"/>
        <v>-8.8548501370732547E-3</v>
      </c>
      <c r="AT94" s="19"/>
      <c r="AU94"/>
      <c r="AV94" s="26">
        <v>12871514</v>
      </c>
      <c r="AW94"/>
      <c r="AX94" s="26">
        <f t="shared" si="35"/>
        <v>3.8646191589087535E-3</v>
      </c>
      <c r="AY94" s="32">
        <v>7749.7249341233401</v>
      </c>
      <c r="AZ94" s="33">
        <f t="shared" si="36"/>
        <v>-1.0461672458184847E-3</v>
      </c>
      <c r="BA94" s="26"/>
      <c r="BB94" s="26">
        <f t="shared" si="40"/>
        <v>135.53028013476296</v>
      </c>
      <c r="BC94" s="26"/>
      <c r="BD94"/>
      <c r="BE94" s="28">
        <f t="shared" si="32"/>
        <v>1.1210490804160035E-2</v>
      </c>
    </row>
    <row r="95" spans="1:57" s="26" customFormat="1">
      <c r="A95" s="26">
        <f t="shared" si="38"/>
        <v>2035</v>
      </c>
      <c r="B95" s="26">
        <f t="shared" si="39"/>
        <v>4</v>
      </c>
      <c r="C95" s="19"/>
      <c r="D95" s="19">
        <v>122992387.030727</v>
      </c>
      <c r="E95" s="19"/>
      <c r="F95" s="27">
        <v>23427368.558687199</v>
      </c>
      <c r="G95" s="19">
        <v>4870026.3927063597</v>
      </c>
      <c r="H95" s="19">
        <v>26793448.322584301</v>
      </c>
      <c r="I95" s="27">
        <v>150619.37297029901</v>
      </c>
      <c r="J95" s="19">
        <v>828663.35018301394</v>
      </c>
      <c r="K95" s="19"/>
      <c r="L95" s="27">
        <v>1971059.8893498401</v>
      </c>
      <c r="M95" s="27"/>
      <c r="N95" s="27">
        <v>1072046.3272923401</v>
      </c>
      <c r="O95" s="19"/>
      <c r="P95" s="19">
        <v>16125921.7238201</v>
      </c>
      <c r="Q95" s="27"/>
      <c r="R95" s="27">
        <v>22914796.489819001</v>
      </c>
      <c r="S95" s="27"/>
      <c r="T95" s="19">
        <v>87616710.4431898</v>
      </c>
      <c r="U95" s="19"/>
      <c r="V95" s="27">
        <v>135577.93626074601</v>
      </c>
      <c r="W95" s="27"/>
      <c r="X95" s="27">
        <v>340532.68768334598</v>
      </c>
      <c r="Y95" s="19"/>
      <c r="Z95" s="19">
        <f t="shared" si="33"/>
        <v>-3420100.3492496349</v>
      </c>
      <c r="AA95" s="19"/>
      <c r="AB95" s="19">
        <f t="shared" si="34"/>
        <v>-51501598.311357304</v>
      </c>
      <c r="AC95" s="13"/>
      <c r="AD95" s="19"/>
      <c r="AE95" s="19"/>
      <c r="AF95" s="19">
        <f>BB93/100*AF25</f>
        <v>7767098678.3363838</v>
      </c>
      <c r="AG95" s="33">
        <f t="shared" si="41"/>
        <v>2.2287732622713729E-3</v>
      </c>
      <c r="AH95" s="33"/>
      <c r="AI95" s="33">
        <f t="shared" si="37"/>
        <v>-6.6613117926990683E-3</v>
      </c>
      <c r="AT95"/>
      <c r="AU95"/>
      <c r="AV95" s="26">
        <v>12830183</v>
      </c>
      <c r="AW95"/>
      <c r="AX95" s="26">
        <f t="shared" si="35"/>
        <v>-3.2110441708722067E-3</v>
      </c>
      <c r="AY95" s="32">
        <v>7783.6509392513699</v>
      </c>
      <c r="AZ95" s="33">
        <f t="shared" si="36"/>
        <v>4.3777044238883797E-3</v>
      </c>
      <c r="BB95" s="26">
        <f t="shared" si="40"/>
        <v>135.68649277622052</v>
      </c>
      <c r="BC95" s="40" t="e">
        <f>(BA95-BA91)/BA91</f>
        <v>#DIV/0!</v>
      </c>
      <c r="BD95"/>
      <c r="BE95" s="33">
        <f t="shared" si="32"/>
        <v>9.4312893223864516E-3</v>
      </c>
    </row>
    <row r="96" spans="1:57">
      <c r="A96" s="34">
        <f t="shared" si="38"/>
        <v>2036</v>
      </c>
      <c r="B96" s="34">
        <f t="shared" si="39"/>
        <v>1</v>
      </c>
      <c r="C96" s="18"/>
      <c r="D96" s="18">
        <v>122826827.117916</v>
      </c>
      <c r="E96" s="18"/>
      <c r="F96" s="38">
        <v>23396841.152663</v>
      </c>
      <c r="G96" s="18">
        <v>4966849.5573388599</v>
      </c>
      <c r="H96" s="18">
        <v>27326140.806940299</v>
      </c>
      <c r="I96" s="38">
        <v>153613.90383522201</v>
      </c>
      <c r="J96" s="18">
        <v>845138.37547237799</v>
      </c>
      <c r="K96" s="18"/>
      <c r="L96" s="38">
        <v>2514506.95139712</v>
      </c>
      <c r="M96" s="38"/>
      <c r="N96" s="38">
        <v>1071611.39519151</v>
      </c>
      <c r="O96" s="18"/>
      <c r="P96" s="18">
        <v>18943478.244129099</v>
      </c>
      <c r="Q96" s="38"/>
      <c r="R96" s="38">
        <v>19249518.5515971</v>
      </c>
      <c r="S96" s="38"/>
      <c r="T96" s="18">
        <v>73602202.570528701</v>
      </c>
      <c r="U96" s="18"/>
      <c r="V96" s="38">
        <v>139902.510861399</v>
      </c>
      <c r="W96" s="38"/>
      <c r="X96" s="38">
        <v>351394.77227073302</v>
      </c>
      <c r="Y96" s="18"/>
      <c r="Z96" s="18">
        <f t="shared" si="33"/>
        <v>-7593538.4367931299</v>
      </c>
      <c r="AA96" s="18"/>
      <c r="AB96" s="18">
        <f t="shared" si="34"/>
        <v>-68168102.791516393</v>
      </c>
      <c r="AC96" s="13"/>
      <c r="AD96" s="19"/>
      <c r="AE96" s="19"/>
      <c r="AF96" s="19">
        <f>BB94/100*AF25</f>
        <v>7788958469.7905369</v>
      </c>
      <c r="AG96" s="33">
        <f t="shared" si="41"/>
        <v>2.814408875108454E-3</v>
      </c>
      <c r="AH96" s="33"/>
      <c r="AI96" s="33">
        <f t="shared" si="37"/>
        <v>-8.486982130807473E-3</v>
      </c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8">
        <f>AVERAGE(AG98:AG101)</f>
        <v>2.7015468009840672E-3</v>
      </c>
      <c r="AU96" s="34"/>
      <c r="AV96" s="34">
        <v>12872160</v>
      </c>
      <c r="AW96" s="34"/>
      <c r="AX96" s="34">
        <f t="shared" si="35"/>
        <v>3.2717382129311794E-3</v>
      </c>
      <c r="AY96" s="39">
        <v>7773.6353489684398</v>
      </c>
      <c r="AZ96" s="28">
        <f t="shared" si="36"/>
        <v>-1.2867471012123048E-3</v>
      </c>
      <c r="BA96" s="34"/>
      <c r="BB96" s="34">
        <f t="shared" si="40"/>
        <v>135.95525803184162</v>
      </c>
      <c r="BC96" s="34"/>
      <c r="BD96" s="34"/>
      <c r="BE96" s="33">
        <f t="shared" si="32"/>
        <v>1.1210523782304123E-2</v>
      </c>
    </row>
    <row r="97" spans="1:57">
      <c r="A97" s="26">
        <f t="shared" si="38"/>
        <v>2036</v>
      </c>
      <c r="B97" s="26">
        <f t="shared" si="39"/>
        <v>2</v>
      </c>
      <c r="C97" s="19"/>
      <c r="D97" s="19">
        <v>123093599.38615701</v>
      </c>
      <c r="E97" s="19"/>
      <c r="F97" s="27">
        <v>23448832.8563051</v>
      </c>
      <c r="G97" s="19">
        <v>5016340.9373024497</v>
      </c>
      <c r="H97" s="19">
        <v>27598427.777182098</v>
      </c>
      <c r="I97" s="27">
        <v>155144.56507120901</v>
      </c>
      <c r="J97" s="19">
        <v>853559.62197470199</v>
      </c>
      <c r="K97" s="19"/>
      <c r="L97" s="27">
        <v>2053563.81250812</v>
      </c>
      <c r="M97" s="27"/>
      <c r="N97" s="27">
        <v>1075114.08123747</v>
      </c>
      <c r="O97" s="19"/>
      <c r="P97" s="19">
        <v>16570912.8503679</v>
      </c>
      <c r="Q97" s="27"/>
      <c r="R97" s="27">
        <v>22929098.749475501</v>
      </c>
      <c r="S97" s="27"/>
      <c r="T97" s="19">
        <v>87671396.372587696</v>
      </c>
      <c r="U97" s="19"/>
      <c r="V97" s="27">
        <v>140835.66565911501</v>
      </c>
      <c r="W97" s="27"/>
      <c r="X97" s="27">
        <v>353738.58808660199</v>
      </c>
      <c r="Y97" s="19"/>
      <c r="Z97" s="19">
        <f t="shared" si="33"/>
        <v>-3507576.3349160738</v>
      </c>
      <c r="AA97" s="19"/>
      <c r="AB97" s="19">
        <f t="shared" si="34"/>
        <v>-51993115.863937214</v>
      </c>
      <c r="AC97" s="13"/>
      <c r="AD97" s="19"/>
      <c r="AE97" s="19"/>
      <c r="AF97" s="19">
        <f>BB95/100*AF25</f>
        <v>7797936048.6427259</v>
      </c>
      <c r="AG97" s="33">
        <f t="shared" si="41"/>
        <v>1.1526032507438047E-3</v>
      </c>
      <c r="AH97" s="33">
        <f>(AF97-AF93)/AF93</f>
        <v>9.2912325523611412E-3</v>
      </c>
      <c r="AI97" s="33">
        <f t="shared" si="37"/>
        <v>-6.6045166297973735E-3</v>
      </c>
      <c r="AJ97" s="40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>
        <v>12863465</v>
      </c>
      <c r="AW97" s="26"/>
      <c r="AX97" s="26">
        <f t="shared" si="35"/>
        <v>-6.7548880685137534E-4</v>
      </c>
      <c r="AY97" s="32">
        <v>7790.8784517304202</v>
      </c>
      <c r="AZ97" s="33">
        <f t="shared" si="36"/>
        <v>2.2181517382685871E-3</v>
      </c>
      <c r="BA97" s="26"/>
      <c r="BB97" s="26">
        <f t="shared" si="40"/>
        <v>136.16478746198987</v>
      </c>
      <c r="BC97" s="26"/>
      <c r="BD97" s="26"/>
      <c r="BE97" s="33">
        <f t="shared" si="32"/>
        <v>9.4617764783348109E-3</v>
      </c>
    </row>
    <row r="98" spans="1:57" s="34" customFormat="1">
      <c r="A98" s="26">
        <f t="shared" si="38"/>
        <v>2036</v>
      </c>
      <c r="B98" s="26">
        <f t="shared" si="39"/>
        <v>3</v>
      </c>
      <c r="C98" s="19"/>
      <c r="D98" s="19">
        <v>123801281.40697999</v>
      </c>
      <c r="E98" s="19"/>
      <c r="F98" s="27">
        <v>23585874.542648099</v>
      </c>
      <c r="G98" s="19">
        <v>5109125.0372680603</v>
      </c>
      <c r="H98" s="19">
        <v>28108898.519457601</v>
      </c>
      <c r="I98" s="27">
        <v>158014.17641035299</v>
      </c>
      <c r="J98" s="19">
        <v>869347.37689044396</v>
      </c>
      <c r="K98" s="19"/>
      <c r="L98" s="27">
        <v>1999447.7471668201</v>
      </c>
      <c r="M98" s="27"/>
      <c r="N98" s="27">
        <v>1083526.1833045301</v>
      </c>
      <c r="O98" s="19"/>
      <c r="P98" s="19">
        <v>16336385.2336566</v>
      </c>
      <c r="Q98" s="27"/>
      <c r="R98" s="27">
        <v>19289660.3243092</v>
      </c>
      <c r="S98" s="27"/>
      <c r="T98" s="19">
        <v>73755688.117649004</v>
      </c>
      <c r="U98" s="19"/>
      <c r="V98" s="27">
        <v>143825.216134405</v>
      </c>
      <c r="W98" s="27"/>
      <c r="X98" s="27">
        <v>361247.476969212</v>
      </c>
      <c r="Y98" s="19"/>
      <c r="Z98" s="19">
        <f t="shared" si="33"/>
        <v>-7235362.9326758422</v>
      </c>
      <c r="AA98" s="19"/>
      <c r="AB98" s="19">
        <f t="shared" si="34"/>
        <v>-66381978.522987589</v>
      </c>
      <c r="AC98" s="13"/>
      <c r="AD98" s="18"/>
      <c r="AE98" s="18"/>
      <c r="AF98" s="18">
        <f>BB96/100*AF25</f>
        <v>7813382053.8607035</v>
      </c>
      <c r="AG98" s="28">
        <f t="shared" si="41"/>
        <v>1.9807812120575144E-3</v>
      </c>
      <c r="AH98" s="28"/>
      <c r="AI98" s="28">
        <f t="shared" si="37"/>
        <v>-8.7245321323860727E-3</v>
      </c>
      <c r="AT98" s="19"/>
      <c r="AU98"/>
      <c r="AV98" s="26">
        <v>12884238</v>
      </c>
      <c r="AW98"/>
      <c r="AX98" s="26">
        <f t="shared" si="35"/>
        <v>1.6148837035744256E-3</v>
      </c>
      <c r="AY98" s="32">
        <v>7795.1000539737597</v>
      </c>
      <c r="AZ98" s="33">
        <f t="shared" si="36"/>
        <v>5.4186472931070078E-4</v>
      </c>
      <c r="BA98" s="26"/>
      <c r="BB98" s="26">
        <f t="shared" si="40"/>
        <v>136.45857980475853</v>
      </c>
      <c r="BC98" s="26"/>
      <c r="BD98"/>
      <c r="BE98" s="28">
        <f t="shared" si="32"/>
        <v>1.1239441656758125E-2</v>
      </c>
    </row>
    <row r="99" spans="1:57" s="26" customFormat="1">
      <c r="A99" s="26">
        <f t="shared" si="38"/>
        <v>2036</v>
      </c>
      <c r="B99" s="26">
        <f t="shared" si="39"/>
        <v>4</v>
      </c>
      <c r="C99" s="19"/>
      <c r="D99" s="19">
        <v>123702871.832698</v>
      </c>
      <c r="E99" s="19"/>
      <c r="F99" s="27">
        <v>23568953.194156799</v>
      </c>
      <c r="G99" s="19">
        <v>5252530.9522703895</v>
      </c>
      <c r="H99" s="19">
        <v>28897875.552214999</v>
      </c>
      <c r="I99" s="27">
        <v>162449.41089495999</v>
      </c>
      <c r="J99" s="19">
        <v>893748.72841901996</v>
      </c>
      <c r="K99" s="19"/>
      <c r="L99" s="27">
        <v>2075013.51377705</v>
      </c>
      <c r="M99" s="27"/>
      <c r="N99" s="27">
        <v>1084491.9398353801</v>
      </c>
      <c r="O99" s="19"/>
      <c r="P99" s="19">
        <v>16733809.663310099</v>
      </c>
      <c r="Q99" s="27"/>
      <c r="R99" s="27">
        <v>23110979.969213001</v>
      </c>
      <c r="S99" s="27"/>
      <c r="T99" s="19">
        <v>88366834.980208501</v>
      </c>
      <c r="U99" s="19"/>
      <c r="V99" s="27">
        <v>142372.25068114899</v>
      </c>
      <c r="W99" s="27"/>
      <c r="X99" s="27">
        <v>357598.04665219702</v>
      </c>
      <c r="Y99" s="19"/>
      <c r="Z99" s="19">
        <f t="shared" si="33"/>
        <v>-3475106.4278750792</v>
      </c>
      <c r="AA99" s="19"/>
      <c r="AB99" s="19">
        <f t="shared" si="34"/>
        <v>-52069846.515799597</v>
      </c>
      <c r="AC99" s="13"/>
      <c r="AD99" s="19"/>
      <c r="AE99" s="19"/>
      <c r="AF99" s="19">
        <f>BB97/100*AF25</f>
        <v>7825423761.6473389</v>
      </c>
      <c r="AG99" s="33">
        <f t="shared" si="41"/>
        <v>1.5411645947461918E-3</v>
      </c>
      <c r="AH99" s="33"/>
      <c r="AI99" s="33">
        <f t="shared" si="37"/>
        <v>-6.644127838642707E-3</v>
      </c>
      <c r="AT99"/>
      <c r="AU99"/>
      <c r="AV99" s="26">
        <v>12945507</v>
      </c>
      <c r="AW99"/>
      <c r="AX99" s="26">
        <f t="shared" si="35"/>
        <v>4.7553452520824281E-3</v>
      </c>
      <c r="AY99" s="32">
        <v>7797.9804641891296</v>
      </c>
      <c r="AZ99" s="33">
        <f t="shared" si="36"/>
        <v>3.6951548991363554E-4</v>
      </c>
      <c r="BB99" s="26">
        <f t="shared" si="40"/>
        <v>137.15815080474022</v>
      </c>
      <c r="BC99" s="40" t="e">
        <f>(BA99-BA95)/BA95</f>
        <v>#DIV/0!</v>
      </c>
      <c r="BD99"/>
      <c r="BE99" s="33">
        <f t="shared" si="32"/>
        <v>9.468050395167283E-3</v>
      </c>
    </row>
    <row r="100" spans="1:57">
      <c r="A100" s="34">
        <f t="shared" si="38"/>
        <v>2037</v>
      </c>
      <c r="B100" s="34">
        <f t="shared" si="39"/>
        <v>1</v>
      </c>
      <c r="C100" s="18"/>
      <c r="D100" s="18">
        <v>123815780.653271</v>
      </c>
      <c r="E100" s="18"/>
      <c r="F100" s="38">
        <v>23592311.269048899</v>
      </c>
      <c r="G100" s="18">
        <v>5305588.7712146696</v>
      </c>
      <c r="H100" s="18">
        <v>29189784.017459001</v>
      </c>
      <c r="I100" s="38">
        <v>164090.37436746299</v>
      </c>
      <c r="J100" s="18">
        <v>902776.825282234</v>
      </c>
      <c r="K100" s="18"/>
      <c r="L100" s="38">
        <v>2465180.74660738</v>
      </c>
      <c r="M100" s="38"/>
      <c r="N100" s="38">
        <v>1087327.50006122</v>
      </c>
      <c r="O100" s="18"/>
      <c r="P100" s="18">
        <v>18773989.704980701</v>
      </c>
      <c r="Q100" s="38"/>
      <c r="R100" s="38">
        <v>19450341.418624599</v>
      </c>
      <c r="S100" s="38"/>
      <c r="T100" s="18">
        <v>74370066.208267301</v>
      </c>
      <c r="U100" s="18"/>
      <c r="V100" s="38">
        <v>142451.017834636</v>
      </c>
      <c r="W100" s="38"/>
      <c r="X100" s="38">
        <v>357795.887032556</v>
      </c>
      <c r="Y100" s="18"/>
      <c r="Z100" s="18">
        <f t="shared" si="33"/>
        <v>-7552027.079258265</v>
      </c>
      <c r="AA100" s="18"/>
      <c r="AB100" s="18">
        <f t="shared" si="34"/>
        <v>-68219704.149984404</v>
      </c>
      <c r="AC100" s="13"/>
      <c r="AD100" s="19"/>
      <c r="AE100" s="19"/>
      <c r="AF100" s="19">
        <f>BB98/100*AF25</f>
        <v>7842308079.7074213</v>
      </c>
      <c r="AG100" s="33">
        <f t="shared" si="41"/>
        <v>2.1576234814059576E-3</v>
      </c>
      <c r="AH100" s="33"/>
      <c r="AI100" s="33">
        <f t="shared" si="37"/>
        <v>-8.4645971375131371E-3</v>
      </c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8">
        <f>AVERAGE(AG102:AG105)</f>
        <v>2.7948649296352891E-3</v>
      </c>
      <c r="AU100" s="34"/>
      <c r="AV100" s="34">
        <v>12909937</v>
      </c>
      <c r="AW100" s="34"/>
      <c r="AX100" s="34">
        <f t="shared" si="35"/>
        <v>-2.7476714507975626E-3</v>
      </c>
      <c r="AY100" s="39">
        <v>7822.3908264787897</v>
      </c>
      <c r="AZ100" s="28">
        <f t="shared" si="36"/>
        <v>3.1303441194499514E-3</v>
      </c>
      <c r="BA100" s="34"/>
      <c r="BB100" s="34">
        <f t="shared" si="40"/>
        <v>137.20945776152411</v>
      </c>
      <c r="BC100" s="34"/>
      <c r="BD100" s="34"/>
      <c r="BE100" s="33">
        <f t="shared" si="32"/>
        <v>1.1292780986498281E-2</v>
      </c>
    </row>
    <row r="101" spans="1:57">
      <c r="A101" s="26">
        <f t="shared" si="38"/>
        <v>2037</v>
      </c>
      <c r="B101" s="26">
        <f t="shared" si="39"/>
        <v>2</v>
      </c>
      <c r="C101" s="19"/>
      <c r="D101" s="19">
        <v>124981981.583206</v>
      </c>
      <c r="E101" s="19"/>
      <c r="F101" s="27">
        <v>23817033.071257301</v>
      </c>
      <c r="G101" s="19">
        <v>5399321.2813148098</v>
      </c>
      <c r="H101" s="19">
        <v>29705472.632468499</v>
      </c>
      <c r="I101" s="27">
        <v>166989.31797881</v>
      </c>
      <c r="J101" s="19">
        <v>918725.95770521602</v>
      </c>
      <c r="K101" s="19"/>
      <c r="L101" s="27">
        <v>1974949.8861032999</v>
      </c>
      <c r="M101" s="27"/>
      <c r="N101" s="27">
        <v>1100078.47867095</v>
      </c>
      <c r="O101" s="19"/>
      <c r="P101" s="19">
        <v>16300331.5615294</v>
      </c>
      <c r="Q101" s="27"/>
      <c r="R101" s="27">
        <v>23157419.872997001</v>
      </c>
      <c r="S101" s="27"/>
      <c r="T101" s="19">
        <v>88544401.977351993</v>
      </c>
      <c r="U101" s="19"/>
      <c r="V101" s="27">
        <v>138094.55822589301</v>
      </c>
      <c r="W101" s="27"/>
      <c r="X101" s="27">
        <v>346853.71649755002</v>
      </c>
      <c r="Y101" s="19"/>
      <c r="Z101" s="19">
        <f t="shared" si="33"/>
        <v>-3596547.0048086569</v>
      </c>
      <c r="AA101" s="19"/>
      <c r="AB101" s="19">
        <f t="shared" si="34"/>
        <v>-52737911.167383403</v>
      </c>
      <c r="AC101" s="13"/>
      <c r="AD101" s="19"/>
      <c r="AE101" s="19"/>
      <c r="AF101" s="19">
        <f>BB99/100*AF25</f>
        <v>7882512596.8094969</v>
      </c>
      <c r="AG101" s="33">
        <f t="shared" si="41"/>
        <v>5.1266179157266056E-3</v>
      </c>
      <c r="AH101" s="33">
        <f>(AF101-AF97)/AF97</f>
        <v>1.0846017156230969E-2</v>
      </c>
      <c r="AI101" s="33">
        <f t="shared" si="37"/>
        <v>-6.6057422523974445E-3</v>
      </c>
      <c r="AJ101" s="40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>
        <v>12923128</v>
      </c>
      <c r="AW101" s="26"/>
      <c r="AX101" s="26">
        <f t="shared" si="35"/>
        <v>1.0217710589912252E-3</v>
      </c>
      <c r="AY101" s="32">
        <v>7827.1578464923796</v>
      </c>
      <c r="AZ101" s="33">
        <f t="shared" si="36"/>
        <v>6.0940703671485432E-4</v>
      </c>
      <c r="BA101" s="26"/>
      <c r="BB101" s="26">
        <f t="shared" si="40"/>
        <v>137.43335626037526</v>
      </c>
      <c r="BC101" s="26"/>
      <c r="BD101" s="26"/>
      <c r="BE101" s="33">
        <f t="shared" si="32"/>
        <v>9.4507344612013034E-3</v>
      </c>
    </row>
    <row r="102" spans="1:57" s="34" customFormat="1">
      <c r="A102" s="26">
        <f t="shared" si="38"/>
        <v>2037</v>
      </c>
      <c r="B102" s="26">
        <f t="shared" si="39"/>
        <v>3</v>
      </c>
      <c r="C102" s="19"/>
      <c r="D102" s="19">
        <v>125369654.920738</v>
      </c>
      <c r="E102" s="19"/>
      <c r="F102" s="27">
        <v>23892705.769169401</v>
      </c>
      <c r="G102" s="19">
        <v>5513367.2696491899</v>
      </c>
      <c r="H102" s="19">
        <v>30332920.011277702</v>
      </c>
      <c r="I102" s="27">
        <v>170516.51349430301</v>
      </c>
      <c r="J102" s="19">
        <v>938131.54674053902</v>
      </c>
      <c r="K102" s="19"/>
      <c r="L102" s="27">
        <v>1941575.2568469699</v>
      </c>
      <c r="M102" s="27"/>
      <c r="N102" s="27">
        <v>1105286.9585100701</v>
      </c>
      <c r="O102" s="19"/>
      <c r="P102" s="19">
        <v>16155805.970986901</v>
      </c>
      <c r="Q102" s="27"/>
      <c r="R102" s="27">
        <v>19642759.358566701</v>
      </c>
      <c r="S102" s="27"/>
      <c r="T102" s="19">
        <v>75105792.878826097</v>
      </c>
      <c r="U102" s="19"/>
      <c r="V102" s="27">
        <v>137001.26502698101</v>
      </c>
      <c r="W102" s="27"/>
      <c r="X102" s="27">
        <v>344107.679187059</v>
      </c>
      <c r="Y102" s="19"/>
      <c r="Z102" s="19">
        <f t="shared" si="33"/>
        <v>-7159807.3609327618</v>
      </c>
      <c r="AA102" s="19"/>
      <c r="AB102" s="19">
        <f t="shared" si="34"/>
        <v>-66419668.012898803</v>
      </c>
      <c r="AC102" s="13"/>
      <c r="AD102" s="18"/>
      <c r="AE102" s="18"/>
      <c r="AF102" s="18">
        <f>BB100/100*AF25</f>
        <v>7885461220.2108784</v>
      </c>
      <c r="AG102" s="28">
        <f t="shared" si="41"/>
        <v>3.7407151148416418E-4</v>
      </c>
      <c r="AH102" s="28"/>
      <c r="AI102" s="28">
        <f t="shared" si="37"/>
        <v>-8.6513270745829669E-3</v>
      </c>
      <c r="AT102" s="19"/>
      <c r="AU102"/>
      <c r="AV102" s="26">
        <v>12962339</v>
      </c>
      <c r="AW102"/>
      <c r="AX102" s="26">
        <f t="shared" si="35"/>
        <v>3.0341725316038039E-3</v>
      </c>
      <c r="AY102" s="32">
        <v>7842.4888348451605</v>
      </c>
      <c r="AZ102" s="33">
        <f t="shared" si="36"/>
        <v>1.9586916034472495E-3</v>
      </c>
      <c r="BA102" s="26"/>
      <c r="BB102" s="26">
        <f t="shared" si="40"/>
        <v>138.120359103379</v>
      </c>
      <c r="BC102" s="26"/>
      <c r="BD102"/>
      <c r="BE102" s="28">
        <f t="shared" si="32"/>
        <v>1.1231085244419297E-2</v>
      </c>
    </row>
    <row r="103" spans="1:57" s="26" customFormat="1">
      <c r="A103" s="26">
        <f t="shared" si="38"/>
        <v>2037</v>
      </c>
      <c r="B103" s="26">
        <f t="shared" si="39"/>
        <v>4</v>
      </c>
      <c r="C103" s="19"/>
      <c r="D103" s="19">
        <v>125649748.03762101</v>
      </c>
      <c r="E103" s="19"/>
      <c r="F103" s="27">
        <v>23946811.667996801</v>
      </c>
      <c r="G103" s="19">
        <v>5600461.2397805303</v>
      </c>
      <c r="H103" s="19">
        <v>30812085.338064801</v>
      </c>
      <c r="I103" s="27">
        <v>173210.14143651101</v>
      </c>
      <c r="J103" s="19">
        <v>952951.09292983497</v>
      </c>
      <c r="K103" s="19"/>
      <c r="L103" s="27">
        <v>1970427.1168074501</v>
      </c>
      <c r="M103" s="27"/>
      <c r="N103" s="27">
        <v>1108482.6178189099</v>
      </c>
      <c r="O103" s="19"/>
      <c r="P103" s="19">
        <v>16323099.984123001</v>
      </c>
      <c r="Q103" s="27"/>
      <c r="R103" s="27">
        <v>23430624.235322502</v>
      </c>
      <c r="S103" s="27"/>
      <c r="T103" s="19">
        <v>89589022.535789907</v>
      </c>
      <c r="U103" s="19"/>
      <c r="V103" s="27">
        <v>140540.06893006101</v>
      </c>
      <c r="W103" s="27"/>
      <c r="X103" s="27">
        <v>352996.13432612002</v>
      </c>
      <c r="Y103" s="19"/>
      <c r="Z103" s="19">
        <f t="shared" si="33"/>
        <v>-3454557.0983706005</v>
      </c>
      <c r="AA103" s="19"/>
      <c r="AB103" s="19">
        <f t="shared" si="34"/>
        <v>-52383825.485954106</v>
      </c>
      <c r="AC103" s="13"/>
      <c r="AD103" s="19"/>
      <c r="AE103" s="19"/>
      <c r="AF103" s="19">
        <f>BB101/100*AF25</f>
        <v>7898328721.9032393</v>
      </c>
      <c r="AG103" s="33">
        <f t="shared" si="41"/>
        <v>1.6318007701795238E-3</v>
      </c>
      <c r="AH103" s="33"/>
      <c r="AI103" s="33">
        <f t="shared" si="37"/>
        <v>-6.6770975258516824E-3</v>
      </c>
      <c r="AT103"/>
      <c r="AU103"/>
      <c r="AV103" s="26">
        <v>12968064</v>
      </c>
      <c r="AW103"/>
      <c r="AX103" s="26">
        <f t="shared" si="35"/>
        <v>4.4166411632962229E-4</v>
      </c>
      <c r="AY103" s="32">
        <v>7871.7528319269004</v>
      </c>
      <c r="AZ103" s="33">
        <f t="shared" si="36"/>
        <v>3.7314681216651961E-3</v>
      </c>
      <c r="BB103" s="26">
        <f t="shared" si="40"/>
        <v>138.69698125670396</v>
      </c>
      <c r="BC103" s="40" t="e">
        <f>(BA103-BA99)/BA99</f>
        <v>#DIV/0!</v>
      </c>
      <c r="BD103"/>
      <c r="BE103" s="33">
        <f t="shared" si="32"/>
        <v>9.4444189104798508E-3</v>
      </c>
    </row>
    <row r="104" spans="1:57">
      <c r="A104" s="34">
        <f t="shared" si="38"/>
        <v>2038</v>
      </c>
      <c r="B104" s="34">
        <f t="shared" si="39"/>
        <v>1</v>
      </c>
      <c r="C104" s="18"/>
      <c r="D104" s="18">
        <v>126455101.556954</v>
      </c>
      <c r="E104" s="18"/>
      <c r="F104" s="38">
        <v>24102007.370749202</v>
      </c>
      <c r="G104" s="18">
        <v>5673222.3561675297</v>
      </c>
      <c r="H104" s="18">
        <v>31212395.532426</v>
      </c>
      <c r="I104" s="38">
        <v>175460.485242294</v>
      </c>
      <c r="J104" s="18">
        <v>965331.82059049106</v>
      </c>
      <c r="K104" s="18"/>
      <c r="L104" s="38">
        <v>2399097.0179342199</v>
      </c>
      <c r="M104" s="38"/>
      <c r="N104" s="38">
        <v>1117295.7852816901</v>
      </c>
      <c r="O104" s="18"/>
      <c r="P104" s="18">
        <v>18595957.585956201</v>
      </c>
      <c r="Q104" s="38"/>
      <c r="R104" s="38">
        <v>19812340.941606</v>
      </c>
      <c r="S104" s="38"/>
      <c r="T104" s="18">
        <v>75754202.759500995</v>
      </c>
      <c r="U104" s="18"/>
      <c r="V104" s="38">
        <v>141962.47364326401</v>
      </c>
      <c r="W104" s="38"/>
      <c r="X104" s="38">
        <v>356568.80487502803</v>
      </c>
      <c r="Y104" s="18"/>
      <c r="Z104" s="18">
        <f t="shared" si="33"/>
        <v>-7664096.7587158475</v>
      </c>
      <c r="AA104" s="18"/>
      <c r="AB104" s="18">
        <f t="shared" si="34"/>
        <v>-69296856.383409202</v>
      </c>
      <c r="AC104" s="13"/>
      <c r="AD104" s="19"/>
      <c r="AE104" s="19"/>
      <c r="AF104" s="19">
        <f>BB102/100*AF25</f>
        <v>7937810943.9385166</v>
      </c>
      <c r="AG104" s="33">
        <f t="shared" si="41"/>
        <v>4.9988071433121409E-3</v>
      </c>
      <c r="AH104" s="33"/>
      <c r="AI104" s="33">
        <f t="shared" si="37"/>
        <v>-8.367504401653493E-3</v>
      </c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8">
        <f>AVERAGE(AG106:AG109)</f>
        <v>1.9377149027071962E-3</v>
      </c>
      <c r="AU104" s="34"/>
      <c r="AV104" s="34">
        <v>12967829</v>
      </c>
      <c r="AW104" s="34"/>
      <c r="AX104" s="34">
        <f t="shared" si="35"/>
        <v>-1.8121440486413391E-5</v>
      </c>
      <c r="AY104" s="39">
        <v>7901.6070703719097</v>
      </c>
      <c r="AZ104" s="28">
        <f t="shared" si="36"/>
        <v>3.7925782328840432E-3</v>
      </c>
      <c r="BA104" s="34"/>
      <c r="BB104" s="34">
        <f t="shared" si="40"/>
        <v>139.22047748746863</v>
      </c>
      <c r="BC104" s="34"/>
      <c r="BD104" s="34"/>
      <c r="BE104" s="33">
        <f t="shared" si="32"/>
        <v>1.1246922693771024E-2</v>
      </c>
    </row>
    <row r="105" spans="1:57">
      <c r="A105" s="26">
        <f t="shared" si="38"/>
        <v>2038</v>
      </c>
      <c r="B105" s="26">
        <f t="shared" si="39"/>
        <v>2</v>
      </c>
      <c r="C105" s="19"/>
      <c r="D105" s="19">
        <v>126932105.662551</v>
      </c>
      <c r="E105" s="19"/>
      <c r="F105" s="27">
        <v>24194728.440026801</v>
      </c>
      <c r="G105" s="19">
        <v>5769111.5193208503</v>
      </c>
      <c r="H105" s="19">
        <v>31739949.416218501</v>
      </c>
      <c r="I105" s="27">
        <v>178426.12946353201</v>
      </c>
      <c r="J105" s="19">
        <v>981647.92008923495</v>
      </c>
      <c r="K105" s="19"/>
      <c r="L105" s="27">
        <v>1943607.4200318099</v>
      </c>
      <c r="M105" s="27"/>
      <c r="N105" s="27">
        <v>1123315.7119619499</v>
      </c>
      <c r="O105" s="19"/>
      <c r="P105" s="19">
        <v>16265539.7575635</v>
      </c>
      <c r="Q105" s="27"/>
      <c r="R105" s="27">
        <v>23581302.483505901</v>
      </c>
      <c r="S105" s="27"/>
      <c r="T105" s="19">
        <v>90165153.877259299</v>
      </c>
      <c r="U105" s="19"/>
      <c r="V105" s="27">
        <v>139583.351249853</v>
      </c>
      <c r="W105" s="27"/>
      <c r="X105" s="27">
        <v>350593.13534279901</v>
      </c>
      <c r="Y105" s="19"/>
      <c r="Z105" s="19">
        <f t="shared" si="33"/>
        <v>-3540765.7372648083</v>
      </c>
      <c r="AA105" s="19"/>
      <c r="AB105" s="19">
        <f t="shared" si="34"/>
        <v>-53032491.542855203</v>
      </c>
      <c r="AC105" s="13"/>
      <c r="AD105" s="19"/>
      <c r="AE105" s="19"/>
      <c r="AF105" s="19">
        <f>BB103/100*AF25</f>
        <v>7970949560.6413183</v>
      </c>
      <c r="AG105" s="33">
        <f t="shared" si="41"/>
        <v>4.1747802935653269E-3</v>
      </c>
      <c r="AH105" s="33">
        <f>(AF105-AF101)/AF101</f>
        <v>1.1219387567819039E-2</v>
      </c>
      <c r="AI105" s="33">
        <f t="shared" si="37"/>
        <v>-6.5718425499281998E-3</v>
      </c>
      <c r="AJ105" s="40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>
        <v>12912758</v>
      </c>
      <c r="AW105" s="26"/>
      <c r="AX105" s="26">
        <f t="shared" si="35"/>
        <v>-4.2467401443988815E-3</v>
      </c>
      <c r="AY105" s="32">
        <v>7918.7265125690601</v>
      </c>
      <c r="AZ105" s="33">
        <f t="shared" si="36"/>
        <v>2.1665772601300267E-3</v>
      </c>
      <c r="BA105" s="26"/>
      <c r="BB105" s="26">
        <f t="shared" si="40"/>
        <v>138.92959526508267</v>
      </c>
      <c r="BC105" s="26"/>
      <c r="BD105" s="26"/>
      <c r="BE105" s="33">
        <f t="shared" ref="BE105:BE136" si="42">T110/AF112</f>
        <v>9.451252531895396E-3</v>
      </c>
    </row>
    <row r="106" spans="1:57" s="34" customFormat="1">
      <c r="A106" s="26">
        <f t="shared" si="38"/>
        <v>2038</v>
      </c>
      <c r="B106" s="26">
        <f t="shared" si="39"/>
        <v>3</v>
      </c>
      <c r="C106" s="19"/>
      <c r="D106" s="19">
        <v>126720136.25357801</v>
      </c>
      <c r="E106" s="19"/>
      <c r="F106" s="27">
        <v>24156452.708365299</v>
      </c>
      <c r="G106" s="19">
        <v>5855228.0627810797</v>
      </c>
      <c r="H106" s="19">
        <v>32213737.229848601</v>
      </c>
      <c r="I106" s="27">
        <v>181089.527714878</v>
      </c>
      <c r="J106" s="19">
        <v>996301.151438614</v>
      </c>
      <c r="K106" s="19"/>
      <c r="L106" s="27">
        <v>1946975.4307750899</v>
      </c>
      <c r="M106" s="27"/>
      <c r="N106" s="27">
        <v>1123567.92951105</v>
      </c>
      <c r="O106" s="19"/>
      <c r="P106" s="19">
        <v>16284404.0078602</v>
      </c>
      <c r="Q106" s="27"/>
      <c r="R106" s="27">
        <v>19736108.220275801</v>
      </c>
      <c r="S106" s="27"/>
      <c r="T106" s="19">
        <v>75462720.342275307</v>
      </c>
      <c r="U106" s="19"/>
      <c r="V106" s="27">
        <v>144939.256610293</v>
      </c>
      <c r="W106" s="27"/>
      <c r="X106" s="27">
        <v>364045.625457861</v>
      </c>
      <c r="Y106" s="19"/>
      <c r="Z106" s="19">
        <f t="shared" si="33"/>
        <v>-7345948.5917653479</v>
      </c>
      <c r="AA106" s="19"/>
      <c r="AB106" s="19">
        <f t="shared" si="34"/>
        <v>-67541819.919162899</v>
      </c>
      <c r="AC106" s="13"/>
      <c r="AD106" s="18"/>
      <c r="AE106" s="18"/>
      <c r="AF106" s="18">
        <f>BB104/100*AF25</f>
        <v>8001035017.5330429</v>
      </c>
      <c r="AG106" s="28">
        <f t="shared" si="41"/>
        <v>3.774388065416889E-3</v>
      </c>
      <c r="AH106" s="28"/>
      <c r="AI106" s="28">
        <f t="shared" si="37"/>
        <v>-8.6609865138142453E-3</v>
      </c>
      <c r="AT106" s="19"/>
      <c r="AU106"/>
      <c r="AV106" s="26">
        <v>12913908</v>
      </c>
      <c r="AW106"/>
      <c r="AX106" s="26">
        <f t="shared" si="35"/>
        <v>8.9059207955418973E-5</v>
      </c>
      <c r="AY106" s="32">
        <v>7918.5514200334301</v>
      </c>
      <c r="AZ106" s="33">
        <f t="shared" si="36"/>
        <v>-2.2111198732790128E-5</v>
      </c>
      <c r="BA106" s="26"/>
      <c r="BB106" s="26">
        <f t="shared" si="40"/>
        <v>138.93889605132682</v>
      </c>
      <c r="BC106" s="26"/>
      <c r="BD106"/>
      <c r="BE106" s="28">
        <f t="shared" si="42"/>
        <v>1.1209167002016499E-2</v>
      </c>
    </row>
    <row r="107" spans="1:57" s="26" customFormat="1">
      <c r="A107" s="26">
        <f t="shared" si="38"/>
        <v>2038</v>
      </c>
      <c r="B107" s="26">
        <f t="shared" si="39"/>
        <v>4</v>
      </c>
      <c r="C107" s="19"/>
      <c r="D107" s="19">
        <v>126709310.212437</v>
      </c>
      <c r="E107" s="19"/>
      <c r="F107" s="27">
        <v>24156312.592480101</v>
      </c>
      <c r="G107" s="19">
        <v>5925487.1052707704</v>
      </c>
      <c r="H107" s="19">
        <v>32600281.751858</v>
      </c>
      <c r="I107" s="27">
        <v>183262.48779187899</v>
      </c>
      <c r="J107" s="19">
        <v>1008256.1366554</v>
      </c>
      <c r="K107" s="19"/>
      <c r="L107" s="27">
        <v>1930835.9681271201</v>
      </c>
      <c r="M107" s="27"/>
      <c r="N107" s="27">
        <v>1125395.5747533599</v>
      </c>
      <c r="O107" s="19"/>
      <c r="P107" s="19">
        <v>16210711.4243367</v>
      </c>
      <c r="Q107" s="27"/>
      <c r="R107" s="27">
        <v>23594739.225138899</v>
      </c>
      <c r="S107" s="27"/>
      <c r="T107" s="19">
        <v>90216530.423478201</v>
      </c>
      <c r="U107" s="19"/>
      <c r="V107" s="27">
        <v>146019.68552404401</v>
      </c>
      <c r="W107" s="27"/>
      <c r="X107" s="27">
        <v>366759.35139290401</v>
      </c>
      <c r="Y107" s="19"/>
      <c r="Z107" s="19">
        <f t="shared" si="33"/>
        <v>-3471785.2246976383</v>
      </c>
      <c r="AA107" s="19"/>
      <c r="AB107" s="19">
        <f t="shared" si="34"/>
        <v>-52703491.213295504</v>
      </c>
      <c r="AC107" s="13"/>
      <c r="AD107" s="19"/>
      <c r="AE107" s="19"/>
      <c r="AF107" s="19">
        <f>BB105/100*AF25</f>
        <v>7984317944.8057404</v>
      </c>
      <c r="AG107" s="33">
        <f t="shared" si="41"/>
        <v>-2.0893637748953288E-3</v>
      </c>
      <c r="AH107" s="33"/>
      <c r="AI107" s="33">
        <f t="shared" si="37"/>
        <v>-6.6420816291961294E-3</v>
      </c>
      <c r="AT107"/>
      <c r="AU107"/>
      <c r="AV107" s="26">
        <v>12920724</v>
      </c>
      <c r="AW107"/>
      <c r="AX107" s="26">
        <f t="shared" si="35"/>
        <v>5.2780304769090816E-4</v>
      </c>
      <c r="AY107" s="32">
        <v>7961.8516436996897</v>
      </c>
      <c r="AZ107" s="33">
        <f t="shared" si="36"/>
        <v>5.46820009992141E-3</v>
      </c>
      <c r="BB107" s="26">
        <f t="shared" si="40"/>
        <v>139.7723751054645</v>
      </c>
      <c r="BC107" s="40" t="e">
        <f>(BA107-BA103)/BA103</f>
        <v>#DIV/0!</v>
      </c>
      <c r="BD107"/>
      <c r="BE107" s="33">
        <f t="shared" si="42"/>
        <v>9.4451316971140304E-3</v>
      </c>
    </row>
    <row r="108" spans="1:57">
      <c r="A108" s="34">
        <f t="shared" si="38"/>
        <v>2039</v>
      </c>
      <c r="B108" s="34">
        <f t="shared" si="39"/>
        <v>1</v>
      </c>
      <c r="C108" s="18"/>
      <c r="D108" s="18">
        <v>126290011.691765</v>
      </c>
      <c r="E108" s="18"/>
      <c r="F108" s="38">
        <v>24077626.408036102</v>
      </c>
      <c r="G108" s="18">
        <v>5989748.7201413</v>
      </c>
      <c r="H108" s="18">
        <v>32953830.196633998</v>
      </c>
      <c r="I108" s="38">
        <v>185249.96041674199</v>
      </c>
      <c r="J108" s="18">
        <v>1019190.62463817</v>
      </c>
      <c r="K108" s="18"/>
      <c r="L108" s="38">
        <v>2395094.1163955298</v>
      </c>
      <c r="M108" s="38"/>
      <c r="N108" s="38">
        <v>1122921.85977256</v>
      </c>
      <c r="O108" s="18"/>
      <c r="P108" s="18">
        <v>18606139.512731399</v>
      </c>
      <c r="Q108" s="38"/>
      <c r="R108" s="38">
        <v>19851562.026792701</v>
      </c>
      <c r="S108" s="38"/>
      <c r="T108" s="18">
        <v>75904167.978070393</v>
      </c>
      <c r="U108" s="18"/>
      <c r="V108" s="38">
        <v>145692.702599012</v>
      </c>
      <c r="W108" s="38"/>
      <c r="X108" s="38">
        <v>365938.064557017</v>
      </c>
      <c r="Y108" s="18"/>
      <c r="Z108" s="18">
        <f t="shared" si="33"/>
        <v>-7598387.6548124775</v>
      </c>
      <c r="AA108" s="18"/>
      <c r="AB108" s="18">
        <f t="shared" si="34"/>
        <v>-68991983.226426005</v>
      </c>
      <c r="AC108" s="13"/>
      <c r="AD108" s="19"/>
      <c r="AE108" s="19"/>
      <c r="AF108" s="19">
        <f>BB106/100*AF25</f>
        <v>7984852463.2743816</v>
      </c>
      <c r="AG108" s="33">
        <f t="shared" si="41"/>
        <v>6.6946040016983073E-5</v>
      </c>
      <c r="AH108" s="33"/>
      <c r="AI108" s="33">
        <f t="shared" si="37"/>
        <v>-8.4587436311209865E-3</v>
      </c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8">
        <f>AVERAGE(AG110:AG113)</f>
        <v>3.6499680747205837E-4</v>
      </c>
      <c r="AU108" s="34"/>
      <c r="AV108" s="34">
        <v>12932131</v>
      </c>
      <c r="AW108" s="34"/>
      <c r="AX108" s="34">
        <f t="shared" si="35"/>
        <v>8.8284526470807669E-4</v>
      </c>
      <c r="AY108" s="39">
        <v>7958.9691256544702</v>
      </c>
      <c r="AZ108" s="28">
        <f t="shared" si="36"/>
        <v>-3.6204116507250976E-4</v>
      </c>
      <c r="BA108" s="34"/>
      <c r="BB108" s="34">
        <f t="shared" si="40"/>
        <v>139.84512445650418</v>
      </c>
      <c r="BC108" s="34"/>
      <c r="BD108" s="34"/>
      <c r="BE108" s="33">
        <f t="shared" si="42"/>
        <v>1.1251958525958195E-2</v>
      </c>
    </row>
    <row r="109" spans="1:57">
      <c r="A109" s="26">
        <f t="shared" si="38"/>
        <v>2039</v>
      </c>
      <c r="B109" s="26">
        <f t="shared" si="39"/>
        <v>2</v>
      </c>
      <c r="C109" s="19"/>
      <c r="D109" s="19">
        <v>126759862.184321</v>
      </c>
      <c r="E109" s="19"/>
      <c r="F109" s="27">
        <v>24168882.407400601</v>
      </c>
      <c r="G109" s="19">
        <v>6051602.1537387203</v>
      </c>
      <c r="H109" s="19">
        <v>33294129.538573701</v>
      </c>
      <c r="I109" s="27">
        <v>187162.95320841399</v>
      </c>
      <c r="J109" s="19">
        <v>1029715.34655382</v>
      </c>
      <c r="K109" s="19"/>
      <c r="L109" s="27">
        <v>1937786.8745197</v>
      </c>
      <c r="M109" s="27"/>
      <c r="N109" s="27">
        <v>1128776.9703889601</v>
      </c>
      <c r="O109" s="19"/>
      <c r="P109" s="19">
        <v>16265383.151765101</v>
      </c>
      <c r="Q109" s="27"/>
      <c r="R109" s="27">
        <v>23611557.719496001</v>
      </c>
      <c r="S109" s="27"/>
      <c r="T109" s="19">
        <v>90280837.394340202</v>
      </c>
      <c r="U109" s="19"/>
      <c r="V109" s="27">
        <v>143012.113667422</v>
      </c>
      <c r="W109" s="27"/>
      <c r="X109" s="27">
        <v>359205.19799609698</v>
      </c>
      <c r="Y109" s="19"/>
      <c r="Z109" s="19">
        <f t="shared" si="33"/>
        <v>-3480876.4191458374</v>
      </c>
      <c r="AA109" s="19"/>
      <c r="AB109" s="19">
        <f t="shared" si="34"/>
        <v>-52744407.941745892</v>
      </c>
      <c r="AC109" s="13"/>
      <c r="AD109" s="19"/>
      <c r="AE109" s="19"/>
      <c r="AF109" s="19">
        <f>BB107/100*AF25</f>
        <v>8032752709.1210175</v>
      </c>
      <c r="AG109" s="33">
        <f t="shared" si="41"/>
        <v>5.9988892802902418E-3</v>
      </c>
      <c r="AH109" s="33">
        <f>(AF109-AF105)/AF105</f>
        <v>7.7535490608131065E-3</v>
      </c>
      <c r="AI109" s="33">
        <f t="shared" si="37"/>
        <v>-6.5610747799383674E-3</v>
      </c>
      <c r="AJ109" s="40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>
        <v>12899323</v>
      </c>
      <c r="AW109" s="26"/>
      <c r="AX109" s="26">
        <f t="shared" si="35"/>
        <v>-2.5369368745182057E-3</v>
      </c>
      <c r="AY109" s="32">
        <v>7969.5075115404998</v>
      </c>
      <c r="AZ109" s="33">
        <f t="shared" si="36"/>
        <v>1.32408930348288E-3</v>
      </c>
      <c r="BA109" s="26"/>
      <c r="BB109" s="26">
        <f t="shared" si="40"/>
        <v>139.67504387889613</v>
      </c>
      <c r="BC109" s="26"/>
      <c r="BD109" s="26"/>
      <c r="BE109" s="33">
        <f t="shared" si="42"/>
        <v>9.4837402450776952E-3</v>
      </c>
    </row>
    <row r="110" spans="1:57" s="34" customFormat="1">
      <c r="A110" s="26">
        <f t="shared" si="38"/>
        <v>2039</v>
      </c>
      <c r="B110" s="26">
        <f t="shared" si="39"/>
        <v>3</v>
      </c>
      <c r="C110" s="19"/>
      <c r="D110" s="19">
        <v>126739492.783406</v>
      </c>
      <c r="E110" s="19"/>
      <c r="F110" s="27">
        <v>24167395.6452237</v>
      </c>
      <c r="G110" s="19">
        <v>6159275.78272021</v>
      </c>
      <c r="H110" s="19">
        <v>33886518.076373197</v>
      </c>
      <c r="I110" s="27">
        <v>190493.06544495601</v>
      </c>
      <c r="J110" s="19">
        <v>1048036.64153732</v>
      </c>
      <c r="K110" s="19"/>
      <c r="L110" s="27">
        <v>1914597.7133113199</v>
      </c>
      <c r="M110" s="27"/>
      <c r="N110" s="27">
        <v>1130992.5879454899</v>
      </c>
      <c r="O110" s="19"/>
      <c r="P110" s="19">
        <v>16157244.1581013</v>
      </c>
      <c r="Q110" s="27"/>
      <c r="R110" s="27">
        <v>19826886.220022399</v>
      </c>
      <c r="S110" s="27"/>
      <c r="T110" s="19">
        <v>75809817.892189994</v>
      </c>
      <c r="U110" s="19"/>
      <c r="V110" s="27">
        <v>144336.60640429801</v>
      </c>
      <c r="W110" s="27"/>
      <c r="X110" s="27">
        <v>362531.94188927702</v>
      </c>
      <c r="Y110" s="19"/>
      <c r="Z110" s="19">
        <f t="shared" ref="Z110:Z115" si="43">R110+V110-N110-L110-F110</f>
        <v>-7241763.1200538129</v>
      </c>
      <c r="AA110" s="19"/>
      <c r="AB110" s="19">
        <f t="shared" ref="AB110:AB115" si="44">T110-P110-D110</f>
        <v>-67086919.049317308</v>
      </c>
      <c r="AC110" s="13"/>
      <c r="AD110" s="18"/>
      <c r="AE110" s="18"/>
      <c r="AF110" s="18">
        <f>BB108/100*AF25</f>
        <v>8036933632.1840334</v>
      </c>
      <c r="AG110" s="28">
        <f t="shared" si="41"/>
        <v>5.2048447330746157E-4</v>
      </c>
      <c r="AH110" s="28"/>
      <c r="AI110" s="28">
        <f t="shared" si="37"/>
        <v>-8.5843664242972548E-3</v>
      </c>
      <c r="AT110" s="19"/>
      <c r="AU110"/>
      <c r="AV110" s="26">
        <v>12866987</v>
      </c>
      <c r="AW110"/>
      <c r="AX110" s="26">
        <f t="shared" si="35"/>
        <v>-2.506798224992118E-3</v>
      </c>
      <c r="AY110" s="32">
        <v>7983.5446232069398</v>
      </c>
      <c r="AZ110" s="33">
        <f t="shared" si="36"/>
        <v>1.7613524607528359E-3</v>
      </c>
      <c r="BA110" s="26"/>
      <c r="BB110" s="26">
        <f t="shared" si="40"/>
        <v>139.5703069941323</v>
      </c>
      <c r="BC110" s="26"/>
      <c r="BD110"/>
      <c r="BE110" s="28">
        <f t="shared" si="42"/>
        <v>1.1262259037387735E-2</v>
      </c>
    </row>
    <row r="111" spans="1:57" s="26" customFormat="1">
      <c r="A111" s="26">
        <f t="shared" si="38"/>
        <v>2039</v>
      </c>
      <c r="B111" s="26">
        <f t="shared" si="39"/>
        <v>4</v>
      </c>
      <c r="C111" s="19"/>
      <c r="D111" s="19">
        <v>126874070.589994</v>
      </c>
      <c r="E111" s="19"/>
      <c r="F111" s="27">
        <v>24193777.657540299</v>
      </c>
      <c r="G111" s="19">
        <v>6237570.5960641997</v>
      </c>
      <c r="H111" s="19">
        <v>34317273.038687304</v>
      </c>
      <c r="I111" s="27">
        <v>192914.55451744999</v>
      </c>
      <c r="J111" s="19">
        <v>1061358.9599593999</v>
      </c>
      <c r="K111" s="19"/>
      <c r="L111" s="27">
        <v>1888635.1352460701</v>
      </c>
      <c r="M111" s="27"/>
      <c r="N111" s="27">
        <v>1132913.4908869099</v>
      </c>
      <c r="O111" s="19"/>
      <c r="P111" s="19">
        <v>16033092.4583256</v>
      </c>
      <c r="Q111" s="27"/>
      <c r="R111" s="27">
        <v>23582971.715945501</v>
      </c>
      <c r="S111" s="27"/>
      <c r="T111" s="19">
        <v>90171536.332167506</v>
      </c>
      <c r="U111" s="19"/>
      <c r="V111" s="27">
        <v>141372.200712652</v>
      </c>
      <c r="W111" s="27"/>
      <c r="X111" s="27">
        <v>355086.20945373899</v>
      </c>
      <c r="Y111" s="19"/>
      <c r="Z111" s="19">
        <f t="shared" si="43"/>
        <v>-3490982.3670151234</v>
      </c>
      <c r="AA111" s="19"/>
      <c r="AB111" s="19">
        <f t="shared" si="44"/>
        <v>-52735626.716152087</v>
      </c>
      <c r="AC111" s="13"/>
      <c r="AD111" s="19"/>
      <c r="AE111" s="19"/>
      <c r="AF111" s="19">
        <f>BB109/100*AF25</f>
        <v>8027159059.6369247</v>
      </c>
      <c r="AG111" s="33">
        <f t="shared" si="41"/>
        <v>-1.2162067020145858E-3</v>
      </c>
      <c r="AH111" s="33"/>
      <c r="AI111" s="33">
        <f t="shared" si="37"/>
        <v>-6.570744088897071E-3</v>
      </c>
      <c r="AT111"/>
      <c r="AU111"/>
      <c r="AV111" s="26">
        <v>12917623</v>
      </c>
      <c r="AW111"/>
      <c r="AX111" s="26">
        <f t="shared" si="35"/>
        <v>3.9353424387543095E-3</v>
      </c>
      <c r="AY111" s="32">
        <v>7975.35562013665</v>
      </c>
      <c r="AZ111" s="33">
        <f t="shared" ref="AZ111:AZ142" si="45">(AY111-AY110)/AY110</f>
        <v>-1.0257352412718561E-3</v>
      </c>
      <c r="BB111" s="26">
        <f t="shared" si="40"/>
        <v>139.97583837170478</v>
      </c>
      <c r="BC111" s="40" t="e">
        <f>(BA111-BA107)/BA107</f>
        <v>#DIV/0!</v>
      </c>
      <c r="BD111"/>
      <c r="BE111" s="33"/>
    </row>
    <row r="112" spans="1:57">
      <c r="A112" s="34">
        <f t="shared" si="38"/>
        <v>2040</v>
      </c>
      <c r="B112" s="34">
        <f t="shared" si="39"/>
        <v>1</v>
      </c>
      <c r="C112" s="18"/>
      <c r="D112" s="18">
        <v>126976860.846029</v>
      </c>
      <c r="E112" s="18"/>
      <c r="F112" s="38">
        <v>24214446.172671899</v>
      </c>
      <c r="G112" s="18">
        <v>6367925.8709325502</v>
      </c>
      <c r="H112" s="18">
        <v>35034449.299988903</v>
      </c>
      <c r="I112" s="38">
        <v>196946.16095667801</v>
      </c>
      <c r="J112" s="18">
        <v>1083539.6690718301</v>
      </c>
      <c r="K112" s="18"/>
      <c r="L112" s="38">
        <v>2349278.2956854799</v>
      </c>
      <c r="M112" s="38"/>
      <c r="N112" s="38">
        <v>1134898.6602328999</v>
      </c>
      <c r="O112" s="18"/>
      <c r="P112" s="18">
        <v>18434293.823673099</v>
      </c>
      <c r="Q112" s="38"/>
      <c r="R112" s="38">
        <v>19925134.5503566</v>
      </c>
      <c r="S112" s="38"/>
      <c r="T112" s="18">
        <v>76185478.898572594</v>
      </c>
      <c r="U112" s="18"/>
      <c r="V112" s="38">
        <v>146833.30912232699</v>
      </c>
      <c r="W112" s="38"/>
      <c r="X112" s="38">
        <v>368802.93929759902</v>
      </c>
      <c r="Y112" s="18"/>
      <c r="Z112" s="18">
        <f t="shared" si="43"/>
        <v>-7626655.269111352</v>
      </c>
      <c r="AA112" s="18"/>
      <c r="AB112" s="18">
        <f t="shared" si="44"/>
        <v>-69225675.771129504</v>
      </c>
      <c r="AC112" s="13"/>
      <c r="AD112" s="19"/>
      <c r="AE112" s="19"/>
      <c r="AF112" s="19">
        <f>BB110/100*AF25</f>
        <v>8021139805.158371</v>
      </c>
      <c r="AG112" s="33">
        <f t="shared" si="41"/>
        <v>-7.4986111946136376E-4</v>
      </c>
      <c r="AH112" s="33"/>
      <c r="AI112" s="33">
        <f t="shared" ref="AI112:AI143" si="46">AB110/AF112</f>
        <v>-8.3637638389214841E-3</v>
      </c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8">
        <f>AVERAGE(AG114:AG117)</f>
        <v>1.2642420439202087E-3</v>
      </c>
      <c r="AU112" s="34"/>
      <c r="AV112" s="34">
        <v>12925331</v>
      </c>
      <c r="AW112" s="34"/>
      <c r="AX112" s="34">
        <f t="shared" si="35"/>
        <v>5.9670420788716309E-4</v>
      </c>
      <c r="AY112" s="39">
        <v>7992.0656682662302</v>
      </c>
      <c r="AZ112" s="28">
        <f t="shared" si="45"/>
        <v>2.0952104113564109E-3</v>
      </c>
      <c r="BA112" s="34"/>
      <c r="BB112" s="34">
        <f t="shared" si="40"/>
        <v>140.35281637807273</v>
      </c>
      <c r="BC112" s="34"/>
      <c r="BD112" s="34"/>
      <c r="BE112" s="33"/>
    </row>
    <row r="113" spans="1:57">
      <c r="A113" s="26">
        <f t="shared" si="38"/>
        <v>2040</v>
      </c>
      <c r="B113" s="26">
        <f t="shared" si="39"/>
        <v>2</v>
      </c>
      <c r="C113" s="19"/>
      <c r="D113" s="19">
        <v>127354151.41501901</v>
      </c>
      <c r="E113" s="19"/>
      <c r="F113" s="27">
        <v>24287162.819878701</v>
      </c>
      <c r="G113" s="19">
        <v>6451791.66762802</v>
      </c>
      <c r="H113" s="19">
        <v>35495854.168996997</v>
      </c>
      <c r="I113" s="27">
        <v>199539.94848334001</v>
      </c>
      <c r="J113" s="19">
        <v>1097809.92275248</v>
      </c>
      <c r="K113" s="19"/>
      <c r="L113" s="27">
        <v>1901937.5556902699</v>
      </c>
      <c r="M113" s="27"/>
      <c r="N113" s="27">
        <v>1139038.28045238</v>
      </c>
      <c r="O113" s="19"/>
      <c r="P113" s="19">
        <v>16135815.566331699</v>
      </c>
      <c r="Q113" s="27"/>
      <c r="R113" s="27">
        <v>23708714.2224034</v>
      </c>
      <c r="S113" s="27"/>
      <c r="T113" s="19">
        <v>90652323.703925893</v>
      </c>
      <c r="U113" s="19"/>
      <c r="V113" s="27">
        <v>146913.411740551</v>
      </c>
      <c r="W113" s="27"/>
      <c r="X113" s="27">
        <v>369004.13398035202</v>
      </c>
      <c r="Y113" s="19"/>
      <c r="Z113" s="19">
        <f t="shared" si="43"/>
        <v>-3472511.0218774006</v>
      </c>
      <c r="AA113" s="19"/>
      <c r="AB113" s="19">
        <f t="shared" si="44"/>
        <v>-52837643.277424812</v>
      </c>
      <c r="AC113" s="13"/>
      <c r="AD113" s="19"/>
      <c r="AE113" s="19"/>
      <c r="AF113" s="19">
        <f>BB111/100*AF25</f>
        <v>8044445792.9787188</v>
      </c>
      <c r="AG113" s="33">
        <f t="shared" si="41"/>
        <v>2.9055705780567215E-3</v>
      </c>
      <c r="AH113" s="33">
        <f>(AF113-AF109)/AF109</f>
        <v>1.4556758163890764E-3</v>
      </c>
      <c r="AI113" s="33">
        <f t="shared" si="46"/>
        <v>-6.5555326088691315E-3</v>
      </c>
      <c r="AJ113" s="40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>
        <v>12828391</v>
      </c>
      <c r="AW113" s="26"/>
      <c r="AX113" s="26">
        <f t="shared" si="35"/>
        <v>-7.5000013539305108E-3</v>
      </c>
      <c r="AY113" s="32">
        <v>8042.9461880220797</v>
      </c>
      <c r="AZ113" s="33">
        <f t="shared" si="45"/>
        <v>6.3663790899364976E-3</v>
      </c>
      <c r="BA113" s="26"/>
      <c r="BB113" s="26">
        <f t="shared" si="40"/>
        <v>140.18700775513699</v>
      </c>
      <c r="BC113" s="26"/>
      <c r="BD113" s="26"/>
      <c r="BE113" s="33"/>
    </row>
    <row r="114" spans="1:57" s="34" customFormat="1">
      <c r="A114" s="26">
        <f t="shared" ref="A114:A145" si="47">A110+1</f>
        <v>2040</v>
      </c>
      <c r="B114" s="26">
        <f t="shared" ref="B114:B145" si="48">B110</f>
        <v>3</v>
      </c>
      <c r="C114" s="19"/>
      <c r="D114" s="19">
        <v>127317612.65304799</v>
      </c>
      <c r="E114" s="19"/>
      <c r="F114" s="27">
        <v>24281109.047394801</v>
      </c>
      <c r="G114" s="19">
        <v>6526183.6774180401</v>
      </c>
      <c r="H114" s="19">
        <v>35905137.057670198</v>
      </c>
      <c r="I114" s="27">
        <v>201840.73229128099</v>
      </c>
      <c r="J114" s="19">
        <v>1110468.1564227999</v>
      </c>
      <c r="K114" s="19"/>
      <c r="L114" s="27">
        <v>1878208.74155566</v>
      </c>
      <c r="M114" s="27"/>
      <c r="N114" s="27">
        <v>1139625.8604742801</v>
      </c>
      <c r="O114" s="19"/>
      <c r="P114" s="19">
        <v>16015919.3289015</v>
      </c>
      <c r="Q114" s="27"/>
      <c r="R114" s="27">
        <v>20001657.331801001</v>
      </c>
      <c r="S114" s="27"/>
      <c r="T114" s="19">
        <v>76478070.385784805</v>
      </c>
      <c r="U114" s="19"/>
      <c r="V114" s="27">
        <v>148211.05472804399</v>
      </c>
      <c r="W114" s="27"/>
      <c r="X114" s="27">
        <v>372263.43904407998</v>
      </c>
      <c r="Y114" s="19"/>
      <c r="Z114" s="19">
        <f t="shared" si="43"/>
        <v>-7149075.2628956996</v>
      </c>
      <c r="AA114" s="19"/>
      <c r="AB114" s="19">
        <f t="shared" si="44"/>
        <v>-66855461.596164688</v>
      </c>
      <c r="AC114" s="13"/>
      <c r="AD114" s="18"/>
      <c r="AE114" s="18"/>
      <c r="AF114" s="18">
        <f>BB112/100*AF25</f>
        <v>8066110811.5465603</v>
      </c>
      <c r="AG114" s="28">
        <f t="shared" si="41"/>
        <v>2.6931648401125404E-3</v>
      </c>
      <c r="AH114" s="28"/>
      <c r="AI114" s="28">
        <f t="shared" si="46"/>
        <v>-8.58228672882024E-3</v>
      </c>
      <c r="AT114" s="19"/>
      <c r="AU114"/>
      <c r="AV114" s="26">
        <v>12822396</v>
      </c>
      <c r="AW114"/>
      <c r="AX114" s="26">
        <f t="shared" si="35"/>
        <v>-4.6732283105496236E-4</v>
      </c>
      <c r="AY114" s="32">
        <v>8054.2409797284399</v>
      </c>
      <c r="AZ114" s="33">
        <f t="shared" si="45"/>
        <v>1.404310241834136E-3</v>
      </c>
      <c r="BA114" s="26"/>
      <c r="BB114" s="26">
        <f t="shared" si="40"/>
        <v>140.31826921655818</v>
      </c>
      <c r="BC114" s="26"/>
      <c r="BD114"/>
      <c r="BE114" s="28"/>
    </row>
    <row r="115" spans="1:57" s="26" customFormat="1">
      <c r="A115" s="26">
        <f t="shared" si="47"/>
        <v>2040</v>
      </c>
      <c r="B115" s="26">
        <f t="shared" si="48"/>
        <v>4</v>
      </c>
      <c r="C115" s="19"/>
      <c r="D115" s="19">
        <v>127292817.954318</v>
      </c>
      <c r="E115" s="19"/>
      <c r="F115" s="27">
        <v>24277622.323711999</v>
      </c>
      <c r="G115" s="19">
        <v>6614226.3569048</v>
      </c>
      <c r="H115" s="19">
        <v>36389521.903416298</v>
      </c>
      <c r="I115" s="27">
        <v>204563.70175994499</v>
      </c>
      <c r="J115" s="19">
        <v>1125449.13103351</v>
      </c>
      <c r="K115" s="19"/>
      <c r="L115" s="27">
        <v>1885591.47480182</v>
      </c>
      <c r="M115" s="27"/>
      <c r="N115" s="27">
        <v>1140645.86678613</v>
      </c>
      <c r="O115" s="19"/>
      <c r="P115" s="19">
        <v>16059840.1405892</v>
      </c>
      <c r="Q115" s="27"/>
      <c r="R115" s="27">
        <v>23814604.582490198</v>
      </c>
      <c r="S115" s="27"/>
      <c r="T115" s="19">
        <v>91057204.673415095</v>
      </c>
      <c r="U115" s="19"/>
      <c r="V115" s="27">
        <v>146327.845391907</v>
      </c>
      <c r="W115" s="27"/>
      <c r="X115" s="27">
        <v>367533.36013602099</v>
      </c>
      <c r="Y115" s="19"/>
      <c r="Z115" s="19">
        <f t="shared" si="43"/>
        <v>-3342927.2374178432</v>
      </c>
      <c r="AA115" s="19"/>
      <c r="AB115" s="19">
        <f t="shared" si="44"/>
        <v>-52295453.421492115</v>
      </c>
      <c r="AC115" s="13"/>
      <c r="AD115" s="19"/>
      <c r="AE115" s="19"/>
      <c r="AF115" s="19">
        <f>BB113/100*AF25</f>
        <v>8056581749.283165</v>
      </c>
      <c r="AG115" s="33">
        <f t="shared" si="41"/>
        <v>-1.1813701157879642E-3</v>
      </c>
      <c r="AH115" s="33"/>
      <c r="AI115" s="33">
        <f t="shared" si="46"/>
        <v>-6.5583202556252903E-3</v>
      </c>
      <c r="AT115"/>
      <c r="AU115"/>
      <c r="AV115" s="26">
        <v>12832521</v>
      </c>
      <c r="AW115"/>
      <c r="AX115" s="26">
        <f t="shared" si="35"/>
        <v>7.8963401223921018E-4</v>
      </c>
      <c r="AY115" s="32">
        <v>8068.8817608665204</v>
      </c>
      <c r="AZ115" s="33">
        <f t="shared" si="45"/>
        <v>1.8177729192520497E-3</v>
      </c>
      <c r="BB115" s="26">
        <f t="shared" si="40"/>
        <v>140.68433745370939</v>
      </c>
      <c r="BC115" s="40" t="e">
        <f>(BA115-BA111)/BA111</f>
        <v>#DIV/0!</v>
      </c>
      <c r="BD115"/>
      <c r="BE115" s="33"/>
    </row>
    <row r="116" spans="1:57">
      <c r="AC116" s="13"/>
      <c r="AD116" s="19"/>
      <c r="AE116" s="19"/>
      <c r="AF116" s="19">
        <f>BB114/100*AF25</f>
        <v>8064125377.6935625</v>
      </c>
      <c r="AG116" s="33">
        <f t="shared" si="41"/>
        <v>9.3633114454138374E-4</v>
      </c>
      <c r="AH116" s="33"/>
      <c r="AI116" s="33">
        <f t="shared" si="46"/>
        <v>-8.2904789378766032E-3</v>
      </c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BC116" s="34"/>
      <c r="BE116" s="33"/>
    </row>
    <row r="117" spans="1:57">
      <c r="AC117" s="13"/>
      <c r="AD117" s="19"/>
      <c r="AE117" s="19"/>
      <c r="AF117" s="19">
        <f>BB115/100*AF25</f>
        <v>8085163409.146349</v>
      </c>
      <c r="AG117" s="33">
        <f t="shared" si="41"/>
        <v>2.6088423068148748E-3</v>
      </c>
      <c r="AH117" s="33">
        <f>(AF117-AF113)/AF113</f>
        <v>5.0615812717849356E-3</v>
      </c>
      <c r="AI117" s="33">
        <f t="shared" si="46"/>
        <v>-6.4680762496813404E-3</v>
      </c>
      <c r="AJ117" s="40"/>
      <c r="AK117" s="42"/>
      <c r="AL117" s="26"/>
      <c r="AM117" s="26"/>
      <c r="AN117" s="26"/>
      <c r="AO117" s="26"/>
      <c r="AP117" s="26"/>
      <c r="AQ117" s="26"/>
      <c r="AR117" s="26"/>
      <c r="AS117" s="26"/>
      <c r="BE117" s="33"/>
    </row>
    <row r="118" spans="1:57">
      <c r="AJ118" s="34"/>
      <c r="AK118" s="25"/>
    </row>
    <row r="119" spans="1:57">
      <c r="AH119" s="16">
        <f>AVERAGE(AH29:AH117)</f>
        <v>1.5153114760867581E-2</v>
      </c>
      <c r="AJ119" s="26"/>
    </row>
    <row r="120" spans="1:57">
      <c r="AJ120" s="26"/>
    </row>
    <row r="121" spans="1:57">
      <c r="AJ121" s="40"/>
    </row>
    <row r="122" spans="1:57">
      <c r="AJ122" s="34"/>
      <c r="BA122" t="s">
        <v>46</v>
      </c>
    </row>
    <row r="123" spans="1:57">
      <c r="AJ123" s="26"/>
    </row>
    <row r="124" spans="1:57">
      <c r="AJ124" s="26"/>
    </row>
    <row r="125" spans="1:57">
      <c r="AJ125" s="40"/>
    </row>
    <row r="127" spans="1:57">
      <c r="AE127" s="34">
        <v>2015</v>
      </c>
      <c r="AF127" s="18">
        <f t="shared" ref="AF127:AF158" si="49">AF14</f>
        <v>4939996537.5502996</v>
      </c>
    </row>
    <row r="128" spans="1:57">
      <c r="AE128" s="26">
        <v>2015</v>
      </c>
      <c r="AF128" s="19">
        <f t="shared" si="49"/>
        <v>5575972427.7771788</v>
      </c>
    </row>
    <row r="129" spans="31:47">
      <c r="AE129" s="26">
        <v>2015</v>
      </c>
      <c r="AF129" s="19">
        <f t="shared" si="49"/>
        <v>5631310929.7641611</v>
      </c>
    </row>
    <row r="130" spans="31:47">
      <c r="AE130" s="26">
        <v>2015</v>
      </c>
      <c r="AF130" s="19">
        <f t="shared" si="49"/>
        <v>5658523044.9401817</v>
      </c>
      <c r="AG130" s="16"/>
      <c r="AH130" s="16"/>
    </row>
    <row r="131" spans="31:47">
      <c r="AE131" s="34">
        <f t="shared" ref="AE131:AE162" si="50">AE127+1</f>
        <v>2016</v>
      </c>
      <c r="AF131" s="18">
        <f t="shared" si="49"/>
        <v>5310325654.3908043</v>
      </c>
    </row>
    <row r="132" spans="31:47">
      <c r="AE132" s="26">
        <f t="shared" si="50"/>
        <v>2016</v>
      </c>
      <c r="AF132" s="19">
        <f t="shared" si="49"/>
        <v>5680414010.4820404</v>
      </c>
    </row>
    <row r="133" spans="31:47">
      <c r="AE133" s="26">
        <f t="shared" si="50"/>
        <v>2016</v>
      </c>
      <c r="AF133" s="19">
        <f t="shared" si="49"/>
        <v>5420066876.0125456</v>
      </c>
    </row>
    <row r="134" spans="31:47">
      <c r="AE134" s="26">
        <f t="shared" si="50"/>
        <v>2016</v>
      </c>
      <c r="AF134" s="19">
        <f t="shared" si="49"/>
        <v>5452188460.364418</v>
      </c>
      <c r="AI134" s="16"/>
    </row>
    <row r="135" spans="31:47">
      <c r="AE135" s="34">
        <f t="shared" si="50"/>
        <v>2017</v>
      </c>
      <c r="AF135" s="18">
        <f t="shared" si="49"/>
        <v>5321089171.2110472</v>
      </c>
      <c r="AG135" s="16"/>
      <c r="AH135" s="16"/>
    </row>
    <row r="136" spans="31:47">
      <c r="AE136" s="26">
        <f t="shared" si="50"/>
        <v>2017</v>
      </c>
      <c r="AF136" s="19">
        <f t="shared" si="49"/>
        <v>5775318002.6090412</v>
      </c>
    </row>
    <row r="137" spans="31:47">
      <c r="AE137" s="26">
        <f t="shared" si="50"/>
        <v>2017</v>
      </c>
      <c r="AF137" s="19">
        <f t="shared" si="49"/>
        <v>5711092269.986743</v>
      </c>
    </row>
    <row r="138" spans="31:47">
      <c r="AE138" s="26">
        <f t="shared" si="50"/>
        <v>2017</v>
      </c>
      <c r="AF138" s="19">
        <f t="shared" si="49"/>
        <v>5747024548.3486614</v>
      </c>
      <c r="AI138" s="16">
        <f>(AF138-AF134)/AF134</f>
        <v>5.4076650161233954E-2</v>
      </c>
      <c r="AJ138" s="16">
        <f>AVERAGE(AI138:AI230)</f>
        <v>1.6607544664324934E-2</v>
      </c>
    </row>
    <row r="139" spans="31:47">
      <c r="AE139" s="34">
        <f t="shared" si="50"/>
        <v>2018</v>
      </c>
      <c r="AF139" s="18">
        <f t="shared" si="49"/>
        <v>5661592695.1538725</v>
      </c>
      <c r="AG139" s="16"/>
      <c r="AH139" s="16"/>
    </row>
    <row r="140" spans="31:47">
      <c r="AE140" s="26">
        <f t="shared" si="50"/>
        <v>2018</v>
      </c>
      <c r="AF140" s="19">
        <f t="shared" si="49"/>
        <v>5689150254.3085032</v>
      </c>
    </row>
    <row r="141" spans="31:47">
      <c r="AE141" s="26">
        <f t="shared" si="50"/>
        <v>2018</v>
      </c>
      <c r="AF141" s="19">
        <f t="shared" si="49"/>
        <v>5791522812.4817705</v>
      </c>
    </row>
    <row r="142" spans="31:47">
      <c r="AE142" s="26">
        <f t="shared" si="50"/>
        <v>2018</v>
      </c>
      <c r="AF142" s="19">
        <f t="shared" si="49"/>
        <v>5811022822.0254107</v>
      </c>
      <c r="AI142" s="16">
        <f>(AF142-AF138)/AF138</f>
        <v>1.1135897043477632E-2</v>
      </c>
      <c r="AT142">
        <v>1.0014888795000001</v>
      </c>
      <c r="AU142">
        <v>1.0014888795000001</v>
      </c>
    </row>
    <row r="143" spans="31:47">
      <c r="AE143" s="34">
        <f t="shared" si="50"/>
        <v>2019</v>
      </c>
      <c r="AF143" s="18">
        <f t="shared" si="49"/>
        <v>5831826909.2361231</v>
      </c>
      <c r="AG143" s="16"/>
      <c r="AH143" s="16"/>
    </row>
    <row r="144" spans="31:47">
      <c r="AE144" s="26">
        <f t="shared" si="50"/>
        <v>2019</v>
      </c>
      <c r="AF144" s="19">
        <f t="shared" si="49"/>
        <v>5858512062.3349085</v>
      </c>
      <c r="AJ144">
        <v>1.0014888795000001</v>
      </c>
      <c r="AK144">
        <v>1.0014888795000001</v>
      </c>
    </row>
    <row r="145" spans="31:45">
      <c r="AE145" s="26">
        <f t="shared" si="50"/>
        <v>2019</v>
      </c>
      <c r="AF145" s="19">
        <f t="shared" si="49"/>
        <v>5900942499.9726543</v>
      </c>
    </row>
    <row r="146" spans="31:45">
      <c r="AE146" s="26">
        <f t="shared" si="50"/>
        <v>2019</v>
      </c>
      <c r="AF146" s="19">
        <f t="shared" si="49"/>
        <v>5909541427.7916203</v>
      </c>
      <c r="AI146" s="16">
        <f>(AF146-AF142)/AF142</f>
        <v>1.695374614479165E-2</v>
      </c>
    </row>
    <row r="147" spans="31:45">
      <c r="AE147" s="34">
        <f t="shared" si="50"/>
        <v>2020</v>
      </c>
      <c r="AF147" s="18">
        <f t="shared" si="49"/>
        <v>5945062986.1354218</v>
      </c>
      <c r="AG147" s="16"/>
      <c r="AH147" s="16"/>
      <c r="AJ147">
        <f>100*AJ144*AK144*AT142*AU142</f>
        <v>100.59688317798745</v>
      </c>
      <c r="AK147" s="16">
        <f>(AJ147-100)/100</f>
        <v>5.9688317798745061E-3</v>
      </c>
      <c r="AL147" s="16"/>
      <c r="AM147" s="16"/>
      <c r="AN147" s="16"/>
      <c r="AO147" s="16"/>
      <c r="AP147" s="16"/>
      <c r="AQ147" s="16"/>
      <c r="AR147" s="16"/>
      <c r="AS147" s="16"/>
    </row>
    <row r="148" spans="31:45">
      <c r="AE148" s="26">
        <f t="shared" si="50"/>
        <v>2020</v>
      </c>
      <c r="AF148" s="19">
        <f t="shared" si="49"/>
        <v>5973966978.1807308</v>
      </c>
    </row>
    <row r="149" spans="31:45">
      <c r="AE149" s="26">
        <f t="shared" si="50"/>
        <v>2020</v>
      </c>
      <c r="AF149" s="19">
        <f t="shared" si="49"/>
        <v>6005146705.1528978</v>
      </c>
      <c r="AG149" s="16">
        <f>AVERAGE(AI138:AI158)</f>
        <v>2.6289905762426572E-2</v>
      </c>
      <c r="AH149" s="16"/>
    </row>
    <row r="150" spans="31:45">
      <c r="AE150" s="26">
        <f t="shared" si="50"/>
        <v>2020</v>
      </c>
      <c r="AF150" s="19">
        <f t="shared" si="49"/>
        <v>6039425959.1608114</v>
      </c>
      <c r="AI150" s="16">
        <f>(AF150-AF146)/AF146</f>
        <v>2.197878345659194E-2</v>
      </c>
    </row>
    <row r="151" spans="31:45">
      <c r="AE151" s="34">
        <f t="shared" si="50"/>
        <v>2021</v>
      </c>
      <c r="AF151" s="18">
        <f t="shared" si="49"/>
        <v>6100048736.3658514</v>
      </c>
      <c r="AG151" s="16"/>
      <c r="AH151" s="16"/>
    </row>
    <row r="152" spans="31:45">
      <c r="AE152" s="26">
        <f t="shared" si="50"/>
        <v>2021</v>
      </c>
      <c r="AF152" s="19">
        <f t="shared" si="49"/>
        <v>6154508131.0287514</v>
      </c>
    </row>
    <row r="153" spans="31:45">
      <c r="AE153" s="26">
        <f t="shared" si="50"/>
        <v>2021</v>
      </c>
      <c r="AF153" s="19">
        <f t="shared" si="49"/>
        <v>6186560599.4109478</v>
      </c>
    </row>
    <row r="154" spans="31:45">
      <c r="AE154" s="26">
        <f t="shared" si="50"/>
        <v>2021</v>
      </c>
      <c r="AF154" s="19">
        <f t="shared" si="49"/>
        <v>6212350312.2231178</v>
      </c>
      <c r="AI154" s="16">
        <f>(AF154-AF150)/AF150</f>
        <v>2.8632581015420634E-2</v>
      </c>
    </row>
    <row r="155" spans="31:45">
      <c r="AE155" s="34">
        <f t="shared" si="50"/>
        <v>2022</v>
      </c>
      <c r="AF155" s="18">
        <f t="shared" si="49"/>
        <v>6224667434.8536396</v>
      </c>
      <c r="AG155" s="16"/>
      <c r="AH155" s="16"/>
    </row>
    <row r="156" spans="31:45">
      <c r="AE156" s="26">
        <f t="shared" si="50"/>
        <v>2022</v>
      </c>
      <c r="AF156" s="19">
        <f t="shared" si="49"/>
        <v>6246672674.5511599</v>
      </c>
    </row>
    <row r="157" spans="31:45">
      <c r="AE157" s="26">
        <f t="shared" si="50"/>
        <v>2022</v>
      </c>
      <c r="AF157" s="19">
        <f t="shared" si="49"/>
        <v>6312783536.6566057</v>
      </c>
    </row>
    <row r="158" spans="31:45">
      <c r="AE158" s="26">
        <f t="shared" si="50"/>
        <v>2022</v>
      </c>
      <c r="AF158" s="19">
        <f t="shared" si="49"/>
        <v>6367421613.8285322</v>
      </c>
      <c r="AI158" s="16">
        <f>(AF158-AF154)/AF154</f>
        <v>2.4961776753043636E-2</v>
      </c>
    </row>
    <row r="159" spans="31:45">
      <c r="AE159" s="34">
        <f t="shared" si="50"/>
        <v>2023</v>
      </c>
      <c r="AF159" s="18">
        <f t="shared" ref="AF159:AF190" si="51">AF46</f>
        <v>6420426064.9478168</v>
      </c>
      <c r="AG159" s="16"/>
      <c r="AH159" s="16"/>
    </row>
    <row r="160" spans="31:45">
      <c r="AE160" s="26">
        <f t="shared" si="50"/>
        <v>2023</v>
      </c>
      <c r="AF160" s="19">
        <f t="shared" si="51"/>
        <v>6436076184.1305599</v>
      </c>
    </row>
    <row r="161" spans="31:35">
      <c r="AE161" s="26">
        <f t="shared" si="50"/>
        <v>2023</v>
      </c>
      <c r="AF161" s="19">
        <f t="shared" si="51"/>
        <v>6460252128.4600573</v>
      </c>
    </row>
    <row r="162" spans="31:35">
      <c r="AE162" s="26">
        <f t="shared" si="50"/>
        <v>2023</v>
      </c>
      <c r="AF162" s="19">
        <f t="shared" si="51"/>
        <v>6515343034.3132486</v>
      </c>
      <c r="AI162" s="16">
        <f>(AF162-AF158)/AF158</f>
        <v>2.3230976281430164E-2</v>
      </c>
    </row>
    <row r="163" spans="31:35">
      <c r="AE163" s="34">
        <f t="shared" ref="AE163:AE194" si="52">AE159+1</f>
        <v>2024</v>
      </c>
      <c r="AF163" s="18">
        <f t="shared" si="51"/>
        <v>6578970382.8948994</v>
      </c>
      <c r="AG163" s="16"/>
      <c r="AH163" s="16"/>
    </row>
    <row r="164" spans="31:35">
      <c r="AE164" s="26">
        <f t="shared" si="52"/>
        <v>2024</v>
      </c>
      <c r="AF164" s="19">
        <f t="shared" si="51"/>
        <v>6614679123.4437742</v>
      </c>
    </row>
    <row r="165" spans="31:35">
      <c r="AE165" s="26">
        <f t="shared" si="52"/>
        <v>2024</v>
      </c>
      <c r="AF165" s="19">
        <f t="shared" si="51"/>
        <v>6623867025.8486776</v>
      </c>
    </row>
    <row r="166" spans="31:35">
      <c r="AE166" s="26">
        <f t="shared" si="52"/>
        <v>2024</v>
      </c>
      <c r="AF166" s="19">
        <f t="shared" si="51"/>
        <v>6662275772.790473</v>
      </c>
      <c r="AI166" s="16">
        <f>(AF166-AF162)/AF162</f>
        <v>2.2551803904015292E-2</v>
      </c>
    </row>
    <row r="167" spans="31:35">
      <c r="AE167" s="34">
        <f t="shared" si="52"/>
        <v>2025</v>
      </c>
      <c r="AF167" s="18">
        <f t="shared" si="51"/>
        <v>6756639372.6665792</v>
      </c>
      <c r="AG167" s="16"/>
      <c r="AH167" s="16"/>
    </row>
    <row r="168" spans="31:35">
      <c r="AE168" s="26">
        <f t="shared" si="52"/>
        <v>2025</v>
      </c>
      <c r="AF168" s="19">
        <f t="shared" si="51"/>
        <v>6777698912.2438097</v>
      </c>
    </row>
    <row r="169" spans="31:35">
      <c r="AE169" s="26">
        <f t="shared" si="52"/>
        <v>2025</v>
      </c>
      <c r="AF169" s="19">
        <f t="shared" si="51"/>
        <v>6788677889.1378689</v>
      </c>
    </row>
    <row r="170" spans="31:35">
      <c r="AE170" s="26">
        <f t="shared" si="52"/>
        <v>2025</v>
      </c>
      <c r="AF170" s="19">
        <f t="shared" si="51"/>
        <v>6812763471.2818146</v>
      </c>
      <c r="AI170" s="16">
        <f>(AF170-AF166)/AF166</f>
        <v>2.2588032021422958E-2</v>
      </c>
    </row>
    <row r="171" spans="31:35">
      <c r="AE171" s="34">
        <f t="shared" si="52"/>
        <v>2026</v>
      </c>
      <c r="AF171" s="18">
        <f t="shared" si="51"/>
        <v>6842052683.6325893</v>
      </c>
      <c r="AG171" s="16"/>
      <c r="AH171" s="16"/>
    </row>
    <row r="172" spans="31:35">
      <c r="AE172" s="26">
        <f t="shared" si="52"/>
        <v>2026</v>
      </c>
      <c r="AF172" s="19">
        <f t="shared" si="51"/>
        <v>6864223842.867506</v>
      </c>
    </row>
    <row r="173" spans="31:35">
      <c r="AE173" s="26">
        <f t="shared" si="52"/>
        <v>2026</v>
      </c>
      <c r="AF173" s="19">
        <f t="shared" si="51"/>
        <v>6918405940.1855087</v>
      </c>
    </row>
    <row r="174" spans="31:35">
      <c r="AE174" s="26">
        <f t="shared" si="52"/>
        <v>2026</v>
      </c>
      <c r="AF174" s="19">
        <f t="shared" si="51"/>
        <v>6920556775.8022108</v>
      </c>
      <c r="AI174" s="16">
        <f>(AF174-AF170)/AF170</f>
        <v>1.5822258467475463E-2</v>
      </c>
    </row>
    <row r="175" spans="31:35">
      <c r="AE175" s="34">
        <f t="shared" si="52"/>
        <v>2027</v>
      </c>
      <c r="AF175" s="18">
        <f t="shared" si="51"/>
        <v>6973274640.3933229</v>
      </c>
      <c r="AG175" s="16"/>
      <c r="AH175" s="16"/>
    </row>
    <row r="176" spans="31:35">
      <c r="AE176" s="26">
        <f t="shared" si="52"/>
        <v>2027</v>
      </c>
      <c r="AF176" s="19">
        <f t="shared" si="51"/>
        <v>6978652794.041853</v>
      </c>
    </row>
    <row r="177" spans="31:35">
      <c r="AE177" s="26">
        <f t="shared" si="52"/>
        <v>2027</v>
      </c>
      <c r="AF177" s="19">
        <f t="shared" si="51"/>
        <v>6990293989.4585533</v>
      </c>
    </row>
    <row r="178" spans="31:35">
      <c r="AE178" s="26">
        <f t="shared" si="52"/>
        <v>2027</v>
      </c>
      <c r="AF178" s="19">
        <f t="shared" si="51"/>
        <v>7026809642.7841759</v>
      </c>
      <c r="AI178" s="16">
        <f>(AF178-AF174)/AF174</f>
        <v>1.535322524243702E-2</v>
      </c>
    </row>
    <row r="179" spans="31:35">
      <c r="AE179" s="34">
        <f t="shared" si="52"/>
        <v>2028</v>
      </c>
      <c r="AF179" s="18">
        <f t="shared" si="51"/>
        <v>7092717040.3022861</v>
      </c>
      <c r="AG179" s="16"/>
      <c r="AH179" s="16"/>
    </row>
    <row r="180" spans="31:35">
      <c r="AE180" s="26">
        <f t="shared" si="52"/>
        <v>2028</v>
      </c>
      <c r="AF180" s="19">
        <f t="shared" si="51"/>
        <v>7125500875.5403814</v>
      </c>
    </row>
    <row r="181" spans="31:35">
      <c r="AE181" s="26">
        <f t="shared" si="52"/>
        <v>2028</v>
      </c>
      <c r="AF181" s="19">
        <f t="shared" si="51"/>
        <v>7168011161.2335386</v>
      </c>
    </row>
    <row r="182" spans="31:35">
      <c r="AE182" s="26">
        <f t="shared" si="52"/>
        <v>2028</v>
      </c>
      <c r="AF182" s="19">
        <f t="shared" si="51"/>
        <v>7208253843.3883257</v>
      </c>
      <c r="AI182" s="16">
        <f>(AF182-AF178)/AF178</f>
        <v>2.5821704276630674E-2</v>
      </c>
    </row>
    <row r="183" spans="31:35">
      <c r="AE183" s="34">
        <f t="shared" si="52"/>
        <v>2029</v>
      </c>
      <c r="AF183" s="18">
        <f t="shared" si="51"/>
        <v>7204769687.8500986</v>
      </c>
      <c r="AG183" s="16"/>
      <c r="AH183" s="16"/>
    </row>
    <row r="184" spans="31:35">
      <c r="AE184" s="26">
        <f t="shared" si="52"/>
        <v>2029</v>
      </c>
      <c r="AF184" s="19">
        <f t="shared" si="51"/>
        <v>7231142484.5783539</v>
      </c>
    </row>
    <row r="185" spans="31:35">
      <c r="AE185" s="26">
        <f t="shared" si="52"/>
        <v>2029</v>
      </c>
      <c r="AF185" s="19">
        <f t="shared" si="51"/>
        <v>7250581912.8791313</v>
      </c>
    </row>
    <row r="186" spans="31:35">
      <c r="AE186" s="26">
        <f t="shared" si="52"/>
        <v>2029</v>
      </c>
      <c r="AF186" s="19">
        <f t="shared" si="51"/>
        <v>7299108561.2974586</v>
      </c>
      <c r="AI186" s="16">
        <f>(AF186-AF182)/AF182</f>
        <v>1.260426170929985E-2</v>
      </c>
    </row>
    <row r="187" spans="31:35">
      <c r="AE187" s="34">
        <f t="shared" si="52"/>
        <v>2030</v>
      </c>
      <c r="AF187" s="18">
        <f t="shared" si="51"/>
        <v>7362572431.3979425</v>
      </c>
      <c r="AG187" s="16"/>
      <c r="AH187" s="16"/>
    </row>
    <row r="188" spans="31:35">
      <c r="AE188" s="26">
        <f t="shared" si="52"/>
        <v>2030</v>
      </c>
      <c r="AF188" s="19">
        <f t="shared" si="51"/>
        <v>7391938500.3781567</v>
      </c>
    </row>
    <row r="189" spans="31:35">
      <c r="AE189" s="26">
        <f t="shared" si="52"/>
        <v>2030</v>
      </c>
      <c r="AF189" s="19">
        <f t="shared" si="51"/>
        <v>7405195361.8897333</v>
      </c>
    </row>
    <row r="190" spans="31:35">
      <c r="AE190" s="26">
        <f t="shared" si="52"/>
        <v>2030</v>
      </c>
      <c r="AF190" s="19">
        <f t="shared" si="51"/>
        <v>7441143771.9499435</v>
      </c>
      <c r="AI190" s="16">
        <f>(AF190-AF186)/AF186</f>
        <v>1.9459254436303017E-2</v>
      </c>
    </row>
    <row r="191" spans="31:35">
      <c r="AE191" s="34">
        <f t="shared" si="52"/>
        <v>2031</v>
      </c>
      <c r="AF191" s="18">
        <f t="shared" ref="AF191:AF222" si="53">AF78</f>
        <v>7484309558.2979927</v>
      </c>
      <c r="AG191" s="16"/>
      <c r="AH191" s="16"/>
    </row>
    <row r="192" spans="31:35">
      <c r="AE192" s="26">
        <f t="shared" si="52"/>
        <v>2031</v>
      </c>
      <c r="AF192" s="19">
        <f t="shared" si="53"/>
        <v>7513829145.4316568</v>
      </c>
    </row>
    <row r="193" spans="31:35">
      <c r="AE193" s="26">
        <f t="shared" si="52"/>
        <v>2031</v>
      </c>
      <c r="AF193" s="19">
        <f t="shared" si="53"/>
        <v>7526997605.8422365</v>
      </c>
    </row>
    <row r="194" spans="31:35">
      <c r="AE194" s="26">
        <f t="shared" si="52"/>
        <v>2031</v>
      </c>
      <c r="AF194" s="19">
        <f t="shared" si="53"/>
        <v>7547379967.7078772</v>
      </c>
      <c r="AI194" s="16">
        <f>(AF194-AF190)/AF190</f>
        <v>1.4276863747533067E-2</v>
      </c>
    </row>
    <row r="195" spans="31:35">
      <c r="AE195" s="34">
        <f t="shared" ref="AE195:AE226" si="54">AE191+1</f>
        <v>2032</v>
      </c>
      <c r="AF195" s="18">
        <f t="shared" si="53"/>
        <v>7570752029.6849709</v>
      </c>
      <c r="AG195" s="16"/>
      <c r="AH195" s="16"/>
    </row>
    <row r="196" spans="31:35">
      <c r="AE196" s="26">
        <f t="shared" si="54"/>
        <v>2032</v>
      </c>
      <c r="AF196" s="19">
        <f t="shared" si="53"/>
        <v>7582723747.9111252</v>
      </c>
    </row>
    <row r="197" spans="31:35">
      <c r="AE197" s="26">
        <f t="shared" si="54"/>
        <v>2032</v>
      </c>
      <c r="AF197" s="19">
        <f t="shared" si="53"/>
        <v>7598514951.214469</v>
      </c>
    </row>
    <row r="198" spans="31:35">
      <c r="AE198" s="26">
        <f t="shared" si="54"/>
        <v>2032</v>
      </c>
      <c r="AF198" s="19">
        <f t="shared" si="53"/>
        <v>7622658100.8420515</v>
      </c>
      <c r="AI198" s="16">
        <f>(AF198-AF194)/AF194</f>
        <v>9.9740749049681346E-3</v>
      </c>
    </row>
    <row r="199" spans="31:35">
      <c r="AE199" s="34">
        <f t="shared" si="54"/>
        <v>2033</v>
      </c>
      <c r="AF199" s="18">
        <f t="shared" si="53"/>
        <v>7642548518.0735779</v>
      </c>
      <c r="AG199" s="16"/>
      <c r="AH199" s="16"/>
    </row>
    <row r="200" spans="31:35">
      <c r="AE200" s="26">
        <f t="shared" si="54"/>
        <v>2033</v>
      </c>
      <c r="AF200" s="19">
        <f t="shared" si="53"/>
        <v>7643592846.7541742</v>
      </c>
    </row>
    <row r="201" spans="31:35">
      <c r="AE201" s="26">
        <f t="shared" si="54"/>
        <v>2033</v>
      </c>
      <c r="AF201" s="19">
        <f t="shared" si="53"/>
        <v>7670796701.2518778</v>
      </c>
    </row>
    <row r="202" spans="31:35">
      <c r="AE202" s="26">
        <f t="shared" si="54"/>
        <v>2033</v>
      </c>
      <c r="AF202" s="19">
        <f t="shared" si="53"/>
        <v>7668522905.1246758</v>
      </c>
      <c r="AI202" s="16">
        <f>(AF202-AF198)/AF198</f>
        <v>6.0169042971450733E-3</v>
      </c>
    </row>
    <row r="203" spans="31:35">
      <c r="AE203" s="34">
        <f t="shared" si="54"/>
        <v>2034</v>
      </c>
      <c r="AF203" s="18">
        <f t="shared" si="53"/>
        <v>7700877970.6802616</v>
      </c>
      <c r="AG203" s="16"/>
      <c r="AH203" s="16"/>
    </row>
    <row r="204" spans="31:35">
      <c r="AE204" s="26">
        <f t="shared" si="54"/>
        <v>2034</v>
      </c>
      <c r="AF204" s="19">
        <f t="shared" si="53"/>
        <v>7682733922.9642668</v>
      </c>
    </row>
    <row r="205" spans="31:35">
      <c r="AE205" s="26">
        <f t="shared" si="54"/>
        <v>2034</v>
      </c>
      <c r="AF205" s="19">
        <f t="shared" si="53"/>
        <v>7708306359.6045151</v>
      </c>
    </row>
    <row r="206" spans="31:35">
      <c r="AE206" s="26">
        <f t="shared" si="54"/>
        <v>2034</v>
      </c>
      <c r="AF206" s="19">
        <f t="shared" si="53"/>
        <v>7726150586.8061485</v>
      </c>
      <c r="AI206" s="16">
        <f>(AF206-AF202)/AF202</f>
        <v>7.5148346551800332E-3</v>
      </c>
    </row>
    <row r="207" spans="31:35">
      <c r="AE207" s="34">
        <f t="shared" si="54"/>
        <v>2035</v>
      </c>
      <c r="AF207" s="18">
        <f t="shared" si="53"/>
        <v>7749826073.1971884</v>
      </c>
      <c r="AG207" s="16"/>
      <c r="AH207" s="16"/>
    </row>
    <row r="208" spans="31:35">
      <c r="AE208" s="26">
        <f t="shared" si="54"/>
        <v>2035</v>
      </c>
      <c r="AF208" s="19">
        <f t="shared" si="53"/>
        <v>7767098678.3363838</v>
      </c>
    </row>
    <row r="209" spans="31:35">
      <c r="AE209" s="26">
        <f t="shared" si="54"/>
        <v>2035</v>
      </c>
      <c r="AF209" s="19">
        <f t="shared" si="53"/>
        <v>7788958469.7905369</v>
      </c>
    </row>
    <row r="210" spans="31:35">
      <c r="AE210" s="26">
        <f t="shared" si="54"/>
        <v>2035</v>
      </c>
      <c r="AF210" s="19">
        <f t="shared" si="53"/>
        <v>7797936048.6427259</v>
      </c>
      <c r="AI210" s="16">
        <f>(AF210-AF206)/AF206</f>
        <v>9.2912325523611412E-3</v>
      </c>
    </row>
    <row r="211" spans="31:35">
      <c r="AE211" s="34">
        <f t="shared" si="54"/>
        <v>2036</v>
      </c>
      <c r="AF211" s="18">
        <f t="shared" si="53"/>
        <v>7813382053.8607035</v>
      </c>
      <c r="AG211" s="16"/>
      <c r="AH211" s="16"/>
    </row>
    <row r="212" spans="31:35">
      <c r="AE212" s="26">
        <f t="shared" si="54"/>
        <v>2036</v>
      </c>
      <c r="AF212" s="19">
        <f t="shared" si="53"/>
        <v>7825423761.6473389</v>
      </c>
    </row>
    <row r="213" spans="31:35">
      <c r="AE213" s="26">
        <f t="shared" si="54"/>
        <v>2036</v>
      </c>
      <c r="AF213" s="19">
        <f t="shared" si="53"/>
        <v>7842308079.7074213</v>
      </c>
    </row>
    <row r="214" spans="31:35">
      <c r="AE214" s="26">
        <f t="shared" si="54"/>
        <v>2036</v>
      </c>
      <c r="AF214" s="19">
        <f t="shared" si="53"/>
        <v>7882512596.8094969</v>
      </c>
      <c r="AI214" s="16">
        <f>(AF214-AF210)/AF210</f>
        <v>1.0846017156230969E-2</v>
      </c>
    </row>
    <row r="215" spans="31:35">
      <c r="AE215" s="34">
        <f t="shared" si="54"/>
        <v>2037</v>
      </c>
      <c r="AF215" s="18">
        <f t="shared" si="53"/>
        <v>7885461220.2108784</v>
      </c>
      <c r="AG215" s="16"/>
      <c r="AH215" s="16"/>
    </row>
    <row r="216" spans="31:35">
      <c r="AE216" s="26">
        <f t="shared" si="54"/>
        <v>2037</v>
      </c>
      <c r="AF216" s="19">
        <f t="shared" si="53"/>
        <v>7898328721.9032393</v>
      </c>
    </row>
    <row r="217" spans="31:35">
      <c r="AE217" s="26">
        <f t="shared" si="54"/>
        <v>2037</v>
      </c>
      <c r="AF217" s="19">
        <f t="shared" si="53"/>
        <v>7937810943.9385166</v>
      </c>
    </row>
    <row r="218" spans="31:35">
      <c r="AE218" s="26">
        <f t="shared" si="54"/>
        <v>2037</v>
      </c>
      <c r="AF218" s="19">
        <f t="shared" si="53"/>
        <v>7970949560.6413183</v>
      </c>
      <c r="AI218" s="16">
        <f>(AF218-AF214)/AF214</f>
        <v>1.1219387567819039E-2</v>
      </c>
    </row>
    <row r="219" spans="31:35">
      <c r="AE219" s="34">
        <f t="shared" si="54"/>
        <v>2038</v>
      </c>
      <c r="AF219" s="18">
        <f t="shared" si="53"/>
        <v>8001035017.5330429</v>
      </c>
      <c r="AG219" s="16"/>
      <c r="AH219" s="16"/>
    </row>
    <row r="220" spans="31:35">
      <c r="AE220" s="26">
        <f t="shared" si="54"/>
        <v>2038</v>
      </c>
      <c r="AF220" s="19">
        <f t="shared" si="53"/>
        <v>7984317944.8057404</v>
      </c>
    </row>
    <row r="221" spans="31:35">
      <c r="AE221" s="26">
        <f t="shared" si="54"/>
        <v>2038</v>
      </c>
      <c r="AF221" s="19">
        <f t="shared" si="53"/>
        <v>7984852463.2743816</v>
      </c>
    </row>
    <row r="222" spans="31:35">
      <c r="AE222" s="26">
        <f t="shared" si="54"/>
        <v>2038</v>
      </c>
      <c r="AF222" s="19">
        <f t="shared" si="53"/>
        <v>8032752709.1210175</v>
      </c>
      <c r="AI222" s="16">
        <f>(AF222-AF218)/AF218</f>
        <v>7.7535490608131065E-3</v>
      </c>
    </row>
    <row r="223" spans="31:35">
      <c r="AE223" s="34">
        <f t="shared" si="54"/>
        <v>2039</v>
      </c>
      <c r="AF223" s="18">
        <f t="shared" ref="AF223:AF254" si="55">AF110</f>
        <v>8036933632.1840334</v>
      </c>
      <c r="AG223" s="16"/>
      <c r="AH223" s="16"/>
    </row>
    <row r="224" spans="31:35">
      <c r="AE224" s="26">
        <f t="shared" si="54"/>
        <v>2039</v>
      </c>
      <c r="AF224" s="19">
        <f t="shared" si="55"/>
        <v>8027159059.6369247</v>
      </c>
    </row>
    <row r="225" spans="31:35">
      <c r="AE225" s="26">
        <f t="shared" si="54"/>
        <v>2039</v>
      </c>
      <c r="AF225" s="19">
        <f t="shared" si="55"/>
        <v>8021139805.158371</v>
      </c>
    </row>
    <row r="226" spans="31:35">
      <c r="AE226" s="26">
        <f t="shared" si="54"/>
        <v>2039</v>
      </c>
      <c r="AF226" s="19">
        <f t="shared" si="55"/>
        <v>8044445792.9787188</v>
      </c>
      <c r="AI226" s="16">
        <f>(AF226-AF222)/AF222</f>
        <v>1.4556758163890764E-3</v>
      </c>
    </row>
    <row r="227" spans="31:35">
      <c r="AE227" s="34">
        <f t="shared" ref="AE227:AE258" si="56">AE223+1</f>
        <v>2040</v>
      </c>
      <c r="AF227" s="18">
        <f t="shared" si="55"/>
        <v>8066110811.5465603</v>
      </c>
      <c r="AG227" s="16"/>
      <c r="AH227" s="16"/>
    </row>
    <row r="228" spans="31:35">
      <c r="AE228" s="26">
        <f t="shared" si="56"/>
        <v>2040</v>
      </c>
      <c r="AF228" s="19">
        <f t="shared" si="55"/>
        <v>8056581749.283165</v>
      </c>
    </row>
    <row r="229" spans="31:35">
      <c r="AE229" s="26">
        <f t="shared" si="56"/>
        <v>2040</v>
      </c>
      <c r="AF229" s="19">
        <f t="shared" si="55"/>
        <v>8064125377.6935625</v>
      </c>
    </row>
    <row r="230" spans="31:35">
      <c r="AE230" s="26">
        <f t="shared" si="56"/>
        <v>2040</v>
      </c>
      <c r="AF230" s="19">
        <f t="shared" si="55"/>
        <v>8085163409.146349</v>
      </c>
      <c r="AI230" s="16">
        <f>(AF230-AF226)/AF226</f>
        <v>5.0615812717849356E-3</v>
      </c>
    </row>
  </sheetData>
  <mergeCells count="3">
    <mergeCell ref="AL1:AM1"/>
    <mergeCell ref="AP1:AQ1"/>
    <mergeCell ref="AR1:AS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1"/>
  <sheetViews>
    <sheetView topLeftCell="R1" workbookViewId="0">
      <selection activeCell="V19" sqref="V19"/>
    </sheetView>
  </sheetViews>
  <sheetFormatPr baseColWidth="10" defaultColWidth="8.83203125" defaultRowHeight="12" x14ac:dyDescent="0"/>
  <sheetData>
    <row r="1" spans="1:62" s="5" customFormat="1" ht="50.25" customHeight="1">
      <c r="A1" s="2" t="s">
        <v>0</v>
      </c>
      <c r="B1" s="2" t="s">
        <v>1</v>
      </c>
      <c r="C1" s="2" t="s">
        <v>47</v>
      </c>
      <c r="D1" s="2"/>
      <c r="E1" s="2" t="s">
        <v>48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2"/>
      <c r="O1" s="2" t="s">
        <v>8</v>
      </c>
      <c r="P1" s="4"/>
      <c r="Q1" s="2" t="s">
        <v>9</v>
      </c>
      <c r="R1" s="2"/>
      <c r="S1" s="2" t="s">
        <v>10</v>
      </c>
      <c r="T1" s="2"/>
      <c r="U1" s="4" t="s">
        <v>11</v>
      </c>
      <c r="V1" s="2"/>
      <c r="W1" s="2" t="s">
        <v>12</v>
      </c>
      <c r="X1" s="2"/>
      <c r="Y1" s="5" t="s">
        <v>13</v>
      </c>
      <c r="AA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I1" s="5" t="s">
        <v>19</v>
      </c>
      <c r="AJ1" s="6" t="s">
        <v>20</v>
      </c>
      <c r="AK1" s="6"/>
      <c r="AL1" s="1" t="s">
        <v>21</v>
      </c>
      <c r="AM1" s="1"/>
      <c r="AN1" s="7" t="s">
        <v>22</v>
      </c>
      <c r="AO1" s="8" t="s">
        <v>23</v>
      </c>
      <c r="AP1" s="1" t="s">
        <v>24</v>
      </c>
      <c r="AQ1" s="1"/>
      <c r="AR1" s="1" t="s">
        <v>25</v>
      </c>
      <c r="AS1" s="1"/>
      <c r="AT1" s="5" t="s">
        <v>27</v>
      </c>
      <c r="AV1" s="5" t="s">
        <v>28</v>
      </c>
      <c r="AX1" s="5" t="s">
        <v>29</v>
      </c>
      <c r="AZ1" s="5" t="s">
        <v>49</v>
      </c>
      <c r="BC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6" t="s">
        <v>36</v>
      </c>
    </row>
    <row r="2" spans="1:62" s="9" customFormat="1">
      <c r="C2" s="9" t="s">
        <v>37</v>
      </c>
      <c r="D2" s="9" t="s">
        <v>38</v>
      </c>
      <c r="E2" s="9" t="s">
        <v>37</v>
      </c>
      <c r="F2" s="10" t="s">
        <v>38</v>
      </c>
      <c r="G2" s="10" t="s">
        <v>39</v>
      </c>
      <c r="H2" s="10" t="s">
        <v>40</v>
      </c>
      <c r="I2" s="10" t="s">
        <v>39</v>
      </c>
      <c r="J2" s="9" t="s">
        <v>40</v>
      </c>
      <c r="K2" s="9" t="s">
        <v>37</v>
      </c>
      <c r="L2" s="10" t="s">
        <v>38</v>
      </c>
      <c r="M2" s="10" t="s">
        <v>37</v>
      </c>
      <c r="N2" s="10" t="s">
        <v>38</v>
      </c>
      <c r="O2" s="9" t="s">
        <v>37</v>
      </c>
      <c r="P2" s="9" t="s">
        <v>38</v>
      </c>
      <c r="Q2" s="10" t="s">
        <v>37</v>
      </c>
      <c r="R2" s="10" t="s">
        <v>38</v>
      </c>
      <c r="S2" s="10" t="s">
        <v>37</v>
      </c>
      <c r="T2" s="9" t="s">
        <v>38</v>
      </c>
      <c r="U2" s="9" t="s">
        <v>37</v>
      </c>
      <c r="V2" s="9" t="s">
        <v>38</v>
      </c>
      <c r="W2" s="9" t="s">
        <v>37</v>
      </c>
      <c r="X2" s="10" t="s">
        <v>38</v>
      </c>
      <c r="AC2" s="5"/>
      <c r="AJ2" s="11"/>
      <c r="AK2" s="11"/>
      <c r="AL2" s="11"/>
      <c r="AN2" s="11"/>
      <c r="AO2" s="11"/>
      <c r="AP2" s="11"/>
      <c r="AQ2" s="11"/>
      <c r="AR2" s="11"/>
      <c r="AS2" s="11"/>
      <c r="AT2" s="9" t="s">
        <v>41</v>
      </c>
      <c r="AU2" s="9" t="s">
        <v>39</v>
      </c>
      <c r="AV2" s="9" t="s">
        <v>41</v>
      </c>
      <c r="AW2" s="9" t="s">
        <v>39</v>
      </c>
      <c r="AX2" s="9" t="s">
        <v>42</v>
      </c>
      <c r="AY2" s="9" t="s">
        <v>43</v>
      </c>
      <c r="BI2" s="11"/>
    </row>
    <row r="3" spans="1:62">
      <c r="A3" s="9">
        <v>2014</v>
      </c>
      <c r="B3" s="9">
        <v>1</v>
      </c>
      <c r="C3" s="10">
        <v>73541829.264479399</v>
      </c>
      <c r="D3" s="10"/>
      <c r="E3" s="10">
        <v>13367097.642000001</v>
      </c>
      <c r="F3" s="10"/>
      <c r="G3" s="10"/>
      <c r="H3" s="10"/>
      <c r="I3" s="10"/>
      <c r="J3" s="12"/>
      <c r="K3" s="12">
        <v>2431521.2590999999</v>
      </c>
      <c r="L3" s="10"/>
      <c r="M3" s="10">
        <v>552644.92299999902</v>
      </c>
      <c r="N3" s="10"/>
      <c r="O3" s="10">
        <v>15657663.7612308</v>
      </c>
      <c r="P3" s="10"/>
      <c r="Q3" s="10">
        <v>16188956.83674</v>
      </c>
      <c r="R3" s="10"/>
      <c r="S3" s="10">
        <v>61899879.651203699</v>
      </c>
      <c r="T3" s="10"/>
      <c r="U3" s="10">
        <v>147745.90426000001</v>
      </c>
      <c r="V3" s="12"/>
      <c r="W3" s="12">
        <v>371095.07358448301</v>
      </c>
      <c r="X3" s="10"/>
      <c r="Y3" s="10">
        <f t="shared" ref="Y3:Y8" si="0">Q3+U3-M3-K3-E3</f>
        <v>-14561.083099998534</v>
      </c>
      <c r="Z3" s="10"/>
      <c r="AA3" s="10">
        <f t="shared" ref="AA3:AA8" si="1">S3-O3-C3</f>
        <v>-27299613.374506503</v>
      </c>
      <c r="AB3" s="10"/>
      <c r="AC3" s="13"/>
      <c r="AD3" s="10">
        <v>3917648861.1710801</v>
      </c>
      <c r="AE3" s="10">
        <v>87.364011981999994</v>
      </c>
      <c r="AF3" s="10">
        <f t="shared" ref="AF3:AF8" si="2">AD3*100/AE3</f>
        <v>4484282225.9333181</v>
      </c>
      <c r="AG3" s="10"/>
      <c r="AH3" s="10"/>
      <c r="AI3" s="14">
        <f t="shared" ref="AI3:AI8" si="3">AA3/AF3</f>
        <v>-6.087844609027615E-3</v>
      </c>
      <c r="AJ3" s="11">
        <v>2014</v>
      </c>
      <c r="AK3" s="15">
        <f>(SUM(AA3:AA6)/AVERAGE(AF3:AF6))</f>
        <v>-2.0764450566254731E-2</v>
      </c>
      <c r="AL3" s="15"/>
      <c r="AN3" s="15"/>
      <c r="AO3" s="15"/>
      <c r="AP3" s="12" t="s">
        <v>44</v>
      </c>
      <c r="AQ3" s="15" t="s">
        <v>45</v>
      </c>
      <c r="AR3" s="15" t="s">
        <v>44</v>
      </c>
      <c r="AS3" s="15" t="s">
        <v>45</v>
      </c>
      <c r="AT3" s="9">
        <v>10923418</v>
      </c>
      <c r="BC3" s="14">
        <f>S3/AF3</f>
        <v>1.3803743059084649E-2</v>
      </c>
      <c r="BD3" s="9">
        <v>2014</v>
      </c>
      <c r="BE3" s="14">
        <f>(SUM(S3:S6)/AVERAGE(AF3:AF6))</f>
        <v>5.6918105137217651E-2</v>
      </c>
      <c r="BF3" s="14">
        <f>(SUM(O3:O6)/AVERAGE(AF3:AF6))</f>
        <v>1.3201759021596645E-2</v>
      </c>
      <c r="BG3" s="14">
        <f>(SUM(C3:C6)/AVERAGE(AF3:AF6))</f>
        <v>6.4480796681875729E-2</v>
      </c>
      <c r="BH3" s="14">
        <f>(SUM(H3:H6)+SUM(J3:J6))/AVERAGE(AF3:AF6)</f>
        <v>0</v>
      </c>
      <c r="BI3" s="15">
        <f t="shared" ref="BI3:BI29" si="4">AK3-BH3</f>
        <v>-2.0764450566254731E-2</v>
      </c>
      <c r="BJ3" s="16">
        <f t="shared" ref="BJ3:BJ29" si="5">BH3+BG3</f>
        <v>6.4480796681875729E-2</v>
      </c>
    </row>
    <row r="4" spans="1:62">
      <c r="A4" s="9">
        <v>2014</v>
      </c>
      <c r="B4" s="9">
        <v>2</v>
      </c>
      <c r="C4" s="10">
        <v>76536005.645554796</v>
      </c>
      <c r="D4" s="10"/>
      <c r="E4" s="10">
        <v>13911324.754000001</v>
      </c>
      <c r="F4" s="10"/>
      <c r="G4" s="10"/>
      <c r="H4" s="10"/>
      <c r="I4" s="10"/>
      <c r="J4" s="12"/>
      <c r="K4" s="12">
        <v>2156056.4542999999</v>
      </c>
      <c r="L4" s="10"/>
      <c r="M4" s="10">
        <v>571465.44299999997</v>
      </c>
      <c r="N4" s="10"/>
      <c r="O4" s="10">
        <v>14331816.6540251</v>
      </c>
      <c r="P4" s="10"/>
      <c r="Q4" s="10">
        <v>18889074.98367</v>
      </c>
      <c r="R4" s="10"/>
      <c r="S4" s="10">
        <v>72224015.420081005</v>
      </c>
      <c r="T4" s="10"/>
      <c r="U4" s="10">
        <v>150093.53833000001</v>
      </c>
      <c r="V4" s="12"/>
      <c r="W4" s="12">
        <v>376991.65286577999</v>
      </c>
      <c r="X4" s="10"/>
      <c r="Y4" s="10">
        <f t="shared" si="0"/>
        <v>2400321.8706999999</v>
      </c>
      <c r="Z4" s="10"/>
      <c r="AA4" s="10">
        <f t="shared" si="1"/>
        <v>-18643806.879498892</v>
      </c>
      <c r="AB4" s="10"/>
      <c r="AC4" s="13"/>
      <c r="AD4" s="10">
        <v>4702629524.92031</v>
      </c>
      <c r="AE4" s="10">
        <v>92.542254682000006</v>
      </c>
      <c r="AF4" s="10">
        <f t="shared" si="2"/>
        <v>5081602497.2374029</v>
      </c>
      <c r="AG4" s="10"/>
      <c r="AH4" s="10"/>
      <c r="AI4" s="14">
        <f t="shared" si="3"/>
        <v>-3.6688833669368155E-3</v>
      </c>
      <c r="AJ4" s="11">
        <v>2015</v>
      </c>
      <c r="AK4" s="15">
        <f>(SUM(AB14:AB15)+AA8+AA7)/AVERAGE(AF14:AF17)</f>
        <v>-3.0144685604561124E-2</v>
      </c>
      <c r="AL4" s="15"/>
      <c r="AN4" s="15"/>
      <c r="AO4" s="15"/>
      <c r="AP4" s="10">
        <v>545118865</v>
      </c>
      <c r="AQ4" s="10">
        <f>AP4</f>
        <v>545118865</v>
      </c>
      <c r="AR4" s="17">
        <f>AP4/AF17</f>
        <v>9.6335892011156887E-2</v>
      </c>
      <c r="AS4" s="17">
        <f>AQ4/AF17</f>
        <v>9.6335892011156887E-2</v>
      </c>
      <c r="AT4" s="9">
        <v>10933469</v>
      </c>
      <c r="AV4" s="9">
        <f t="shared" ref="AV4:AV12" si="6">(AT4-AT3)/AT3</f>
        <v>9.2013324034656552E-4</v>
      </c>
      <c r="BC4" s="14">
        <f>S4/AF4</f>
        <v>1.4212842397520341E-2</v>
      </c>
      <c r="BD4" s="9">
        <v>2015</v>
      </c>
      <c r="BE4" s="14">
        <f>SUM(T14:T15)/AVERAGE(AF14:AF17)</f>
        <v>2.8760297618737794E-2</v>
      </c>
      <c r="BF4" s="14">
        <f>SUM(P14:P15)/AVERAGE(AF14:AF17)</f>
        <v>6.8949138437464667E-3</v>
      </c>
      <c r="BG4" s="14">
        <f>SUM(D14:D15)/AVERAGE(AF14:AF17)</f>
        <v>4.0032874372892872E-2</v>
      </c>
      <c r="BH4" s="14">
        <f>(SUM(H14:H15)+SUM(J14:J15))/AVERAGE(AF14:AF17)</f>
        <v>0</v>
      </c>
      <c r="BI4" s="15">
        <f t="shared" si="4"/>
        <v>-3.0144685604561124E-2</v>
      </c>
      <c r="BJ4" s="16">
        <f t="shared" si="5"/>
        <v>4.0032874372892872E-2</v>
      </c>
    </row>
    <row r="5" spans="1:62">
      <c r="A5" s="9">
        <v>2014</v>
      </c>
      <c r="B5" s="9">
        <v>3</v>
      </c>
      <c r="C5" s="10">
        <v>79948619.698482305</v>
      </c>
      <c r="D5" s="10"/>
      <c r="E5" s="10">
        <v>14531608.437999999</v>
      </c>
      <c r="F5" s="10"/>
      <c r="G5" s="10"/>
      <c r="H5" s="10"/>
      <c r="I5" s="10"/>
      <c r="J5" s="12"/>
      <c r="K5" s="12">
        <v>2697105.9034000002</v>
      </c>
      <c r="L5" s="10"/>
      <c r="M5" s="10">
        <v>618357.67000000004</v>
      </c>
      <c r="N5" s="10"/>
      <c r="O5" s="10">
        <v>17397319.126396801</v>
      </c>
      <c r="P5" s="10"/>
      <c r="Q5" s="10">
        <v>16666086.76898</v>
      </c>
      <c r="R5" s="10"/>
      <c r="S5" s="10">
        <v>63724227.302598797</v>
      </c>
      <c r="T5" s="10"/>
      <c r="U5" s="10">
        <v>145660.84302</v>
      </c>
      <c r="V5" s="12"/>
      <c r="W5" s="12">
        <v>365858.00147638301</v>
      </c>
      <c r="X5" s="10"/>
      <c r="Y5" s="10">
        <f t="shared" si="0"/>
        <v>-1035324.3993999995</v>
      </c>
      <c r="Z5" s="10"/>
      <c r="AA5" s="10">
        <f t="shared" si="1"/>
        <v>-33621711.522280306</v>
      </c>
      <c r="AB5" s="10"/>
      <c r="AC5" s="13"/>
      <c r="AD5" s="10">
        <v>4685503118.6782703</v>
      </c>
      <c r="AE5" s="10">
        <v>96.348619912999993</v>
      </c>
      <c r="AF5" s="10">
        <f t="shared" si="2"/>
        <v>4863072374.995245</v>
      </c>
      <c r="AG5" s="10"/>
      <c r="AH5" s="10"/>
      <c r="AI5" s="14">
        <f t="shared" si="3"/>
        <v>-6.9136769781908049E-3</v>
      </c>
      <c r="AJ5" s="11">
        <v>2016</v>
      </c>
      <c r="AK5" s="15">
        <f>SUM(AB16:AB19)/AVERAGE(AF18:AF21)</f>
        <v>-3.3306942249534711E-2</v>
      </c>
      <c r="AL5" s="15"/>
      <c r="AN5" s="15"/>
      <c r="AO5" s="15"/>
      <c r="AP5" s="10">
        <v>527406836</v>
      </c>
      <c r="AQ5" s="10">
        <f>AP5</f>
        <v>527406836</v>
      </c>
      <c r="AR5" s="17">
        <f>AP5/AF21</f>
        <v>9.6733053127945015E-2</v>
      </c>
      <c r="AS5" s="17">
        <f>AQ5/AF21</f>
        <v>9.6733053127945015E-2</v>
      </c>
      <c r="AT5" s="9">
        <v>10927942</v>
      </c>
      <c r="AV5" s="9">
        <f t="shared" si="6"/>
        <v>-5.0551202001853203E-4</v>
      </c>
      <c r="BC5" s="14">
        <f>S5/AF5</f>
        <v>1.3103697084635945E-2</v>
      </c>
      <c r="BD5" s="9">
        <v>2016</v>
      </c>
      <c r="BE5" s="14">
        <f>SUM(T16:T19)/AVERAGE(AF18:AF21)</f>
        <v>5.471114300888693E-2</v>
      </c>
      <c r="BF5" s="14">
        <f>SUM(P16:P19)/AVERAGE(AF18:AF21)</f>
        <v>1.3710176617263908E-2</v>
      </c>
      <c r="BG5" s="14">
        <f>SUM(D16:D19)/AVERAGE(AF18:AF21)</f>
        <v>7.4307908641157744E-2</v>
      </c>
      <c r="BH5" s="14">
        <f>(SUM(H16:H19)+SUM(J16:J19))/AVERAGE(AF18:AF21)</f>
        <v>3.5850487677192361E-5</v>
      </c>
      <c r="BI5" s="15">
        <f t="shared" si="4"/>
        <v>-3.3342792737211906E-2</v>
      </c>
      <c r="BJ5" s="16">
        <f t="shared" si="5"/>
        <v>7.4343759128834938E-2</v>
      </c>
    </row>
    <row r="6" spans="1:62">
      <c r="A6" s="9">
        <v>2014</v>
      </c>
      <c r="B6" s="9">
        <v>4</v>
      </c>
      <c r="C6" s="10">
        <v>83342500.446047202</v>
      </c>
      <c r="D6" s="10"/>
      <c r="E6" s="10">
        <v>15148485.804</v>
      </c>
      <c r="F6" s="10"/>
      <c r="G6" s="10"/>
      <c r="H6" s="10"/>
      <c r="I6" s="10"/>
      <c r="J6" s="12"/>
      <c r="K6" s="12">
        <v>2598760.7445</v>
      </c>
      <c r="L6" s="10"/>
      <c r="M6" s="10">
        <v>597485.603</v>
      </c>
      <c r="N6" s="10"/>
      <c r="O6" s="10">
        <v>16772169.366415</v>
      </c>
      <c r="P6" s="10"/>
      <c r="Q6" s="10">
        <v>20600306.344000001</v>
      </c>
      <c r="R6" s="10"/>
      <c r="S6" s="10">
        <v>78767056.8481365</v>
      </c>
      <c r="T6" s="10"/>
      <c r="U6" s="10">
        <v>143630.44399999999</v>
      </c>
      <c r="V6" s="12"/>
      <c r="W6" s="12">
        <v>360758.22508998099</v>
      </c>
      <c r="X6" s="10"/>
      <c r="Y6" s="10">
        <f t="shared" si="0"/>
        <v>2399204.6364999991</v>
      </c>
      <c r="Z6" s="10"/>
      <c r="AA6" s="10">
        <f t="shared" si="1"/>
        <v>-21347612.964325704</v>
      </c>
      <c r="AB6" s="10"/>
      <c r="AC6" s="13"/>
      <c r="AD6" s="10">
        <v>5010564196.8707304</v>
      </c>
      <c r="AE6" s="10">
        <v>100</v>
      </c>
      <c r="AF6" s="10">
        <f t="shared" si="2"/>
        <v>5010564196.8707304</v>
      </c>
      <c r="AG6" s="10"/>
      <c r="AH6" s="10"/>
      <c r="AI6" s="14">
        <f t="shared" si="3"/>
        <v>-4.260520796771354E-3</v>
      </c>
      <c r="AJ6" s="11">
        <v>2017</v>
      </c>
      <c r="AK6" s="15">
        <f>SUM(AB20:AB23)/AVERAGE(AF22:AF25)</f>
        <v>-3.8537083916722691E-2</v>
      </c>
      <c r="AL6" s="15"/>
      <c r="AN6" s="15"/>
      <c r="AO6" s="10">
        <v>46349018</v>
      </c>
      <c r="AP6" s="10">
        <v>580675520</v>
      </c>
      <c r="AQ6" s="10">
        <f>AP6</f>
        <v>580675520</v>
      </c>
      <c r="AR6" s="17">
        <f>AP6/AF25</f>
        <v>0.10103933176461725</v>
      </c>
      <c r="AS6" s="17">
        <f>AQ6/AF25</f>
        <v>0.10103933176461725</v>
      </c>
      <c r="AT6" s="9">
        <v>11163575</v>
      </c>
      <c r="AV6" s="9">
        <f t="shared" si="6"/>
        <v>2.1562431425789046E-2</v>
      </c>
      <c r="BC6" s="14">
        <f>S6/AF6</f>
        <v>1.5720197118186657E-2</v>
      </c>
      <c r="BD6" s="9">
        <v>2017</v>
      </c>
      <c r="BE6" s="14">
        <f>SUM(T20:T23)/AVERAGE(AF22:AF25)</f>
        <v>5.438749741869698E-2</v>
      </c>
      <c r="BF6" s="14">
        <f>SUM(P20:P23)/AVERAGE(AF22:AF25)</f>
        <v>1.6913355426566863E-2</v>
      </c>
      <c r="BG6" s="14">
        <f>SUM(D20:D23)/AVERAGE(AF22:AF25)</f>
        <v>7.6011225908852814E-2</v>
      </c>
      <c r="BH6" s="14">
        <f>(SUM(H20:H23)+SUM(J20:J23))/AVERAGE(AF22:AF25)</f>
        <v>4.5189327612476452E-4</v>
      </c>
      <c r="BI6" s="15">
        <f t="shared" si="4"/>
        <v>-3.8988977192847454E-2</v>
      </c>
      <c r="BJ6" s="16">
        <f t="shared" si="5"/>
        <v>7.6463119184977585E-2</v>
      </c>
    </row>
    <row r="7" spans="1:62">
      <c r="A7" s="9">
        <v>2015</v>
      </c>
      <c r="B7" s="9">
        <v>1</v>
      </c>
      <c r="C7" s="10">
        <v>87220448.7038403</v>
      </c>
      <c r="D7" s="10"/>
      <c r="E7" s="10">
        <v>15853348.733999999</v>
      </c>
      <c r="F7" s="10"/>
      <c r="G7" s="10"/>
      <c r="H7" s="10"/>
      <c r="I7" s="10"/>
      <c r="J7" s="12"/>
      <c r="K7" s="12">
        <v>3002195.4358999999</v>
      </c>
      <c r="L7" s="10"/>
      <c r="M7" s="10">
        <v>654530.51300000004</v>
      </c>
      <c r="N7" s="10"/>
      <c r="O7" s="10">
        <v>19179435.069263499</v>
      </c>
      <c r="P7" s="10"/>
      <c r="Q7" s="10">
        <v>18139908.10636</v>
      </c>
      <c r="R7" s="10"/>
      <c r="S7" s="10">
        <v>69359510.930272505</v>
      </c>
      <c r="T7" s="10"/>
      <c r="U7" s="10">
        <v>167252.22263999999</v>
      </c>
      <c r="V7" s="12"/>
      <c r="W7" s="12">
        <v>420089.31603637501</v>
      </c>
      <c r="X7" s="10"/>
      <c r="Y7" s="10">
        <f t="shared" si="0"/>
        <v>-1202914.3538999986</v>
      </c>
      <c r="Z7" s="10"/>
      <c r="AA7" s="10">
        <f t="shared" si="1"/>
        <v>-37040372.842831299</v>
      </c>
      <c r="AB7" s="10"/>
      <c r="AC7" s="13"/>
      <c r="AD7" s="18">
        <v>5092693740.32864</v>
      </c>
      <c r="AE7" s="18">
        <v>103.09103866</v>
      </c>
      <c r="AF7" s="18">
        <f t="shared" si="2"/>
        <v>4939996537.5502996</v>
      </c>
      <c r="AG7" s="10"/>
      <c r="AH7" s="10"/>
      <c r="AI7" s="14">
        <f t="shared" si="3"/>
        <v>-7.4980564381527462E-3</v>
      </c>
      <c r="AJ7" s="11">
        <f t="shared" ref="AJ7:AJ29" si="7">AJ6+1</f>
        <v>2018</v>
      </c>
      <c r="AK7" s="15">
        <f>SUM(AB24:AB27)/AVERAGE(AF26:AF29)</f>
        <v>-3.7480406036719469E-2</v>
      </c>
      <c r="AL7" s="10">
        <v>34256427</v>
      </c>
      <c r="AM7" s="15">
        <f>AL7/AVERAGE(AF26:AF29)</f>
        <v>5.988221713245364E-3</v>
      </c>
      <c r="AN7" s="15">
        <f>(AF29-AF25)/AF25</f>
        <v>5.3497648687502071E-3</v>
      </c>
      <c r="AO7" s="10">
        <f>+ (((((((((((AO6*((1+AN7)^(1/12))-AL7/12)*((1+AN7)^(1/12))-AL7/12)*((1+AN7)^(1/12))-AL7/12)*((1+AN7)^(1/12))-AL7/12)*((1+AN7)^(1/12))-AL7/12)*((1+AN7)^(1/12))-AL7/12)*((1+AN7)^(1/12))-AL7/12)*((1+AN7)^(1/12))-AL7/12)*((1+AN7)^(1/12))-AL7/12)*((1+AN7)^(1/12))-AL7/12)*((1+AN7)^(1/12))-AL7/12)*((1+AN7)^(1/12))-AL7/12</f>
        <v>12256632.344123907</v>
      </c>
      <c r="AP7" s="10">
        <f t="shared" ref="AP7:AP29" si="8">AP6*(1+AN7)</f>
        <v>583781997.4970392</v>
      </c>
      <c r="AQ7" s="10">
        <f>AP7</f>
        <v>583781997.4970392</v>
      </c>
      <c r="AR7" s="17">
        <f>AP7/AF29</f>
        <v>0.10103933176461724</v>
      </c>
      <c r="AS7" s="17">
        <f>AQ7/AF29</f>
        <v>0.10103933176461724</v>
      </c>
      <c r="AT7" s="9">
        <v>11012334</v>
      </c>
      <c r="AV7" s="9">
        <f t="shared" si="6"/>
        <v>-1.3547721048140941E-2</v>
      </c>
      <c r="BC7" s="14">
        <f>T14/AF14</f>
        <v>1.4725113587232476E-2</v>
      </c>
      <c r="BD7" s="9">
        <f t="shared" ref="BD7:BD29" si="9">BD6+1</f>
        <v>2018</v>
      </c>
      <c r="BE7" s="14">
        <f>SUM(T24:T27)/AVERAGE(AF26:AF29)</f>
        <v>5.1196024624464972E-2</v>
      </c>
      <c r="BF7" s="14">
        <f>SUM(P24:P27)/AVERAGE(AF26:AF29)</f>
        <v>1.4684915271142763E-2</v>
      </c>
      <c r="BG7" s="14">
        <f>SUM(D24:D27)/AVERAGE(AF26:AF29)</f>
        <v>7.3991515390041687E-2</v>
      </c>
      <c r="BH7" s="14">
        <f>(SUM(H24:H27)+SUM(J24:J27))/AVERAGE(AF26:AF29)</f>
        <v>8.3056413267060996E-4</v>
      </c>
      <c r="BI7" s="15">
        <f t="shared" si="4"/>
        <v>-3.8310970169390078E-2</v>
      </c>
      <c r="BJ7" s="16">
        <f t="shared" si="5"/>
        <v>7.4822079522712304E-2</v>
      </c>
    </row>
    <row r="8" spans="1:62">
      <c r="A8" s="9">
        <v>2015</v>
      </c>
      <c r="B8" s="9">
        <v>2</v>
      </c>
      <c r="C8" s="10">
        <v>94524704.7581871</v>
      </c>
      <c r="D8" s="10"/>
      <c r="E8" s="10">
        <v>17180984.028999999</v>
      </c>
      <c r="F8" s="10"/>
      <c r="G8" s="10"/>
      <c r="H8" s="10"/>
      <c r="I8" s="10"/>
      <c r="J8" s="12"/>
      <c r="K8" s="12">
        <v>2371185.1833000001</v>
      </c>
      <c r="L8" s="10"/>
      <c r="M8" s="10">
        <v>696491.069000002</v>
      </c>
      <c r="N8" s="12"/>
      <c r="O8" s="12">
        <v>16135978.221071601</v>
      </c>
      <c r="P8" s="12"/>
      <c r="Q8" s="10">
        <v>21552530.200959999</v>
      </c>
      <c r="R8" s="10"/>
      <c r="S8" s="10">
        <v>82407967.299702004</v>
      </c>
      <c r="T8" s="12"/>
      <c r="U8" s="12">
        <v>188439.08603999999</v>
      </c>
      <c r="V8" s="12"/>
      <c r="W8" s="12">
        <v>473304.60259085899</v>
      </c>
      <c r="X8" s="10"/>
      <c r="Y8" s="10">
        <f t="shared" si="0"/>
        <v>1492309.0056999996</v>
      </c>
      <c r="Z8" s="10"/>
      <c r="AA8" s="10">
        <f t="shared" si="1"/>
        <v>-28252715.679556698</v>
      </c>
      <c r="AB8" s="10"/>
      <c r="AC8" s="13"/>
      <c r="AD8" s="19">
        <v>5951478855.3666</v>
      </c>
      <c r="AE8" s="19">
        <v>106.73436665</v>
      </c>
      <c r="AF8" s="19">
        <f t="shared" si="2"/>
        <v>5575972427.7771788</v>
      </c>
      <c r="AG8" s="10"/>
      <c r="AH8" s="10"/>
      <c r="AI8" s="14">
        <f t="shared" si="3"/>
        <v>-5.066867895331297E-3</v>
      </c>
      <c r="AJ8" s="11">
        <f t="shared" si="7"/>
        <v>2019</v>
      </c>
      <c r="AK8" s="15">
        <f>SUM(AB28:AB31)/AVERAGE(AF30:AF33)</f>
        <v>-3.9236331674083393E-2</v>
      </c>
      <c r="AL8" s="10">
        <v>32756268</v>
      </c>
      <c r="AM8" s="15">
        <f>AL8/AVERAGE(AF30:AF33)</f>
        <v>5.6125214455690336E-3</v>
      </c>
      <c r="AN8" s="15">
        <f>(AF33-AF29)/AF29</f>
        <v>1.4643433899957665E-2</v>
      </c>
      <c r="AO8" s="10">
        <f>((((AO7*((1+AN8)^(1/12))-AL8/12)*((1+AN8)^(1/12))-AL8/12)*((1+AN8)^(1/12))-AL8/12)*((1+AN8)^(1/12))-AL8/12)*((1+AN8)^(1/12))-AL8/12</f>
        <v>-1350475.2719675968</v>
      </c>
      <c r="AP8" s="10">
        <f t="shared" si="8"/>
        <v>592330570.5893724</v>
      </c>
      <c r="AQ8" s="10">
        <f>((((((((AP7*((1+AN8)^(4/12)))*((1+AN8)^(1/12))+AO8)*((1+AN8)^(1/12))-AL8/12)*((1+AN8)^(1/12))-AL8/12)*((1+AN8)^(1/12))-AL8/12)*((1+AN8)^(1/12))-AL8/12)*((1+AN8)^(1/12))-AL8/12)*((1+AN8)^(1/12))-AL8/12)*((1+AN8)^(1/12))-AL8/12</f>
        <v>571791145.05272019</v>
      </c>
      <c r="AR8" s="17">
        <f>AP8/AF33</f>
        <v>0.10103933176461724</v>
      </c>
      <c r="AS8" s="17">
        <f>AQ8/AF33</f>
        <v>9.753573101514465E-2</v>
      </c>
      <c r="AT8" s="9">
        <v>11082939</v>
      </c>
      <c r="AV8" s="9">
        <f t="shared" si="6"/>
        <v>6.4114473825439729E-3</v>
      </c>
      <c r="BC8" s="14">
        <f>T15/AF15</f>
        <v>1.507240872248281E-2</v>
      </c>
      <c r="BD8" s="9">
        <f t="shared" si="9"/>
        <v>2019</v>
      </c>
      <c r="BE8" s="14">
        <f>SUM(T28:T31)/AVERAGE(AF30:AF33)</f>
        <v>4.7433008313533219E-2</v>
      </c>
      <c r="BF8" s="14">
        <f>SUM(P28:P31)/AVERAGE(AF30:AF33)</f>
        <v>1.3543493817723689E-2</v>
      </c>
      <c r="BG8" s="14">
        <f>SUM(D28:D31)/AVERAGE(AF30:AF33)</f>
        <v>7.3125846169892914E-2</v>
      </c>
      <c r="BH8" s="14">
        <f>(SUM(H28:H31)+SUM(J28:J31))/AVERAGE(AF30:AF33)</f>
        <v>1.1819406291387635E-3</v>
      </c>
      <c r="BI8" s="15">
        <f t="shared" si="4"/>
        <v>-4.0418272303222154E-2</v>
      </c>
      <c r="BJ8" s="16">
        <f t="shared" si="5"/>
        <v>7.4307786799031675E-2</v>
      </c>
    </row>
    <row r="9" spans="1:62">
      <c r="A9" s="9">
        <v>2016</v>
      </c>
      <c r="B9" s="9">
        <v>2</v>
      </c>
      <c r="C9" s="10">
        <v>97915025.902647793</v>
      </c>
      <c r="D9" s="10"/>
      <c r="E9" s="10">
        <v>17797214.875</v>
      </c>
      <c r="F9" s="10"/>
      <c r="G9" s="10"/>
      <c r="H9" s="10"/>
      <c r="I9" s="10"/>
      <c r="J9" s="12"/>
      <c r="K9" s="12"/>
      <c r="L9" s="10"/>
      <c r="M9" s="10">
        <v>732730.52299999795</v>
      </c>
      <c r="N9" s="12"/>
      <c r="O9" s="12"/>
      <c r="P9" s="12"/>
      <c r="Q9" s="10"/>
      <c r="R9" s="10"/>
      <c r="S9" s="10"/>
      <c r="T9" s="12"/>
      <c r="U9" s="12"/>
      <c r="V9" s="12"/>
      <c r="W9" s="12"/>
      <c r="X9" s="10"/>
      <c r="Y9" s="10"/>
      <c r="Z9" s="10"/>
      <c r="AA9" s="10"/>
      <c r="AB9" s="10"/>
      <c r="AC9" s="13"/>
      <c r="AD9" s="10"/>
      <c r="AE9" s="10"/>
      <c r="AF9" s="10"/>
      <c r="AG9" s="10"/>
      <c r="AH9" s="10"/>
      <c r="AI9" s="14"/>
      <c r="AJ9" s="11">
        <f t="shared" si="7"/>
        <v>2020</v>
      </c>
      <c r="AK9" s="15">
        <f>SUM(AB32:AB35)/AVERAGE(AF34:AF37)</f>
        <v>-4.203226314832522E-2</v>
      </c>
      <c r="AL9" s="10">
        <v>31300261</v>
      </c>
      <c r="AM9" s="15">
        <f>AL9/AVERAGE(AF34:AF37)</f>
        <v>5.3191099958354738E-3</v>
      </c>
      <c r="AN9" s="15">
        <f>(AF37-AF33)/AF33</f>
        <v>1.126198676286071E-2</v>
      </c>
      <c r="AO9" s="15"/>
      <c r="AP9" s="10">
        <f t="shared" si="8"/>
        <v>599001389.63458765</v>
      </c>
      <c r="AQ9" s="10">
        <f t="shared" ref="AQ9:AQ29" si="10">(((((((((((AQ8*((1+AN9)^(1/12))-AL9/12)*((1+AN9)^(1/12))-AL9/12)*((1+AN9)^(1/12))-AL9/12)*((1+AN9)^(1/12))-AL9/12)*((1+AN9)^(1/12))-AL9/12)*((1+AN9)^(1/12))-AL9/12)*((1+AN9)^(1/12))-AL9/12)*((1+AN9)^(1/12))-AL9/12)*((1+AN9)^(1/12))-AL9/12)*((1+AN9)^(1/12))-AL9/12)*((1+AN9)^(1/12))-AL9/12)*((1+AN9)^(1/12))-AL9/12</f>
        <v>546769151.11666858</v>
      </c>
      <c r="AR9" s="17">
        <f>AP9/AF37</f>
        <v>0.10103933176461725</v>
      </c>
      <c r="AS9" s="17">
        <f>AQ9/AF37</f>
        <v>9.2228817185276937E-2</v>
      </c>
      <c r="AT9" s="9">
        <v>11339977</v>
      </c>
      <c r="AV9" s="9">
        <f t="shared" si="6"/>
        <v>2.3192223651145243E-2</v>
      </c>
      <c r="BC9" s="14">
        <f t="shared" ref="BC9:BC40" si="11">T14/AF16</f>
        <v>1.2917420302879588E-2</v>
      </c>
      <c r="BD9" s="9">
        <f t="shared" si="9"/>
        <v>2020</v>
      </c>
      <c r="BE9" s="14">
        <f>SUM(T32:T35)/AVERAGE(AF34:AF37)</f>
        <v>4.4544716481161123E-2</v>
      </c>
      <c r="BF9" s="14">
        <f>SUM(P32:P35)/AVERAGE(AF34:AF37)</f>
        <v>1.3236949475476049E-2</v>
      </c>
      <c r="BG9" s="14">
        <f>SUM(D32:D35)/AVERAGE(AF34:AF37)</f>
        <v>7.3340030154010305E-2</v>
      </c>
      <c r="BH9" s="14">
        <f>(SUM(H32:H35)+SUM(J32:J35))/AVERAGE(AF34:AF37)</f>
        <v>1.5823397327170219E-3</v>
      </c>
      <c r="BI9" s="15">
        <f t="shared" si="4"/>
        <v>-4.3614602881042241E-2</v>
      </c>
      <c r="BJ9" s="16">
        <f t="shared" si="5"/>
        <v>7.4922369886727333E-2</v>
      </c>
    </row>
    <row r="10" spans="1:62">
      <c r="A10" s="9">
        <v>2016</v>
      </c>
      <c r="B10" s="9">
        <v>3</v>
      </c>
      <c r="C10" s="10">
        <v>100917465.84456199</v>
      </c>
      <c r="D10" s="10"/>
      <c r="E10" s="10">
        <v>18342943.715</v>
      </c>
      <c r="F10" s="10"/>
      <c r="G10" s="10"/>
      <c r="H10" s="10"/>
      <c r="I10" s="10"/>
      <c r="J10" s="12"/>
      <c r="K10" s="12"/>
      <c r="L10" s="10"/>
      <c r="M10" s="10">
        <v>775294.91</v>
      </c>
      <c r="N10" s="12"/>
      <c r="O10" s="12"/>
      <c r="P10" s="12"/>
      <c r="Q10" s="10"/>
      <c r="R10" s="10"/>
      <c r="S10" s="10"/>
      <c r="T10" s="12"/>
      <c r="U10" s="10"/>
      <c r="V10" s="12"/>
      <c r="W10" s="12"/>
      <c r="X10" s="10"/>
      <c r="Y10" s="10"/>
      <c r="Z10" s="10"/>
      <c r="AA10" s="10"/>
      <c r="AB10" s="10"/>
      <c r="AC10" s="13"/>
      <c r="AD10" s="10"/>
      <c r="AE10" s="10"/>
      <c r="AF10" s="10"/>
      <c r="AG10" s="10"/>
      <c r="AH10" s="10"/>
      <c r="AI10" s="14"/>
      <c r="AJ10" s="11">
        <f t="shared" si="7"/>
        <v>2021</v>
      </c>
      <c r="AK10" s="15">
        <f>SUM(AB36:AB39)/AVERAGE(AF38:AF41)</f>
        <v>-4.4610536435072526E-2</v>
      </c>
      <c r="AL10" s="10">
        <v>29595645</v>
      </c>
      <c r="AM10" s="15">
        <f>AL10/AVERAGE(AF38:AF41)</f>
        <v>4.9847151207488725E-3</v>
      </c>
      <c r="AN10" s="15">
        <f>(AF41-AF37)/AF37</f>
        <v>2.2152501794606362E-3</v>
      </c>
      <c r="AO10" s="15"/>
      <c r="AP10" s="10">
        <f t="shared" si="8"/>
        <v>600328327.57047284</v>
      </c>
      <c r="AQ10" s="10">
        <f t="shared" si="10"/>
        <v>518354699.44339865</v>
      </c>
      <c r="AR10" s="17">
        <f>AP10/AF41</f>
        <v>0.10103933176461725</v>
      </c>
      <c r="AS10" s="17">
        <f>AQ10/AF41</f>
        <v>8.7242613822286735E-2</v>
      </c>
      <c r="AT10" s="9">
        <v>11479064</v>
      </c>
      <c r="AV10" s="9">
        <f t="shared" si="6"/>
        <v>1.2265192424993455E-2</v>
      </c>
      <c r="BC10" s="14">
        <f t="shared" si="11"/>
        <v>1.485252154833998E-2</v>
      </c>
      <c r="BD10" s="9">
        <f t="shared" si="9"/>
        <v>2021</v>
      </c>
      <c r="BE10" s="14">
        <f>SUM(T36:T39)/AVERAGE(AF38:AF41)</f>
        <v>4.1720613202725805E-2</v>
      </c>
      <c r="BF10" s="14">
        <f>SUM(P36:P39)/AVERAGE(AF38:AF41)</f>
        <v>1.2914295318867574E-2</v>
      </c>
      <c r="BG10" s="14">
        <f>SUM(D36:D39)/AVERAGE(AF38:AF41)</f>
        <v>7.3416854318930747E-2</v>
      </c>
      <c r="BH10" s="14">
        <f>(SUM(H36:H39)+SUM(J36:J39))/AVERAGE(AF38:AF41)</f>
        <v>2.0820266662830286E-3</v>
      </c>
      <c r="BI10" s="15">
        <f t="shared" si="4"/>
        <v>-4.6692563101355555E-2</v>
      </c>
      <c r="BJ10" s="16">
        <f t="shared" si="5"/>
        <v>7.5498880985213776E-2</v>
      </c>
    </row>
    <row r="11" spans="1:62">
      <c r="A11" s="9">
        <v>2016</v>
      </c>
      <c r="B11" s="9">
        <v>4</v>
      </c>
      <c r="C11" s="10">
        <v>108710229.285033</v>
      </c>
      <c r="D11" s="10"/>
      <c r="E11" s="10">
        <v>19759371.113000002</v>
      </c>
      <c r="F11" s="10"/>
      <c r="G11" s="10"/>
      <c r="H11" s="10"/>
      <c r="I11" s="10"/>
      <c r="J11" s="12"/>
      <c r="K11" s="12"/>
      <c r="L11" s="10"/>
      <c r="M11" s="10">
        <v>832906.25299999898</v>
      </c>
      <c r="N11" s="12"/>
      <c r="O11" s="12"/>
      <c r="P11" s="10"/>
      <c r="Q11" s="10"/>
      <c r="R11" s="10"/>
      <c r="S11" s="10"/>
      <c r="T11" s="12"/>
      <c r="U11" s="12"/>
      <c r="V11" s="12"/>
      <c r="W11" s="12"/>
      <c r="X11" s="10"/>
      <c r="Y11" s="10"/>
      <c r="Z11" s="10"/>
      <c r="AA11" s="10"/>
      <c r="AB11" s="10"/>
      <c r="AC11" s="13"/>
      <c r="AD11" s="10"/>
      <c r="AE11" s="10"/>
      <c r="AF11" s="10"/>
      <c r="AG11" s="10"/>
      <c r="AH11" s="10"/>
      <c r="AI11" s="14"/>
      <c r="AJ11" s="11">
        <f t="shared" si="7"/>
        <v>2022</v>
      </c>
      <c r="AK11" s="15">
        <f>SUM(AB40:AB43)/AVERAGE(AF42:AF45)</f>
        <v>-4.7074482910189376E-2</v>
      </c>
      <c r="AL11" s="10">
        <v>27922350</v>
      </c>
      <c r="AM11" s="15">
        <f>AL11/AVERAGE(AF42:AF45)</f>
        <v>4.6724521907420347E-3</v>
      </c>
      <c r="AN11" s="15">
        <f>(AF45-AF41)/AF41</f>
        <v>9.6700153026884617E-3</v>
      </c>
      <c r="AO11" s="15"/>
      <c r="AP11" s="10">
        <f t="shared" si="8"/>
        <v>606133511.6847167</v>
      </c>
      <c r="AQ11" s="10">
        <f t="shared" si="10"/>
        <v>495321307.97502506</v>
      </c>
      <c r="AR11" s="17">
        <f>AP11/AF45</f>
        <v>0.10103933176461725</v>
      </c>
      <c r="AS11" s="17">
        <f>AQ11/AF45</f>
        <v>8.2567508645858989E-2</v>
      </c>
      <c r="AT11" s="9">
        <v>11462881</v>
      </c>
      <c r="AV11" s="9">
        <f t="shared" si="6"/>
        <v>-1.4097839336029488E-3</v>
      </c>
      <c r="BC11" s="14">
        <f t="shared" si="11"/>
        <v>1.3197500250337503E-2</v>
      </c>
      <c r="BD11" s="9">
        <f t="shared" si="9"/>
        <v>2022</v>
      </c>
      <c r="BE11" s="14">
        <f>SUM(T40:T43)/AVERAGE(AF42:AF45)</f>
        <v>3.9418068699103123E-2</v>
      </c>
      <c r="BF11" s="14">
        <f>SUM(P40:P43)/AVERAGE(AF42:AF45)</f>
        <v>1.2842681158182148E-2</v>
      </c>
      <c r="BG11" s="14">
        <f>SUM(D40:D43)/AVERAGE(AF42:AF45)</f>
        <v>7.364987045111035E-2</v>
      </c>
      <c r="BH11" s="14">
        <f>(SUM(H40:H43)+SUM(J40:J43))/AVERAGE(AF42:AF45)</f>
        <v>2.603476653377805E-3</v>
      </c>
      <c r="BI11" s="15">
        <f t="shared" si="4"/>
        <v>-4.967795956356718E-2</v>
      </c>
      <c r="BJ11" s="16">
        <f t="shared" si="5"/>
        <v>7.6253347104488153E-2</v>
      </c>
    </row>
    <row r="12" spans="1:62" ht="11.5" customHeight="1">
      <c r="A12" s="9">
        <v>2017</v>
      </c>
      <c r="B12" s="9">
        <v>1</v>
      </c>
      <c r="C12" s="10">
        <v>106787377.90249901</v>
      </c>
      <c r="D12" s="10"/>
      <c r="E12" s="10">
        <v>19409869.568</v>
      </c>
      <c r="F12" s="10"/>
      <c r="G12" s="10"/>
      <c r="H12" s="10"/>
      <c r="I12" s="10"/>
      <c r="J12" s="12"/>
      <c r="K12" s="12"/>
      <c r="L12" s="10"/>
      <c r="M12" s="10">
        <v>832988.16000000003</v>
      </c>
      <c r="N12" s="12"/>
      <c r="O12" s="12"/>
      <c r="P12" s="12"/>
      <c r="Q12" s="10"/>
      <c r="R12" s="10"/>
      <c r="S12" s="10"/>
      <c r="T12" s="12"/>
      <c r="U12" s="12"/>
      <c r="V12" s="12"/>
      <c r="W12" s="12"/>
      <c r="X12" s="10"/>
      <c r="Y12" s="10"/>
      <c r="Z12" s="10"/>
      <c r="AA12" s="10"/>
      <c r="AB12" s="10"/>
      <c r="AC12" s="13"/>
      <c r="AD12" s="10"/>
      <c r="AE12" s="10"/>
      <c r="AF12" s="10"/>
      <c r="AG12" s="10"/>
      <c r="AH12" s="10"/>
      <c r="AI12" s="14"/>
      <c r="AJ12" s="11">
        <f t="shared" si="7"/>
        <v>2023</v>
      </c>
      <c r="AK12" s="15">
        <f>SUM(AB44:AB47)/AVERAGE(AF46:AF49)</f>
        <v>-4.6306986311790081E-2</v>
      </c>
      <c r="AL12" s="10">
        <v>26288740</v>
      </c>
      <c r="AM12" s="15">
        <f>AL12/AVERAGE(AF46:AF49)</f>
        <v>4.344262263775143E-3</v>
      </c>
      <c r="AN12" s="15">
        <f>(AF49-AF45)/AF45</f>
        <v>1.2326703692856971E-2</v>
      </c>
      <c r="AO12" s="15"/>
      <c r="AP12" s="10">
        <f t="shared" si="8"/>
        <v>613605139.88156509</v>
      </c>
      <c r="AQ12" s="10">
        <f t="shared" si="10"/>
        <v>474990050.98919457</v>
      </c>
      <c r="AR12" s="17">
        <f>AP12/AF49</f>
        <v>0.10103933176461725</v>
      </c>
      <c r="AS12" s="17">
        <f>AQ12/AF49</f>
        <v>7.8214268798421402E-2</v>
      </c>
      <c r="AT12" s="9">
        <v>11332510</v>
      </c>
      <c r="AV12" s="9">
        <f t="shared" si="6"/>
        <v>-1.1373318801791626E-2</v>
      </c>
      <c r="BC12" s="14">
        <f t="shared" si="11"/>
        <v>1.3756176158652152E-2</v>
      </c>
      <c r="BD12" s="9">
        <f t="shared" si="9"/>
        <v>2023</v>
      </c>
      <c r="BE12" s="14">
        <f>SUM(T44:T47)/AVERAGE(AF46:AF49)</f>
        <v>3.9438196808027688E-2</v>
      </c>
      <c r="BF12" s="14">
        <f>SUM(P44:P47)/AVERAGE(AF46:AF49)</f>
        <v>1.2402735012446386E-2</v>
      </c>
      <c r="BG12" s="14">
        <f>SUM(D44:D47)/AVERAGE(AF46:AF49)</f>
        <v>7.334244810737138E-2</v>
      </c>
      <c r="BH12" s="14">
        <f>(SUM(H44:H47)+SUM(J44:J47))/AVERAGE(AF46:AF49)</f>
        <v>3.0076540901497282E-3</v>
      </c>
      <c r="BI12" s="15">
        <f t="shared" si="4"/>
        <v>-4.9314640401939808E-2</v>
      </c>
      <c r="BJ12" s="16">
        <f t="shared" si="5"/>
        <v>7.6350102197521114E-2</v>
      </c>
    </row>
    <row r="13" spans="1:62">
      <c r="C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0"/>
      <c r="P13" s="21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2"/>
      <c r="AD13" s="21"/>
      <c r="AE13" s="21"/>
      <c r="AF13" s="21"/>
      <c r="AG13" s="21"/>
      <c r="AH13" s="21"/>
      <c r="AI13" s="16"/>
      <c r="AJ13" s="23">
        <f t="shared" si="7"/>
        <v>2024</v>
      </c>
      <c r="AK13" s="24">
        <f>SUM(AB48:AB51)/AVERAGE(AF50:AF53)</f>
        <v>-4.5748814741759937E-2</v>
      </c>
      <c r="AL13" s="21">
        <v>24725359</v>
      </c>
      <c r="AM13" s="24">
        <f>AL13/AVERAGE(AF50:AF53)</f>
        <v>4.0345021687807972E-3</v>
      </c>
      <c r="AN13" s="24">
        <f>(AF53-AF49)/AF49</f>
        <v>1.7427042460964437E-2</v>
      </c>
      <c r="AO13" s="24"/>
      <c r="AP13" s="21">
        <f t="shared" si="8"/>
        <v>624298462.70854712</v>
      </c>
      <c r="AQ13" s="21">
        <f t="shared" si="10"/>
        <v>458345488.64087105</v>
      </c>
      <c r="AR13" s="25">
        <f>AP13/AF53</f>
        <v>0.10103933176461725</v>
      </c>
      <c r="AS13" s="25">
        <f>AQ13/AF53</f>
        <v>7.418073991193018E-2</v>
      </c>
      <c r="BC13" s="16">
        <f t="shared" si="11"/>
        <v>1.2846590176763187E-2</v>
      </c>
      <c r="BD13">
        <f t="shared" si="9"/>
        <v>2024</v>
      </c>
      <c r="BE13" s="16">
        <f>SUM(T48:T51)/AVERAGE(AF50:AF53)</f>
        <v>3.9335921009488253E-2</v>
      </c>
      <c r="BF13" s="16">
        <f>SUM(P48:P51)/AVERAGE(AF50:AF53)</f>
        <v>1.2088888069314888E-2</v>
      </c>
      <c r="BG13" s="16">
        <f>SUM(D48:D51)/AVERAGE(AF50:AF53)</f>
        <v>7.2995847681933304E-2</v>
      </c>
      <c r="BH13" s="16">
        <f>(SUM(H48:H51)+SUM(J48:J51))/AVERAGE(AF50:AF53)</f>
        <v>3.3674914980649459E-3</v>
      </c>
      <c r="BI13" s="24">
        <f t="shared" si="4"/>
        <v>-4.9116306239824881E-2</v>
      </c>
      <c r="BJ13" s="16">
        <f t="shared" si="5"/>
        <v>7.6363339179998255E-2</v>
      </c>
    </row>
    <row r="14" spans="1:62" s="34" customFormat="1">
      <c r="A14" s="26">
        <v>2015</v>
      </c>
      <c r="B14" s="26">
        <v>3</v>
      </c>
      <c r="C14" s="19"/>
      <c r="D14" s="43">
        <v>104972380.342972</v>
      </c>
      <c r="E14" s="19"/>
      <c r="F14" s="27">
        <v>19079972.709021501</v>
      </c>
      <c r="G14" s="44">
        <v>0</v>
      </c>
      <c r="H14" s="44">
        <v>0</v>
      </c>
      <c r="I14" s="44">
        <v>0</v>
      </c>
      <c r="J14" s="44">
        <v>0</v>
      </c>
      <c r="K14" s="19"/>
      <c r="L14" s="43">
        <v>2869641.16935188</v>
      </c>
      <c r="M14" s="27"/>
      <c r="N14" s="43">
        <v>771795.46014843904</v>
      </c>
      <c r="O14" s="19"/>
      <c r="P14" s="43">
        <v>19136772.5747284</v>
      </c>
      <c r="Q14" s="27"/>
      <c r="R14" s="43">
        <v>19024548.514712099</v>
      </c>
      <c r="S14" s="27"/>
      <c r="T14" s="43">
        <v>72742010.135963306</v>
      </c>
      <c r="U14" s="19"/>
      <c r="V14" s="43">
        <v>143491.61854897701</v>
      </c>
      <c r="W14" s="27"/>
      <c r="X14" s="43">
        <v>360409.57601347001</v>
      </c>
      <c r="Y14" s="19"/>
      <c r="Z14" s="19">
        <f t="shared" ref="Z14:Z45" si="12">R14+V14-N14-L14-F14</f>
        <v>-3553369.2052607425</v>
      </c>
      <c r="AA14" s="19"/>
      <c r="AB14" s="19">
        <f t="shared" ref="AB14:AB45" si="13">T14-P14-D14</f>
        <v>-51367142.781737089</v>
      </c>
      <c r="AC14" s="13"/>
      <c r="AD14" s="18">
        <v>5092693740.32864</v>
      </c>
      <c r="AE14" s="18">
        <v>103.09103866</v>
      </c>
      <c r="AF14" s="18">
        <f t="shared" ref="AF14:AF25" si="14">AD14*100/AE14</f>
        <v>4939996537.5502996</v>
      </c>
      <c r="AG14" s="18"/>
      <c r="AH14" s="18"/>
      <c r="AI14" s="28">
        <f>AI7</f>
        <v>-7.4980564381527462E-3</v>
      </c>
      <c r="AJ14" s="29">
        <f t="shared" si="7"/>
        <v>2025</v>
      </c>
      <c r="AK14" s="30">
        <f>SUM(AB52:AB55)/AVERAGE(AF54:AF57)</f>
        <v>-4.4797568490919204E-2</v>
      </c>
      <c r="AL14" s="18">
        <v>23142925</v>
      </c>
      <c r="AM14" s="30">
        <f>AL14/AVERAGE(AF54:AF57)</f>
        <v>3.7199850738771009E-3</v>
      </c>
      <c r="AN14" s="30">
        <f>(AF57-AF53)/AF53</f>
        <v>9.2702085366617119E-3</v>
      </c>
      <c r="AO14" s="30"/>
      <c r="AP14" s="18">
        <f t="shared" si="8"/>
        <v>630085839.64697266</v>
      </c>
      <c r="AQ14" s="18">
        <f t="shared" si="10"/>
        <v>439353355.01414895</v>
      </c>
      <c r="AR14" s="31">
        <f>AP14/AF57</f>
        <v>0.10103933176461725</v>
      </c>
      <c r="AS14" s="31">
        <f>AQ14/AF57</f>
        <v>7.0453843914417114E-2</v>
      </c>
      <c r="AT14" s="26"/>
      <c r="AU14" s="26">
        <v>11185633</v>
      </c>
      <c r="AV14" s="26"/>
      <c r="AW14" s="26"/>
      <c r="AX14" s="45">
        <v>6853.2466625781399</v>
      </c>
      <c r="AY14" s="33"/>
      <c r="AZ14" s="26"/>
      <c r="BA14" s="26"/>
      <c r="BB14" s="26"/>
      <c r="BC14" s="28">
        <f t="shared" si="11"/>
        <v>1.4890201301170363E-2</v>
      </c>
      <c r="BD14" s="34">
        <f t="shared" si="9"/>
        <v>2025</v>
      </c>
      <c r="BE14" s="28">
        <f>SUM(T52:T55)/AVERAGE(AF54:AF57)</f>
        <v>3.9274605130862339E-2</v>
      </c>
      <c r="BF14" s="28">
        <f>SUM(P52:P55)/AVERAGE(AF54:AF57)</f>
        <v>1.1739701424984523E-2</v>
      </c>
      <c r="BG14" s="28">
        <f>SUM(D52:D55)/AVERAGE(AF54:AF57)</f>
        <v>7.2332472196797018E-2</v>
      </c>
      <c r="BH14" s="28">
        <f>(SUM(H52:H55)+SUM(J52:J55))/AVERAGE(AF54:AF57)</f>
        <v>4.4162635681076149E-3</v>
      </c>
      <c r="BI14" s="30">
        <f t="shared" si="4"/>
        <v>-4.9213832059026817E-2</v>
      </c>
      <c r="BJ14" s="16">
        <f t="shared" si="5"/>
        <v>7.6748735764904638E-2</v>
      </c>
    </row>
    <row r="15" spans="1:62" s="26" customFormat="1">
      <c r="A15" s="26">
        <v>2015</v>
      </c>
      <c r="B15" s="26">
        <v>4</v>
      </c>
      <c r="C15" s="19"/>
      <c r="D15" s="43">
        <v>113264862.081616</v>
      </c>
      <c r="E15" s="19"/>
      <c r="F15" s="27">
        <v>20587229.4249922</v>
      </c>
      <c r="G15" s="44">
        <v>0</v>
      </c>
      <c r="H15" s="44">
        <v>0</v>
      </c>
      <c r="I15" s="44">
        <v>0</v>
      </c>
      <c r="J15" s="44">
        <v>0</v>
      </c>
      <c r="K15" s="19"/>
      <c r="L15" s="43">
        <v>2670776.1939050499</v>
      </c>
      <c r="M15" s="27"/>
      <c r="N15" s="43">
        <v>834621.31100850203</v>
      </c>
      <c r="O15" s="19"/>
      <c r="P15" s="43">
        <v>18450510.5665798</v>
      </c>
      <c r="Q15" s="27"/>
      <c r="R15" s="43">
        <v>21980235.489048298</v>
      </c>
      <c r="S15" s="27"/>
      <c r="T15" s="43">
        <v>84043335.456752405</v>
      </c>
      <c r="U15" s="19"/>
      <c r="V15" s="43">
        <v>125893.010086867</v>
      </c>
      <c r="W15" s="27"/>
      <c r="X15" s="43">
        <v>316206.94537625799</v>
      </c>
      <c r="Y15" s="19"/>
      <c r="Z15" s="19">
        <f t="shared" si="12"/>
        <v>-1986498.4307705872</v>
      </c>
      <c r="AA15" s="19"/>
      <c r="AB15" s="19">
        <f t="shared" si="13"/>
        <v>-47672037.191443399</v>
      </c>
      <c r="AC15" s="13"/>
      <c r="AD15" s="19">
        <v>5951478855.3666</v>
      </c>
      <c r="AE15" s="19">
        <v>106.73436665</v>
      </c>
      <c r="AF15" s="19">
        <f t="shared" si="14"/>
        <v>5575972427.7771788</v>
      </c>
      <c r="AG15" s="19"/>
      <c r="AH15" s="19"/>
      <c r="AI15" s="33">
        <f>AI8</f>
        <v>-5.066867895331297E-3</v>
      </c>
      <c r="AJ15" s="35">
        <f t="shared" si="7"/>
        <v>2026</v>
      </c>
      <c r="AK15" s="36">
        <f>SUM(AB56:AB59)/AVERAGE(AF58:AF61)</f>
        <v>-4.4668382464594578E-2</v>
      </c>
      <c r="AL15" s="19">
        <v>21624894</v>
      </c>
      <c r="AM15" s="36">
        <f>AL15/AVERAGE(AF58:AF61)</f>
        <v>3.4533039785255518E-3</v>
      </c>
      <c r="AN15" s="36">
        <f>(AF61-AF57)/AF57</f>
        <v>8.1656598748052044E-3</v>
      </c>
      <c r="AO15" s="36"/>
      <c r="AP15" s="19">
        <f t="shared" si="8"/>
        <v>635230906.30546093</v>
      </c>
      <c r="AQ15" s="19">
        <f t="shared" si="10"/>
        <v>421235256.7147637</v>
      </c>
      <c r="AR15" s="37">
        <f>AP15/AF61</f>
        <v>0.10103933176461725</v>
      </c>
      <c r="AS15" s="37">
        <f>AQ15/AF61</f>
        <v>6.7001350897260073E-2</v>
      </c>
      <c r="AU15" s="26">
        <v>11102417</v>
      </c>
      <c r="AW15" s="26">
        <f t="shared" ref="AW15:AW46" si="15">(AU15-AU14)/AU14</f>
        <v>-7.4395432068976334E-3</v>
      </c>
      <c r="AX15" s="45">
        <v>6832.2540861547704</v>
      </c>
      <c r="AY15" s="33">
        <f t="shared" ref="AY15:AY46" si="16">(AX15-AX14)/AX14</f>
        <v>-3.0631578661831178E-3</v>
      </c>
      <c r="BC15" s="33">
        <f t="shared" si="11"/>
        <v>1.3233683487538977E-2</v>
      </c>
      <c r="BD15" s="26">
        <f t="shared" si="9"/>
        <v>2026</v>
      </c>
      <c r="BE15" s="33">
        <f>SUM(T56:T59)/AVERAGE(AF58:AF61)</f>
        <v>3.9206000032878413E-2</v>
      </c>
      <c r="BF15" s="33">
        <f>SUM(P56:P59)/AVERAGE(AF58:AF61)</f>
        <v>1.1739486252019296E-2</v>
      </c>
      <c r="BG15" s="33">
        <f>SUM(D56:D59)/AVERAGE(AF58:AF61)</f>
        <v>7.2134896245453703E-2</v>
      </c>
      <c r="BH15" s="33">
        <f>(SUM(H56:H59)+SUM(J56:J59))/AVERAGE(AF58:AF61)</f>
        <v>5.6343537196536161E-3</v>
      </c>
      <c r="BI15" s="36">
        <f t="shared" si="4"/>
        <v>-5.0302736184248194E-2</v>
      </c>
      <c r="BJ15" s="16">
        <f t="shared" si="5"/>
        <v>7.7769249965107312E-2</v>
      </c>
    </row>
    <row r="16" spans="1:62" s="26" customFormat="1">
      <c r="A16" s="34">
        <v>2016</v>
      </c>
      <c r="B16" s="34">
        <v>1</v>
      </c>
      <c r="C16" s="18"/>
      <c r="D16" s="46">
        <v>99483865.345019907</v>
      </c>
      <c r="E16" s="18"/>
      <c r="F16" s="38">
        <v>18082370.139356598</v>
      </c>
      <c r="G16" s="47">
        <v>0</v>
      </c>
      <c r="H16" s="47">
        <v>0</v>
      </c>
      <c r="I16" s="47">
        <v>0</v>
      </c>
      <c r="J16" s="47">
        <v>0</v>
      </c>
      <c r="K16" s="18"/>
      <c r="L16" s="46">
        <v>2665572.1829564301</v>
      </c>
      <c r="M16" s="38"/>
      <c r="N16" s="46">
        <v>730868.62277234299</v>
      </c>
      <c r="O16" s="18"/>
      <c r="P16" s="46">
        <v>17852690.2503452</v>
      </c>
      <c r="Q16" s="38"/>
      <c r="R16" s="46">
        <v>18329131.825861499</v>
      </c>
      <c r="S16" s="38"/>
      <c r="T16" s="46">
        <v>70083024.153196305</v>
      </c>
      <c r="U16" s="18"/>
      <c r="V16" s="46">
        <v>116696.772819162</v>
      </c>
      <c r="W16" s="38"/>
      <c r="X16" s="46">
        <v>293108.64870855701</v>
      </c>
      <c r="Y16" s="18"/>
      <c r="Z16" s="18">
        <f t="shared" si="12"/>
        <v>-3032982.3464047126</v>
      </c>
      <c r="AA16" s="18"/>
      <c r="AB16" s="18">
        <f t="shared" si="13"/>
        <v>-47253531.442168802</v>
      </c>
      <c r="AC16" s="13"/>
      <c r="AD16" s="19">
        <v>6221730755.7715998</v>
      </c>
      <c r="AE16" s="19">
        <v>110.48458934999999</v>
      </c>
      <c r="AF16" s="19">
        <f t="shared" si="14"/>
        <v>5631310929.7641611</v>
      </c>
      <c r="AG16" s="19"/>
      <c r="AH16" s="19"/>
      <c r="AI16" s="33">
        <f t="shared" ref="AI16:AI47" si="17">AB14/AF16</f>
        <v>-9.1217024636727605E-3</v>
      </c>
      <c r="AJ16" s="35">
        <f t="shared" si="7"/>
        <v>2027</v>
      </c>
      <c r="AK16" s="36">
        <f>SUM(AB60:AB63)/AVERAGE(AF62:AF65)</f>
        <v>-4.3946033022531632E-2</v>
      </c>
      <c r="AL16" s="19">
        <v>20144491</v>
      </c>
      <c r="AM16" s="36">
        <f>AL16/AVERAGE(AF62:AF65)</f>
        <v>3.1929984458915423E-3</v>
      </c>
      <c r="AN16" s="36">
        <f>(AF65-AF61)/AF61</f>
        <v>7.818729987340664E-3</v>
      </c>
      <c r="AO16" s="36"/>
      <c r="AP16" s="19">
        <f t="shared" si="8"/>
        <v>640197605.24147701</v>
      </c>
      <c r="AQ16" s="19">
        <f t="shared" si="10"/>
        <v>404312202.47544062</v>
      </c>
      <c r="AR16" s="37">
        <f>AP16/AF65</f>
        <v>0.10103933176461725</v>
      </c>
      <c r="AS16" s="37">
        <f>AQ16/AF65</f>
        <v>6.381066475090974E-2</v>
      </c>
      <c r="AT16" s="34"/>
      <c r="AU16" s="34">
        <v>11090768</v>
      </c>
      <c r="AV16" s="34"/>
      <c r="AW16" s="34">
        <f t="shared" si="15"/>
        <v>-1.0492309917741335E-3</v>
      </c>
      <c r="AX16" s="48">
        <v>6441.0704283216501</v>
      </c>
      <c r="AY16" s="28">
        <f t="shared" si="16"/>
        <v>-5.7255431794586649E-2</v>
      </c>
      <c r="AZ16" s="34"/>
      <c r="BA16" s="34"/>
      <c r="BB16" s="34"/>
      <c r="BC16" s="33">
        <f t="shared" si="11"/>
        <v>1.3970620286113315E-2</v>
      </c>
      <c r="BD16" s="26">
        <f t="shared" si="9"/>
        <v>2027</v>
      </c>
      <c r="BE16" s="33">
        <f>SUM(T60:T63)/AVERAGE(AF62:AF65)</f>
        <v>3.9240443400532919E-2</v>
      </c>
      <c r="BF16" s="33">
        <f>SUM(P60:P63)/AVERAGE(AF62:AF65)</f>
        <v>1.1542592084612866E-2</v>
      </c>
      <c r="BG16" s="33">
        <f>SUM(D60:D63)/AVERAGE(AF62:AF65)</f>
        <v>7.1643884338451688E-2</v>
      </c>
      <c r="BH16" s="33">
        <f>(SUM(H60:H63)+SUM(J60:J63))/AVERAGE(AF62:AF65)</f>
        <v>6.9889084635502184E-3</v>
      </c>
      <c r="BI16" s="36">
        <f t="shared" si="4"/>
        <v>-5.0934941486081853E-2</v>
      </c>
      <c r="BJ16" s="16">
        <f t="shared" si="5"/>
        <v>7.8632792802001902E-2</v>
      </c>
    </row>
    <row r="17" spans="1:62" s="26" customFormat="1">
      <c r="A17" s="26">
        <v>2016</v>
      </c>
      <c r="B17" s="26">
        <v>2</v>
      </c>
      <c r="C17" s="19"/>
      <c r="D17" s="43">
        <v>102300549.238139</v>
      </c>
      <c r="E17" s="19"/>
      <c r="F17" s="27">
        <v>18594335.778652001</v>
      </c>
      <c r="G17" s="44">
        <v>0</v>
      </c>
      <c r="H17" s="44">
        <v>0</v>
      </c>
      <c r="I17" s="44">
        <v>0</v>
      </c>
      <c r="J17" s="44">
        <v>0</v>
      </c>
      <c r="K17" s="19"/>
      <c r="L17" s="43">
        <v>2618618.1015989701</v>
      </c>
      <c r="M17" s="27"/>
      <c r="N17" s="43">
        <v>752236.96718559798</v>
      </c>
      <c r="O17" s="19"/>
      <c r="P17" s="43">
        <v>17726607.6252519</v>
      </c>
      <c r="Q17" s="27"/>
      <c r="R17" s="43">
        <v>20436512.2309427</v>
      </c>
      <c r="S17" s="27"/>
      <c r="T17" s="43">
        <v>78140775.782266706</v>
      </c>
      <c r="U17" s="19"/>
      <c r="V17" s="43">
        <v>114199.534375804</v>
      </c>
      <c r="W17" s="27"/>
      <c r="X17" s="43">
        <v>286836.30571266299</v>
      </c>
      <c r="Y17" s="19"/>
      <c r="Z17" s="19">
        <f t="shared" si="12"/>
        <v>-1414479.0821180642</v>
      </c>
      <c r="AA17" s="19"/>
      <c r="AB17" s="19">
        <f t="shared" si="13"/>
        <v>-41886381.081124201</v>
      </c>
      <c r="AC17" s="13"/>
      <c r="AD17" s="19">
        <v>6552140231.3025303</v>
      </c>
      <c r="AE17" s="19">
        <v>115.79241048</v>
      </c>
      <c r="AF17" s="19">
        <f t="shared" si="14"/>
        <v>5658523044.9401817</v>
      </c>
      <c r="AG17" s="19"/>
      <c r="AH17" s="19"/>
      <c r="AI17" s="33">
        <f t="shared" si="17"/>
        <v>-8.4248198359943866E-3</v>
      </c>
      <c r="AJ17" s="35">
        <f t="shared" si="7"/>
        <v>2028</v>
      </c>
      <c r="AK17" s="36">
        <f>SUM(AB64:AB67)/AVERAGE(AF66:AF69)</f>
        <v>-4.3289641091895918E-2</v>
      </c>
      <c r="AL17" s="19">
        <v>18706037</v>
      </c>
      <c r="AM17" s="36">
        <f>AL17/AVERAGE(AF66:AF69)</f>
        <v>2.932998379161212E-3</v>
      </c>
      <c r="AN17" s="36">
        <f>(AF69-AF65)/AF65</f>
        <v>9.6345756544755998E-3</v>
      </c>
      <c r="AO17" s="36"/>
      <c r="AP17" s="19">
        <f t="shared" si="8"/>
        <v>646365637.50299013</v>
      </c>
      <c r="AQ17" s="19">
        <f t="shared" si="10"/>
        <v>389419081.98376477</v>
      </c>
      <c r="AR17" s="37">
        <f>AP17/AF69</f>
        <v>0.10103933176461725</v>
      </c>
      <c r="AS17" s="37">
        <f>AQ17/AF69</f>
        <v>6.0873662733731376E-2</v>
      </c>
      <c r="AU17" s="26">
        <v>11075806</v>
      </c>
      <c r="AW17" s="26">
        <f t="shared" si="15"/>
        <v>-1.3490499485698376E-3</v>
      </c>
      <c r="AX17" s="45">
        <v>6254.1240431472797</v>
      </c>
      <c r="AY17" s="33">
        <f t="shared" si="16"/>
        <v>-2.9024117536793174E-2</v>
      </c>
      <c r="BC17" s="33">
        <f t="shared" si="11"/>
        <v>1.2685403442586575E-2</v>
      </c>
      <c r="BD17" s="26">
        <f t="shared" si="9"/>
        <v>2028</v>
      </c>
      <c r="BE17" s="33">
        <f>SUM(T64:T67)/AVERAGE(AF66:AF69)</f>
        <v>3.9321386285698985E-2</v>
      </c>
      <c r="BF17" s="33">
        <f>SUM(P64:P67)/AVERAGE(AF66:AF69)</f>
        <v>1.1312381961916416E-2</v>
      </c>
      <c r="BG17" s="33">
        <f>SUM(D64:D67)/AVERAGE(AF66:AF69)</f>
        <v>7.1298645415678472E-2</v>
      </c>
      <c r="BH17" s="33">
        <f>(SUM(H64:H67)+SUM(J64:J67))/AVERAGE(AF66:AF69)</f>
        <v>8.2703106534970979E-3</v>
      </c>
      <c r="BI17" s="36">
        <f t="shared" si="4"/>
        <v>-5.1559951745393018E-2</v>
      </c>
      <c r="BJ17" s="16">
        <f t="shared" si="5"/>
        <v>7.9568956069175564E-2</v>
      </c>
    </row>
    <row r="18" spans="1:62" s="34" customFormat="1">
      <c r="A18" s="26">
        <f t="shared" ref="A18:A49" si="18">A14+1</f>
        <v>2016</v>
      </c>
      <c r="B18" s="26">
        <f t="shared" ref="B18:B49" si="19">B14</f>
        <v>3</v>
      </c>
      <c r="C18" s="19"/>
      <c r="D18" s="43">
        <v>97682833.091087893</v>
      </c>
      <c r="E18" s="19"/>
      <c r="F18" s="27">
        <v>17755011.207980402</v>
      </c>
      <c r="G18" s="44">
        <v>0</v>
      </c>
      <c r="H18" s="44">
        <v>0</v>
      </c>
      <c r="I18" s="44">
        <v>0</v>
      </c>
      <c r="J18" s="44">
        <v>0</v>
      </c>
      <c r="K18" s="19"/>
      <c r="L18" s="43">
        <v>2255815.8175556599</v>
      </c>
      <c r="M18" s="27"/>
      <c r="N18" s="43">
        <v>719928.806128975</v>
      </c>
      <c r="O18" s="19"/>
      <c r="P18" s="43">
        <v>15666274.878976701</v>
      </c>
      <c r="Q18" s="27"/>
      <c r="R18" s="43">
        <v>18210487.656037498</v>
      </c>
      <c r="S18" s="27"/>
      <c r="T18" s="43">
        <v>69629377.886782303</v>
      </c>
      <c r="U18" s="19"/>
      <c r="V18" s="43">
        <v>114753.770743457</v>
      </c>
      <c r="W18" s="27"/>
      <c r="X18" s="43">
        <v>288228.38767742802</v>
      </c>
      <c r="Y18" s="19"/>
      <c r="Z18" s="19">
        <f t="shared" si="12"/>
        <v>-2405514.4048840832</v>
      </c>
      <c r="AA18" s="19"/>
      <c r="AB18" s="19">
        <f t="shared" si="13"/>
        <v>-43719730.083282292</v>
      </c>
      <c r="AC18" s="13"/>
      <c r="AD18" s="18">
        <v>6962845278.2518702</v>
      </c>
      <c r="AE18" s="18">
        <v>131.11898839</v>
      </c>
      <c r="AF18" s="18">
        <f t="shared" si="14"/>
        <v>5310325654.3908043</v>
      </c>
      <c r="AG18" s="18"/>
      <c r="AH18" s="18"/>
      <c r="AI18" s="28">
        <f t="shared" si="17"/>
        <v>-8.8984244126530283E-3</v>
      </c>
      <c r="AJ18" s="29">
        <f t="shared" si="7"/>
        <v>2029</v>
      </c>
      <c r="AK18" s="30">
        <f>SUM(AB68:AB71)/AVERAGE(AF70:AF73)</f>
        <v>-4.347874546681469E-2</v>
      </c>
      <c r="AL18" s="18">
        <v>17344459</v>
      </c>
      <c r="AM18" s="30">
        <f>AL18/AVERAGE(AF70:AF73)</f>
        <v>2.7123031927791513E-3</v>
      </c>
      <c r="AN18" s="30">
        <f>(AF73-AF69)/AF69</f>
        <v>3.5294401263225987E-3</v>
      </c>
      <c r="AO18" s="30"/>
      <c r="AP18" s="18">
        <f t="shared" si="8"/>
        <v>648646946.32026923</v>
      </c>
      <c r="AQ18" s="18">
        <f t="shared" si="10"/>
        <v>373421014.72752512</v>
      </c>
      <c r="AR18" s="31">
        <f>AP18/AF73</f>
        <v>0.10103933176461724</v>
      </c>
      <c r="AS18" s="31">
        <f>AQ18/AF73</f>
        <v>5.8167559423466637E-2</v>
      </c>
      <c r="AT18" s="26"/>
      <c r="AU18" s="26">
        <v>11207235</v>
      </c>
      <c r="AV18" s="26"/>
      <c r="AW18" s="26">
        <f t="shared" si="15"/>
        <v>1.1866314740435143E-2</v>
      </c>
      <c r="AX18" s="45">
        <v>6292.2491261057703</v>
      </c>
      <c r="AY18" s="33">
        <f t="shared" si="16"/>
        <v>6.0959908526701974E-3</v>
      </c>
      <c r="AZ18" s="26"/>
      <c r="BA18" s="26"/>
      <c r="BB18" s="26"/>
      <c r="BC18" s="28">
        <f t="shared" si="11"/>
        <v>1.4463333828164187E-2</v>
      </c>
      <c r="BD18" s="34">
        <f t="shared" si="9"/>
        <v>2029</v>
      </c>
      <c r="BE18" s="28">
        <f>SUM(T68:T71)/AVERAGE(AF70:AF73)</f>
        <v>3.9018675065540277E-2</v>
      </c>
      <c r="BF18" s="28">
        <f>SUM(P68:P71)/AVERAGE(AF70:AF73)</f>
        <v>1.1070573598522765E-2</v>
      </c>
      <c r="BG18" s="28">
        <f>SUM(D68:D71)/AVERAGE(AF70:AF73)</f>
        <v>7.1426846933832194E-2</v>
      </c>
      <c r="BH18" s="28">
        <f>(SUM(H68:H71)+SUM(J68:J71))/AVERAGE(AF70:AF73)</f>
        <v>9.399142927616887E-3</v>
      </c>
      <c r="BI18" s="30">
        <f t="shared" si="4"/>
        <v>-5.2877888394431576E-2</v>
      </c>
      <c r="BJ18" s="16">
        <f t="shared" si="5"/>
        <v>8.082598986144908E-2</v>
      </c>
    </row>
    <row r="19" spans="1:62" s="26" customFormat="1">
      <c r="A19" s="26">
        <f t="shared" si="18"/>
        <v>2016</v>
      </c>
      <c r="B19" s="26">
        <f t="shared" si="19"/>
        <v>4</v>
      </c>
      <c r="C19" s="19"/>
      <c r="D19" s="43">
        <v>106681111.11949299</v>
      </c>
      <c r="E19" s="19"/>
      <c r="F19" s="27">
        <v>19390554.754284799</v>
      </c>
      <c r="G19" s="43">
        <v>34547.7024160765</v>
      </c>
      <c r="H19" s="43">
        <v>190071.265473115</v>
      </c>
      <c r="I19" s="49">
        <v>1068.4856417343201</v>
      </c>
      <c r="J19" s="43">
        <v>5878.4927465911396</v>
      </c>
      <c r="K19" s="19"/>
      <c r="L19" s="43">
        <v>3729815.2114678798</v>
      </c>
      <c r="M19" s="27"/>
      <c r="N19" s="43">
        <v>788260.935891159</v>
      </c>
      <c r="O19" s="19"/>
      <c r="P19" s="43">
        <v>23690807.957799401</v>
      </c>
      <c r="Q19" s="27"/>
      <c r="R19" s="43">
        <v>21232468.537361301</v>
      </c>
      <c r="S19" s="27"/>
      <c r="T19" s="43">
        <v>81184183.706744298</v>
      </c>
      <c r="U19" s="19"/>
      <c r="V19" s="43">
        <v>118511.592881424</v>
      </c>
      <c r="W19" s="27"/>
      <c r="X19" s="43">
        <v>297666.95347781701</v>
      </c>
      <c r="Y19" s="19"/>
      <c r="Z19" s="19">
        <f t="shared" si="12"/>
        <v>-2557650.7714011148</v>
      </c>
      <c r="AA19" s="19"/>
      <c r="AB19" s="19">
        <f t="shared" si="13"/>
        <v>-49187735.370548099</v>
      </c>
      <c r="AC19" s="13"/>
      <c r="AD19" s="19">
        <v>8401125356.75455</v>
      </c>
      <c r="AE19" s="19">
        <v>147.89635652000001</v>
      </c>
      <c r="AF19" s="19">
        <f t="shared" si="14"/>
        <v>5680414010.4820404</v>
      </c>
      <c r="AG19" s="19"/>
      <c r="AH19" s="19"/>
      <c r="AI19" s="33">
        <f t="shared" si="17"/>
        <v>-7.3738253943870053E-3</v>
      </c>
      <c r="AJ19" s="35">
        <f t="shared" si="7"/>
        <v>2030</v>
      </c>
      <c r="AK19" s="36">
        <f>SUM(AB72:AB75)/AVERAGE(AF74:AF77)</f>
        <v>-4.2731485576523745E-2</v>
      </c>
      <c r="AL19" s="19">
        <v>16011335</v>
      </c>
      <c r="AM19" s="36">
        <f>AL19/AVERAGE(AF74:AF77)</f>
        <v>2.4829346800340035E-3</v>
      </c>
      <c r="AN19" s="36">
        <f>(AF77-AF73)/AF73</f>
        <v>1.0352832635999244E-2</v>
      </c>
      <c r="AO19" s="36"/>
      <c r="AP19" s="19">
        <f t="shared" si="8"/>
        <v>655362279.59537494</v>
      </c>
      <c r="AQ19" s="19">
        <f t="shared" si="10"/>
        <v>361199811.72393715</v>
      </c>
      <c r="AR19" s="37">
        <f>AP19/AF77</f>
        <v>0.10103933176461724</v>
      </c>
      <c r="AS19" s="37">
        <f>AQ19/AF77</f>
        <v>5.56873484275364E-2</v>
      </c>
      <c r="AT19"/>
      <c r="AU19" s="26">
        <v>11197960</v>
      </c>
      <c r="AV19"/>
      <c r="AW19" s="26">
        <f t="shared" si="15"/>
        <v>-8.2759039138556481E-4</v>
      </c>
      <c r="AX19" s="45">
        <v>6392.9117011472599</v>
      </c>
      <c r="AY19" s="33">
        <f t="shared" si="16"/>
        <v>1.5997868651425915E-2</v>
      </c>
      <c r="AZ19"/>
      <c r="BA19"/>
      <c r="BB19"/>
      <c r="BC19" s="33">
        <f t="shared" si="11"/>
        <v>1.1804989356778697E-2</v>
      </c>
      <c r="BD19" s="26">
        <f t="shared" si="9"/>
        <v>2030</v>
      </c>
      <c r="BE19" s="33">
        <f>SUM(T72:T75)/AVERAGE(AF74:AF77)</f>
        <v>3.9088862972487169E-2</v>
      </c>
      <c r="BF19" s="33">
        <f>SUM(P72:P75)/AVERAGE(AF74:AF77)</f>
        <v>1.0942440491411989E-2</v>
      </c>
      <c r="BG19" s="33">
        <f>SUM(D72:D75)/AVERAGE(AF74:AF77)</f>
        <v>7.0877908057598929E-2</v>
      </c>
      <c r="BH19" s="33">
        <f>(SUM(H72:H75)+SUM(J72:J75))/AVERAGE(AF74:AF77)</f>
        <v>1.0523468575888539E-2</v>
      </c>
      <c r="BI19" s="36">
        <f t="shared" si="4"/>
        <v>-5.3254954152412284E-2</v>
      </c>
      <c r="BJ19" s="16">
        <f t="shared" si="5"/>
        <v>8.1401376633487468E-2</v>
      </c>
    </row>
    <row r="20" spans="1:62" s="26" customFormat="1">
      <c r="A20" s="34">
        <f t="shared" si="18"/>
        <v>2017</v>
      </c>
      <c r="B20" s="34">
        <f t="shared" si="19"/>
        <v>1</v>
      </c>
      <c r="C20" s="18"/>
      <c r="D20" s="46">
        <v>101904730.53582001</v>
      </c>
      <c r="E20" s="18"/>
      <c r="F20" s="38">
        <v>18522391.044110399</v>
      </c>
      <c r="G20" s="46">
        <v>58257.290793023902</v>
      </c>
      <c r="H20" s="46">
        <v>320514.42526356102</v>
      </c>
      <c r="I20" s="46">
        <v>1801.7718801966</v>
      </c>
      <c r="J20" s="46">
        <v>9912.8172761924998</v>
      </c>
      <c r="K20" s="18"/>
      <c r="L20" s="46">
        <v>4087776.3510834901</v>
      </c>
      <c r="M20" s="38"/>
      <c r="N20" s="46">
        <v>754462.49065104895</v>
      </c>
      <c r="O20" s="18"/>
      <c r="P20" s="46">
        <v>25362320.9393829</v>
      </c>
      <c r="Q20" s="38"/>
      <c r="R20" s="46">
        <v>18416637.5570793</v>
      </c>
      <c r="S20" s="38"/>
      <c r="T20" s="46">
        <v>70417609.9007781</v>
      </c>
      <c r="U20" s="18"/>
      <c r="V20" s="46">
        <v>95041.589647833098</v>
      </c>
      <c r="W20" s="38"/>
      <c r="X20" s="46">
        <v>238717.07194472899</v>
      </c>
      <c r="Y20" s="18"/>
      <c r="Z20" s="18">
        <f t="shared" si="12"/>
        <v>-4852950.7391178049</v>
      </c>
      <c r="AA20" s="18"/>
      <c r="AB20" s="18">
        <f t="shared" si="13"/>
        <v>-56849441.574424803</v>
      </c>
      <c r="AC20" s="13"/>
      <c r="AD20" s="19">
        <v>8448889759.2748203</v>
      </c>
      <c r="AE20" s="19">
        <v>155.88165151000001</v>
      </c>
      <c r="AF20" s="19">
        <f t="shared" si="14"/>
        <v>5420066876.0125456</v>
      </c>
      <c r="AG20" s="19"/>
      <c r="AH20" s="19"/>
      <c r="AI20" s="33">
        <f t="shared" si="17"/>
        <v>-8.0662713363873068E-3</v>
      </c>
      <c r="AJ20" s="35">
        <f t="shared" si="7"/>
        <v>2031</v>
      </c>
      <c r="AK20" s="36">
        <f>SUM(AB76:AB79)/AVERAGE(AF78:AF81)</f>
        <v>-4.204533975442859E-2</v>
      </c>
      <c r="AL20" s="19">
        <v>14724508</v>
      </c>
      <c r="AM20" s="36">
        <f>AL20/AVERAGE(AF78:AF81)</f>
        <v>2.2613358381927051E-3</v>
      </c>
      <c r="AN20" s="36">
        <f>(AF81-AF77)/AF77</f>
        <v>1.1493014496871555E-5</v>
      </c>
      <c r="AO20" s="36"/>
      <c r="AP20" s="19">
        <f t="shared" si="8"/>
        <v>655369811.68355501</v>
      </c>
      <c r="AQ20" s="19">
        <f t="shared" si="10"/>
        <v>346479377.43548656</v>
      </c>
      <c r="AR20" s="37">
        <f>AP20/AF81</f>
        <v>0.10103933176461724</v>
      </c>
      <c r="AS20" s="37">
        <f>AQ20/AF81</f>
        <v>5.3417237324940713E-2</v>
      </c>
      <c r="AT20" s="34"/>
      <c r="AU20" s="34">
        <v>11098826</v>
      </c>
      <c r="AV20" s="34"/>
      <c r="AW20" s="34">
        <f t="shared" si="15"/>
        <v>-8.8528624856670322E-3</v>
      </c>
      <c r="AX20" s="48">
        <v>6400.0742597180897</v>
      </c>
      <c r="AY20" s="28">
        <f t="shared" si="16"/>
        <v>1.1203906616674226E-3</v>
      </c>
      <c r="AZ20" s="34"/>
      <c r="BA20" s="34"/>
      <c r="BB20" s="34"/>
      <c r="BC20" s="33">
        <f t="shared" si="11"/>
        <v>1.3687046495501192E-2</v>
      </c>
      <c r="BD20" s="26">
        <f t="shared" si="9"/>
        <v>2031</v>
      </c>
      <c r="BE20" s="33">
        <f>SUM(T76:T79)/AVERAGE(AF78:AF81)</f>
        <v>3.9062895605154087E-2</v>
      </c>
      <c r="BF20" s="33">
        <f>SUM(P76:P79)/AVERAGE(AF78:AF81)</f>
        <v>1.0782539702643911E-2</v>
      </c>
      <c r="BG20" s="33">
        <f>SUM(D76:D79)/AVERAGE(AF78:AF81)</f>
        <v>7.0325695656938761E-2</v>
      </c>
      <c r="BH20" s="33">
        <f>(SUM(H76:H79)+SUM(J76:J79))/AVERAGE(AF78:AF81)</f>
        <v>1.1749028439441747E-2</v>
      </c>
      <c r="BI20" s="36">
        <f t="shared" si="4"/>
        <v>-5.3794368193870339E-2</v>
      </c>
      <c r="BJ20" s="16">
        <f t="shared" si="5"/>
        <v>8.2074724096380502E-2</v>
      </c>
    </row>
    <row r="21" spans="1:62">
      <c r="A21" s="26">
        <f t="shared" si="18"/>
        <v>2017</v>
      </c>
      <c r="B21" s="26">
        <f t="shared" si="19"/>
        <v>2</v>
      </c>
      <c r="C21" s="19"/>
      <c r="D21" s="43">
        <v>108678270.19741499</v>
      </c>
      <c r="E21" s="19"/>
      <c r="F21" s="27">
        <v>19753562.057518601</v>
      </c>
      <c r="G21" s="43">
        <v>94849.380304339502</v>
      </c>
      <c r="H21" s="43">
        <v>521833.30534297001</v>
      </c>
      <c r="I21" s="43">
        <v>2933.4859887940302</v>
      </c>
      <c r="J21" s="43">
        <v>16139.1743920508</v>
      </c>
      <c r="K21" s="19"/>
      <c r="L21" s="43">
        <v>3770402.3938257098</v>
      </c>
      <c r="M21" s="27"/>
      <c r="N21" s="43">
        <v>807604.27980403998</v>
      </c>
      <c r="O21" s="19"/>
      <c r="P21" s="43">
        <v>24007836.4109971</v>
      </c>
      <c r="Q21" s="27"/>
      <c r="R21" s="43">
        <v>21101855.868257899</v>
      </c>
      <c r="S21" s="27"/>
      <c r="T21" s="43">
        <v>80684774.846005306</v>
      </c>
      <c r="U21" s="19"/>
      <c r="V21" s="43">
        <v>100474.894838576</v>
      </c>
      <c r="W21" s="27"/>
      <c r="X21" s="43">
        <v>252363.968118522</v>
      </c>
      <c r="Y21" s="19"/>
      <c r="Z21" s="19">
        <f t="shared" si="12"/>
        <v>-3129237.9680518769</v>
      </c>
      <c r="AA21" s="19"/>
      <c r="AB21" s="19">
        <f t="shared" si="13"/>
        <v>-52001331.762406789</v>
      </c>
      <c r="AC21" s="13"/>
      <c r="AD21" s="19">
        <v>8942134800.3519897</v>
      </c>
      <c r="AE21" s="19">
        <v>164.01000929</v>
      </c>
      <c r="AF21" s="19">
        <f t="shared" si="14"/>
        <v>5452188460.364418</v>
      </c>
      <c r="AG21" s="19"/>
      <c r="AH21" s="19"/>
      <c r="AI21" s="33">
        <f t="shared" si="17"/>
        <v>-9.0216498802501866E-3</v>
      </c>
      <c r="AJ21" s="35">
        <f t="shared" si="7"/>
        <v>2032</v>
      </c>
      <c r="AK21" s="36">
        <f>SUM(AB80:AB83)/AVERAGE(AF82:AF85)</f>
        <v>-4.255426553418401E-2</v>
      </c>
      <c r="AL21" s="19">
        <v>13484008</v>
      </c>
      <c r="AM21" s="36">
        <f>AL21/AVERAGE(AF82:AF85)</f>
        <v>2.0792885375280627E-3</v>
      </c>
      <c r="AN21" s="36">
        <f>(AF85-AF81)/AF81</f>
        <v>1.958453195359105E-3</v>
      </c>
      <c r="AO21" s="36"/>
      <c r="AP21" s="19">
        <f t="shared" si="8"/>
        <v>656653322.78538859</v>
      </c>
      <c r="AQ21" s="19">
        <f t="shared" si="10"/>
        <v>333661833.78076869</v>
      </c>
      <c r="AR21" s="37">
        <f>AP21/AF85</f>
        <v>0.10103933176461724</v>
      </c>
      <c r="AS21" s="37">
        <f>AQ21/AF85</f>
        <v>5.1340589548168537E-2</v>
      </c>
      <c r="AT21" s="26"/>
      <c r="AU21" s="26">
        <v>11012973</v>
      </c>
      <c r="AV21" s="26"/>
      <c r="AW21" s="26">
        <f t="shared" si="15"/>
        <v>-7.7353226368266342E-3</v>
      </c>
      <c r="AX21" s="45">
        <v>6426.6926535599796</v>
      </c>
      <c r="AY21" s="33">
        <f t="shared" si="16"/>
        <v>4.1590757797023391E-3</v>
      </c>
      <c r="AZ21" s="26"/>
      <c r="BA21" s="26"/>
      <c r="BB21" s="26"/>
      <c r="BC21" s="33">
        <f t="shared" si="11"/>
        <v>1.1913798808648197E-2</v>
      </c>
      <c r="BD21" s="26">
        <f t="shared" si="9"/>
        <v>2032</v>
      </c>
      <c r="BE21" s="33">
        <f>SUM(T80:T83)/AVERAGE(AF82:AF85)</f>
        <v>3.873200516304421E-2</v>
      </c>
      <c r="BF21" s="33">
        <f>SUM(P80:P83)/AVERAGE(AF82:AF85)</f>
        <v>1.0710166629235735E-2</v>
      </c>
      <c r="BG21" s="33">
        <f>SUM(D80:D83)/AVERAGE(AF82:AF85)</f>
        <v>7.0576104067992487E-2</v>
      </c>
      <c r="BH21" s="33">
        <f>(SUM(H80:H83)+SUM(J80:J83))/AVERAGE(AF82:AF85)</f>
        <v>1.2936923010765817E-2</v>
      </c>
      <c r="BI21" s="36">
        <f t="shared" si="4"/>
        <v>-5.5491188544949825E-2</v>
      </c>
      <c r="BJ21" s="16">
        <f t="shared" si="5"/>
        <v>8.3513027078758309E-2</v>
      </c>
    </row>
    <row r="22" spans="1:62" s="34" customFormat="1">
      <c r="A22" s="26">
        <f t="shared" si="18"/>
        <v>2017</v>
      </c>
      <c r="B22" s="26">
        <f t="shared" si="19"/>
        <v>3</v>
      </c>
      <c r="C22" s="19"/>
      <c r="D22" s="43">
        <v>104449042.120002</v>
      </c>
      <c r="E22" s="19"/>
      <c r="F22" s="27">
        <v>18984849.792124301</v>
      </c>
      <c r="G22" s="43">
        <v>129024.392918849</v>
      </c>
      <c r="H22" s="43">
        <v>709854.14148913405</v>
      </c>
      <c r="I22" s="43">
        <v>3990.4451418200601</v>
      </c>
      <c r="J22" s="43">
        <v>21954.2517986329</v>
      </c>
      <c r="K22" s="19"/>
      <c r="L22" s="43">
        <v>3360102.6841392498</v>
      </c>
      <c r="M22" s="27"/>
      <c r="N22" s="43">
        <v>777814.66912965896</v>
      </c>
      <c r="O22" s="19"/>
      <c r="P22" s="43">
        <v>21714895.618377</v>
      </c>
      <c r="Q22" s="27"/>
      <c r="R22" s="43">
        <v>18947526.4360644</v>
      </c>
      <c r="S22" s="27"/>
      <c r="T22" s="43">
        <v>72447509.542619407</v>
      </c>
      <c r="U22" s="19"/>
      <c r="V22" s="43">
        <v>105813.28189538801</v>
      </c>
      <c r="W22" s="27"/>
      <c r="X22" s="43">
        <v>265772.457305538</v>
      </c>
      <c r="Y22" s="19"/>
      <c r="Z22" s="19">
        <f t="shared" si="12"/>
        <v>-4069427.4274334218</v>
      </c>
      <c r="AA22" s="19"/>
      <c r="AB22" s="19">
        <f t="shared" si="13"/>
        <v>-53716428.195759594</v>
      </c>
      <c r="AC22" s="13"/>
      <c r="AD22" s="18">
        <v>9157377218.4824009</v>
      </c>
      <c r="AE22" s="18">
        <v>172.09591728000001</v>
      </c>
      <c r="AF22" s="18">
        <f t="shared" si="14"/>
        <v>5321089171.2110472</v>
      </c>
      <c r="AG22" s="18"/>
      <c r="AH22" s="18"/>
      <c r="AI22" s="28">
        <f t="shared" si="17"/>
        <v>-1.0683797949111652E-2</v>
      </c>
      <c r="AJ22" s="29">
        <f t="shared" si="7"/>
        <v>2033</v>
      </c>
      <c r="AK22" s="30">
        <f>SUM(AB84:AB87)/AVERAGE(AF86:AF89)</f>
        <v>-4.2237130653194413E-2</v>
      </c>
      <c r="AL22" s="18">
        <v>12290543</v>
      </c>
      <c r="AM22" s="30">
        <f>AL22/AVERAGE(AF86:AF89)</f>
        <v>1.886906624668285E-3</v>
      </c>
      <c r="AN22" s="30">
        <f>(AF89-AF85)/AF85</f>
        <v>-1.2244495965574055E-3</v>
      </c>
      <c r="AO22" s="30"/>
      <c r="AP22" s="18">
        <f t="shared" si="8"/>
        <v>655849283.88922596</v>
      </c>
      <c r="AQ22" s="18">
        <f t="shared" si="10"/>
        <v>320969637.73613143</v>
      </c>
      <c r="AR22" s="31">
        <f>AP22/AF89</f>
        <v>0.10103933176461724</v>
      </c>
      <c r="AS22" s="31">
        <f>AQ22/AF89</f>
        <v>4.9448186512112698E-2</v>
      </c>
      <c r="AT22" s="26"/>
      <c r="AU22" s="26">
        <v>11060423</v>
      </c>
      <c r="AV22" s="26"/>
      <c r="AW22" s="26">
        <f t="shared" si="15"/>
        <v>4.3085550105316705E-3</v>
      </c>
      <c r="AX22" s="45">
        <v>6619.7667992793304</v>
      </c>
      <c r="AY22" s="33">
        <f t="shared" si="16"/>
        <v>3.0042536048833762E-2</v>
      </c>
      <c r="AZ22" s="26"/>
      <c r="BA22" s="26"/>
      <c r="BB22" s="26"/>
      <c r="BC22" s="28">
        <f t="shared" si="11"/>
        <v>1.3785055191422101E-2</v>
      </c>
      <c r="BD22" s="34">
        <f t="shared" si="9"/>
        <v>2033</v>
      </c>
      <c r="BE22" s="28">
        <f>SUM(T84:T87)/AVERAGE(AF86:AF89)</f>
        <v>3.8689248277042211E-2</v>
      </c>
      <c r="BF22" s="28">
        <f>SUM(P84:P87)/AVERAGE(AF86:AF89)</f>
        <v>1.0589446850788043E-2</v>
      </c>
      <c r="BG22" s="28">
        <f>SUM(D84:D87)/AVERAGE(AF86:AF89)</f>
        <v>7.0336932079448578E-2</v>
      </c>
      <c r="BH22" s="28">
        <f>(SUM(H84:H87)+SUM(J84:J87))/AVERAGE(AF86:AF89)</f>
        <v>1.3899493130727466E-2</v>
      </c>
      <c r="BI22" s="30">
        <f t="shared" si="4"/>
        <v>-5.6136623783921882E-2</v>
      </c>
      <c r="BJ22" s="16">
        <f t="shared" si="5"/>
        <v>8.4236425210176047E-2</v>
      </c>
    </row>
    <row r="23" spans="1:62" s="26" customFormat="1">
      <c r="A23" s="26">
        <f t="shared" si="18"/>
        <v>2017</v>
      </c>
      <c r="B23" s="26">
        <f t="shared" si="19"/>
        <v>4</v>
      </c>
      <c r="C23" s="19"/>
      <c r="D23" s="43">
        <v>113567211.755356</v>
      </c>
      <c r="E23" s="19"/>
      <c r="F23" s="27">
        <v>20642185.057175498</v>
      </c>
      <c r="G23" s="43">
        <v>167114.701242846</v>
      </c>
      <c r="H23" s="43">
        <v>919415.77942989895</v>
      </c>
      <c r="I23" s="43">
        <v>5168.4959147272202</v>
      </c>
      <c r="J23" s="43">
        <v>28435.539569996999</v>
      </c>
      <c r="K23" s="19"/>
      <c r="L23" s="43">
        <v>3781230.3237592699</v>
      </c>
      <c r="M23" s="27"/>
      <c r="N23" s="43">
        <v>847427.32217642304</v>
      </c>
      <c r="O23" s="19"/>
      <c r="P23" s="43">
        <v>24283117.2203319</v>
      </c>
      <c r="Q23" s="27"/>
      <c r="R23" s="43">
        <v>21739048.097598098</v>
      </c>
      <c r="S23" s="27"/>
      <c r="T23" s="43">
        <v>83121134.561421201</v>
      </c>
      <c r="U23" s="19"/>
      <c r="V23" s="43">
        <v>108641.16276746801</v>
      </c>
      <c r="W23" s="27"/>
      <c r="X23" s="43">
        <v>272875.27875552402</v>
      </c>
      <c r="Y23" s="19"/>
      <c r="Z23" s="19">
        <f t="shared" si="12"/>
        <v>-3423153.442745626</v>
      </c>
      <c r="AA23" s="19"/>
      <c r="AB23" s="19">
        <f t="shared" si="13"/>
        <v>-54729194.414266698</v>
      </c>
      <c r="AC23" s="13"/>
      <c r="AD23" s="19">
        <v>10595155405.883801</v>
      </c>
      <c r="AE23" s="19">
        <v>183.45579240999999</v>
      </c>
      <c r="AF23" s="19">
        <f t="shared" si="14"/>
        <v>5775318002.6090412</v>
      </c>
      <c r="AG23" s="19"/>
      <c r="AH23" s="19"/>
      <c r="AI23" s="33">
        <f t="shared" si="17"/>
        <v>-9.0040638002816149E-3</v>
      </c>
      <c r="AJ23" s="35">
        <f t="shared" si="7"/>
        <v>2034</v>
      </c>
      <c r="AK23" s="36">
        <f>SUM(AB88:AB91)/AVERAGE(AF90:AF93)</f>
        <v>-4.2448274594983661E-2</v>
      </c>
      <c r="AL23" s="19">
        <v>11181760</v>
      </c>
      <c r="AM23" s="36">
        <f>AL23/AVERAGE(AF90:AF93)</f>
        <v>1.7212581014094464E-3</v>
      </c>
      <c r="AN23" s="36">
        <f>(AF93-AF89)/AF89</f>
        <v>1.4797014832915276E-3</v>
      </c>
      <c r="AO23" s="36"/>
      <c r="AP23" s="19">
        <f t="shared" si="8"/>
        <v>656819745.04741251</v>
      </c>
      <c r="AQ23" s="19">
        <f t="shared" si="10"/>
        <v>310255235.57909298</v>
      </c>
      <c r="AR23" s="37">
        <f>AP23/AF93</f>
        <v>0.10103933176461724</v>
      </c>
      <c r="AS23" s="37">
        <f>AQ23/AF93</f>
        <v>4.772691734034671E-2</v>
      </c>
      <c r="AU23" s="26">
        <v>11085535</v>
      </c>
      <c r="AW23" s="26">
        <f t="shared" si="15"/>
        <v>2.2704375772969985E-3</v>
      </c>
      <c r="AX23" s="45">
        <v>6626.8965432478899</v>
      </c>
      <c r="AY23" s="33">
        <f t="shared" si="16"/>
        <v>1.0770385399884045E-3</v>
      </c>
      <c r="AZ23" s="26">
        <v>100</v>
      </c>
      <c r="BA23">
        <v>100</v>
      </c>
      <c r="BB23"/>
      <c r="BC23" s="33">
        <f t="shared" si="11"/>
        <v>1.095979769198201E-2</v>
      </c>
      <c r="BD23" s="26">
        <f t="shared" si="9"/>
        <v>2034</v>
      </c>
      <c r="BE23" s="33">
        <f>SUM(T88:T91)/AVERAGE(AF90:AF93)</f>
        <v>3.8696343278656301E-2</v>
      </c>
      <c r="BF23" s="33">
        <f>SUM(P88:P91)/AVERAGE(AF90:AF93)</f>
        <v>1.0674619153031908E-2</v>
      </c>
      <c r="BG23" s="33">
        <f>SUM(D88:D91)/AVERAGE(AF90:AF93)</f>
        <v>7.0469998720608051E-2</v>
      </c>
      <c r="BH23" s="33">
        <f>(SUM(H88:H91)+SUM(J88:J91))/AVERAGE(AF90:AF93)</f>
        <v>1.4986741763857834E-2</v>
      </c>
      <c r="BI23" s="36">
        <f t="shared" si="4"/>
        <v>-5.7435016358841497E-2</v>
      </c>
      <c r="BJ23" s="16">
        <f t="shared" si="5"/>
        <v>8.5456740484465887E-2</v>
      </c>
    </row>
    <row r="24" spans="1:62" s="26" customFormat="1">
      <c r="A24" s="34">
        <f t="shared" si="18"/>
        <v>2018</v>
      </c>
      <c r="B24" s="34">
        <f t="shared" si="19"/>
        <v>1</v>
      </c>
      <c r="C24" s="18">
        <f>D24*0.081</f>
        <v>8663808.5993568599</v>
      </c>
      <c r="D24" s="46">
        <v>106960599.99206001</v>
      </c>
      <c r="E24" s="18"/>
      <c r="F24" s="38">
        <v>19441355.165246502</v>
      </c>
      <c r="G24" s="46">
        <v>179207.10018598699</v>
      </c>
      <c r="H24" s="46">
        <v>985944.59058056399</v>
      </c>
      <c r="I24" s="46">
        <v>5542.48763461813</v>
      </c>
      <c r="J24" s="46">
        <v>30493.131667440099</v>
      </c>
      <c r="K24" s="18"/>
      <c r="L24" s="46">
        <v>4023357.6961582201</v>
      </c>
      <c r="M24" s="38"/>
      <c r="N24" s="46">
        <v>801293.62809850601</v>
      </c>
      <c r="O24" s="18"/>
      <c r="P24" s="46">
        <v>25285703.333558802</v>
      </c>
      <c r="Q24" s="38"/>
      <c r="R24" s="46">
        <v>17451055.674030799</v>
      </c>
      <c r="S24" s="38"/>
      <c r="T24" s="46">
        <v>66725623.882319003</v>
      </c>
      <c r="U24" s="18"/>
      <c r="V24" s="46">
        <v>99768.131047519302</v>
      </c>
      <c r="W24" s="38"/>
      <c r="X24" s="46">
        <v>250588.78124104199</v>
      </c>
      <c r="Y24" s="18"/>
      <c r="Z24" s="18">
        <f t="shared" si="12"/>
        <v>-6715182.684424907</v>
      </c>
      <c r="AA24" s="18"/>
      <c r="AB24" s="18">
        <f t="shared" si="13"/>
        <v>-65520679.4432998</v>
      </c>
      <c r="AC24" s="13"/>
      <c r="AD24" s="19">
        <v>10937239663.7218</v>
      </c>
      <c r="AE24" s="19">
        <v>191.50871928999999</v>
      </c>
      <c r="AF24" s="19">
        <f t="shared" si="14"/>
        <v>5711092269.986743</v>
      </c>
      <c r="AG24" s="19"/>
      <c r="AH24" s="19"/>
      <c r="AI24" s="33">
        <f t="shared" si="17"/>
        <v>-9.4056312971956737E-3</v>
      </c>
      <c r="AJ24" s="35">
        <f t="shared" si="7"/>
        <v>2035</v>
      </c>
      <c r="AK24" s="36">
        <f>SUM(AB92:AB95)/AVERAGE(AF94:AF97)</f>
        <v>-4.2259591464389942E-2</v>
      </c>
      <c r="AL24" s="19">
        <v>10119500</v>
      </c>
      <c r="AM24" s="36">
        <f>AL24/AVERAGE(AF94:AF97)</f>
        <v>1.5579617541557672E-3</v>
      </c>
      <c r="AN24" s="36">
        <f>(AF97-AF93)/AF93</f>
        <v>8.1627606077842082E-4</v>
      </c>
      <c r="AO24" s="36"/>
      <c r="AP24" s="19">
        <f t="shared" si="8"/>
        <v>657355891.28154123</v>
      </c>
      <c r="AQ24" s="19">
        <f t="shared" si="10"/>
        <v>300385204.08498943</v>
      </c>
      <c r="AR24" s="37">
        <f>AP24/AF97</f>
        <v>0.10103933176461723</v>
      </c>
      <c r="AS24" s="37">
        <f>AQ24/AF97</f>
        <v>4.6170910910307013E-2</v>
      </c>
      <c r="AT24" s="34"/>
      <c r="AU24" s="34">
        <v>11060538</v>
      </c>
      <c r="AV24" s="34"/>
      <c r="AW24" s="34">
        <f t="shared" si="15"/>
        <v>-2.2549204887269761E-3</v>
      </c>
      <c r="AX24" s="48">
        <v>6532.4273273036397</v>
      </c>
      <c r="AY24" s="28">
        <f t="shared" si="16"/>
        <v>-1.4255423383741278E-2</v>
      </c>
      <c r="AZ24" s="34">
        <f t="shared" ref="AZ24:AZ55" si="20">AZ23*((1+AY24))</f>
        <v>98.574457661625871</v>
      </c>
      <c r="BA24" s="34">
        <f t="shared" ref="BA24:BA55" si="21">BA23*(1+AW24)*(1+AY24)</f>
        <v>98.352180097379517</v>
      </c>
      <c r="BB24" s="34"/>
      <c r="BC24" s="33">
        <f t="shared" si="11"/>
        <v>1.272958833191323E-2</v>
      </c>
      <c r="BD24" s="26">
        <f t="shared" si="9"/>
        <v>2035</v>
      </c>
      <c r="BE24" s="33">
        <f>SUM(T92:T95)/AVERAGE(AF94:AF97)</f>
        <v>3.8605597800761948E-2</v>
      </c>
      <c r="BF24" s="33">
        <f>SUM(P92:P95)/AVERAGE(AF94:AF97)</f>
        <v>1.047110327601831E-2</v>
      </c>
      <c r="BG24" s="33">
        <f>SUM(D92:D95)/AVERAGE(AF94:AF97)</f>
        <v>7.0394085989133576E-2</v>
      </c>
      <c r="BH24" s="33">
        <f>(SUM(H92:H95)+SUM(J92:J95))/AVERAGE(AF94:AF97)</f>
        <v>1.6346178774339849E-2</v>
      </c>
      <c r="BI24" s="36">
        <f t="shared" si="4"/>
        <v>-5.8605770238729787E-2</v>
      </c>
      <c r="BJ24" s="16">
        <f t="shared" si="5"/>
        <v>8.6740264763473421E-2</v>
      </c>
    </row>
    <row r="25" spans="1:62">
      <c r="A25" s="26">
        <f t="shared" si="18"/>
        <v>2018</v>
      </c>
      <c r="B25" s="26">
        <f t="shared" si="19"/>
        <v>2</v>
      </c>
      <c r="C25" s="19">
        <f>D25*0.081</f>
        <v>8571338.8345275298</v>
      </c>
      <c r="D25" s="43">
        <v>105818997.95713</v>
      </c>
      <c r="E25" s="19"/>
      <c r="F25" s="27">
        <v>19233855.481997799</v>
      </c>
      <c r="G25" s="43">
        <v>201116.049894531</v>
      </c>
      <c r="H25" s="43">
        <v>1106481.16769175</v>
      </c>
      <c r="I25" s="43">
        <v>6220.0840173566203</v>
      </c>
      <c r="J25" s="43">
        <v>34221.067042012997</v>
      </c>
      <c r="K25" s="19"/>
      <c r="L25" s="43">
        <v>3026005.3328521801</v>
      </c>
      <c r="M25" s="27"/>
      <c r="N25" s="43">
        <v>793637.34947061201</v>
      </c>
      <c r="O25" s="19"/>
      <c r="P25" s="43">
        <v>20068314.593106799</v>
      </c>
      <c r="Q25" s="27"/>
      <c r="R25" s="43">
        <v>20306250.401450701</v>
      </c>
      <c r="S25" s="27"/>
      <c r="T25" s="43">
        <v>77642708.387189806</v>
      </c>
      <c r="U25" s="19"/>
      <c r="V25" s="43">
        <v>99542.218973111696</v>
      </c>
      <c r="W25" s="27"/>
      <c r="X25" s="43">
        <v>250021.35524238899</v>
      </c>
      <c r="Y25" s="19"/>
      <c r="Z25" s="19">
        <f t="shared" si="12"/>
        <v>-2647705.5438967794</v>
      </c>
      <c r="AA25" s="19"/>
      <c r="AB25" s="19">
        <f t="shared" si="13"/>
        <v>-48244604.163046993</v>
      </c>
      <c r="AC25" s="13"/>
      <c r="AD25" s="19">
        <v>11544217084.2855</v>
      </c>
      <c r="AE25" s="19">
        <v>200.87293846</v>
      </c>
      <c r="AF25" s="19">
        <f t="shared" si="14"/>
        <v>5747024548.3486614</v>
      </c>
      <c r="AG25" s="19"/>
      <c r="AH25" s="19"/>
      <c r="AI25" s="33">
        <f t="shared" si="17"/>
        <v>-9.5230486582822196E-3</v>
      </c>
      <c r="AJ25" s="35">
        <f t="shared" si="7"/>
        <v>2036</v>
      </c>
      <c r="AK25" s="36">
        <f>SUM(AB96:AB99)/AVERAGE(AF98:AF101)</f>
        <v>-4.1860061174957643E-2</v>
      </c>
      <c r="AL25" s="19">
        <v>9115069</v>
      </c>
      <c r="AM25" s="36">
        <f>AL25/AVERAGE(AF98:AF101)</f>
        <v>1.3894719988480752E-3</v>
      </c>
      <c r="AN25" s="36">
        <f>(AF101-AF97)/AF97</f>
        <v>1.1589959960930835E-2</v>
      </c>
      <c r="AO25" s="36"/>
      <c r="AP25" s="19">
        <f t="shared" si="8"/>
        <v>664974619.74157631</v>
      </c>
      <c r="AQ25" s="19">
        <f t="shared" si="10"/>
        <v>294703268.47633201</v>
      </c>
      <c r="AR25" s="37">
        <f>AP25/AF101</f>
        <v>0.10103933176461724</v>
      </c>
      <c r="AS25" s="37">
        <f>AQ25/AF101</f>
        <v>4.4778583169488517E-2</v>
      </c>
      <c r="AT25" s="26"/>
      <c r="AU25" s="26">
        <v>11122183</v>
      </c>
      <c r="AV25" s="26"/>
      <c r="AW25" s="26">
        <f t="shared" si="15"/>
        <v>5.5734178572507051E-3</v>
      </c>
      <c r="AX25" s="45">
        <v>6519.6561753536898</v>
      </c>
      <c r="AY25" s="33">
        <f t="shared" si="16"/>
        <v>-1.9550392694871882E-3</v>
      </c>
      <c r="AZ25" s="26">
        <f t="shared" si="20"/>
        <v>98.381740725928992</v>
      </c>
      <c r="BA25" s="26">
        <f t="shared" si="21"/>
        <v>98.706983849885006</v>
      </c>
      <c r="BB25" s="26"/>
      <c r="BC25" s="33">
        <f t="shared" si="11"/>
        <v>1.0958593738535189E-2</v>
      </c>
      <c r="BD25" s="26">
        <f t="shared" si="9"/>
        <v>2036</v>
      </c>
      <c r="BE25" s="33">
        <f>SUM(T96:T99)/AVERAGE(AF98:AF101)</f>
        <v>3.8663825109068899E-2</v>
      </c>
      <c r="BF25" s="33">
        <f>SUM(P96:P99)/AVERAGE(AF98:AF101)</f>
        <v>1.0492270232494513E-2</v>
      </c>
      <c r="BG25" s="33">
        <f>SUM(D96:D99)/AVERAGE(AF98:AF101)</f>
        <v>7.0031616051532034E-2</v>
      </c>
      <c r="BH25" s="33">
        <f>(SUM(H96:H99)+SUM(J96:J99))/AVERAGE(AF98:AF101)</f>
        <v>1.7228769887493403E-2</v>
      </c>
      <c r="BI25" s="36">
        <f t="shared" si="4"/>
        <v>-5.9088831062451046E-2</v>
      </c>
      <c r="BJ25" s="16">
        <f t="shared" si="5"/>
        <v>8.7260385939025437E-2</v>
      </c>
    </row>
    <row r="26" spans="1:62" s="34" customFormat="1">
      <c r="A26" s="26">
        <f t="shared" si="18"/>
        <v>2018</v>
      </c>
      <c r="B26" s="26">
        <f t="shared" si="19"/>
        <v>3</v>
      </c>
      <c r="C26" s="19">
        <f>D26*0.081</f>
        <v>8520912.4963904023</v>
      </c>
      <c r="D26" s="43">
        <v>105196450.572721</v>
      </c>
      <c r="E26" s="19"/>
      <c r="F26" s="27">
        <v>19120700.125647999</v>
      </c>
      <c r="G26" s="43">
        <v>219295.510629553</v>
      </c>
      <c r="H26" s="43">
        <v>1206499.1968477699</v>
      </c>
      <c r="I26" s="43">
        <v>6782.3353802954398</v>
      </c>
      <c r="J26" s="43">
        <v>37314.408149930903</v>
      </c>
      <c r="K26" s="19"/>
      <c r="L26" s="43">
        <v>2875606.60241654</v>
      </c>
      <c r="M26" s="27"/>
      <c r="N26" s="43">
        <v>790371.03443271702</v>
      </c>
      <c r="O26" s="19"/>
      <c r="P26" s="43">
        <v>19269924.564291101</v>
      </c>
      <c r="Q26" s="27"/>
      <c r="R26" s="43">
        <v>18008884.558777101</v>
      </c>
      <c r="S26" s="27"/>
      <c r="T26" s="43">
        <v>68858530.971124098</v>
      </c>
      <c r="U26" s="19"/>
      <c r="V26" s="43">
        <v>110418.65598698299</v>
      </c>
      <c r="W26" s="27"/>
      <c r="X26" s="43">
        <v>277339.82925743097</v>
      </c>
      <c r="Y26" s="19"/>
      <c r="Z26" s="19">
        <f t="shared" si="12"/>
        <v>-4667374.5477331709</v>
      </c>
      <c r="AA26" s="19"/>
      <c r="AB26" s="19">
        <f t="shared" si="13"/>
        <v>-55607844.165888011</v>
      </c>
      <c r="AC26" s="13"/>
      <c r="AD26" s="18"/>
      <c r="AE26" s="18"/>
      <c r="AF26" s="18">
        <f>BA24/100*AF25</f>
        <v>5652323934.0324869</v>
      </c>
      <c r="AG26" s="28">
        <f t="shared" ref="AG26:AG57" si="22">(AF26-AF25)/AF25</f>
        <v>-1.6478199026204888E-2</v>
      </c>
      <c r="AH26" s="28"/>
      <c r="AI26" s="28">
        <f t="shared" si="17"/>
        <v>-1.1591812537282514E-2</v>
      </c>
      <c r="AJ26" s="29">
        <f t="shared" si="7"/>
        <v>2037</v>
      </c>
      <c r="AK26" s="30">
        <f>SUM(AB100:AB103)/AVERAGE(AF102:AF105)</f>
        <v>-4.2701200498187458E-2</v>
      </c>
      <c r="AL26" s="18">
        <v>8164968</v>
      </c>
      <c r="AM26" s="30">
        <f>AL26/AVERAGE(AF102:AF105)</f>
        <v>1.2448902602905381E-3</v>
      </c>
      <c r="AN26" s="30">
        <f>(AF105-AF101)/AF101</f>
        <v>-4.7684402142484181E-3</v>
      </c>
      <c r="AO26" s="30"/>
      <c r="AP26" s="18">
        <f t="shared" si="8"/>
        <v>661803728.02334607</v>
      </c>
      <c r="AQ26" s="18">
        <f t="shared" si="10"/>
        <v>285150885.78436965</v>
      </c>
      <c r="AR26" s="31">
        <f>AP26/AF105</f>
        <v>0.10103933176461724</v>
      </c>
      <c r="AS26" s="31">
        <f>AQ26/AF105</f>
        <v>4.3534742600792722E-2</v>
      </c>
      <c r="AT26" s="26"/>
      <c r="AU26" s="26">
        <v>11171071</v>
      </c>
      <c r="AV26" s="26"/>
      <c r="AW26" s="26">
        <f t="shared" si="15"/>
        <v>4.395539976279836E-3</v>
      </c>
      <c r="AX26" s="45">
        <v>6613.5779281048699</v>
      </c>
      <c r="AY26" s="33">
        <f t="shared" si="16"/>
        <v>1.4405936482698773E-2</v>
      </c>
      <c r="AZ26" s="26">
        <f t="shared" si="20"/>
        <v>99.799021833884055</v>
      </c>
      <c r="BA26" s="26">
        <f t="shared" si="21"/>
        <v>100.56907119384574</v>
      </c>
      <c r="BB26" s="26"/>
      <c r="BC26" s="28">
        <f t="shared" si="11"/>
        <v>1.2776780101659882E-2</v>
      </c>
      <c r="BD26" s="34">
        <f t="shared" si="9"/>
        <v>2037</v>
      </c>
      <c r="BE26" s="28">
        <f>SUM(T100:T103)/AVERAGE(AF102:AF105)</f>
        <v>3.8699618517177556E-2</v>
      </c>
      <c r="BF26" s="28">
        <f>SUM(P100:P103)/AVERAGE(AF102:AF105)</f>
        <v>1.052738928496426E-2</v>
      </c>
      <c r="BG26" s="28">
        <f>SUM(D100:D103)/AVERAGE(AF102:AF105)</f>
        <v>7.0873429730400755E-2</v>
      </c>
      <c r="BH26" s="28">
        <f>(SUM(H100:H103)+SUM(J100:J103))/AVERAGE(AF102:AF105)</f>
        <v>1.8487349332662738E-2</v>
      </c>
      <c r="BI26" s="30">
        <f t="shared" si="4"/>
        <v>-6.1188549830850196E-2</v>
      </c>
      <c r="BJ26" s="16">
        <f t="shared" si="5"/>
        <v>8.93607790630635E-2</v>
      </c>
    </row>
    <row r="27" spans="1:62" s="26" customFormat="1">
      <c r="A27" s="26">
        <f t="shared" si="18"/>
        <v>2018</v>
      </c>
      <c r="B27" s="26">
        <f t="shared" si="19"/>
        <v>4</v>
      </c>
      <c r="C27" s="19">
        <f>D27*0.081</f>
        <v>8529491.0101188961</v>
      </c>
      <c r="D27" s="43">
        <v>105302358.149616</v>
      </c>
      <c r="E27" s="19"/>
      <c r="F27" s="27">
        <v>19139950.081400499</v>
      </c>
      <c r="G27" s="43">
        <v>238087.67924959699</v>
      </c>
      <c r="H27" s="43">
        <v>1309888.1640091201</v>
      </c>
      <c r="I27" s="43">
        <v>7363.5364716369704</v>
      </c>
      <c r="J27" s="43">
        <v>40512.005072446802</v>
      </c>
      <c r="K27" s="19"/>
      <c r="L27" s="43">
        <v>2895071.6696950598</v>
      </c>
      <c r="M27" s="27"/>
      <c r="N27" s="43">
        <v>792581.215902369</v>
      </c>
      <c r="O27" s="19"/>
      <c r="P27" s="43">
        <v>19383088.6572694</v>
      </c>
      <c r="Q27" s="27"/>
      <c r="R27" s="43">
        <v>20830409.2771747</v>
      </c>
      <c r="S27" s="27"/>
      <c r="T27" s="43">
        <v>79646875.2782612</v>
      </c>
      <c r="U27" s="19"/>
      <c r="V27" s="43">
        <v>111346.525011308</v>
      </c>
      <c r="W27" s="27"/>
      <c r="X27" s="43">
        <v>279670.36873447301</v>
      </c>
      <c r="Y27" s="19"/>
      <c r="Z27" s="19">
        <f t="shared" si="12"/>
        <v>-1885847.1648119204</v>
      </c>
      <c r="AA27" s="19"/>
      <c r="AB27" s="19">
        <f t="shared" si="13"/>
        <v>-45038571.528624207</v>
      </c>
      <c r="AC27" s="13"/>
      <c r="AD27" s="19"/>
      <c r="AE27" s="19"/>
      <c r="AF27" s="19">
        <f>BA25/100*AF25</f>
        <v>5672714592.7874403</v>
      </c>
      <c r="AG27" s="33">
        <f t="shared" si="22"/>
        <v>3.6074823369874097E-3</v>
      </c>
      <c r="AH27" s="33"/>
      <c r="AI27" s="33">
        <f t="shared" si="17"/>
        <v>-8.5046767951956342E-3</v>
      </c>
      <c r="AJ27" s="35">
        <f t="shared" si="7"/>
        <v>2038</v>
      </c>
      <c r="AK27" s="36">
        <f>SUM(AB104:AB107)/AVERAGE(AF106:AF109)</f>
        <v>-4.3144634111856005E-2</v>
      </c>
      <c r="AL27" s="19">
        <v>7266828</v>
      </c>
      <c r="AM27" s="36">
        <f>AL27/AVERAGE(AF106:AF109)</f>
        <v>1.1127908134599925E-3</v>
      </c>
      <c r="AN27" s="36">
        <f>(AF109-AF105)/AF105</f>
        <v>-6.3093568251010269E-3</v>
      </c>
      <c r="AO27" s="36"/>
      <c r="AP27" s="19">
        <f t="shared" si="8"/>
        <v>657628172.1550647</v>
      </c>
      <c r="AQ27" s="19">
        <f t="shared" si="10"/>
        <v>276105977.24182791</v>
      </c>
      <c r="AR27" s="37">
        <f>AP27/AF109</f>
        <v>0.10103933176461724</v>
      </c>
      <c r="AS27" s="37">
        <f>AQ27/AF109</f>
        <v>4.2421484689912026E-2</v>
      </c>
      <c r="AU27" s="26">
        <v>11191021</v>
      </c>
      <c r="AW27" s="26">
        <f t="shared" si="15"/>
        <v>1.7858627879099506E-3</v>
      </c>
      <c r="AX27" s="45">
        <v>6599.5499167400703</v>
      </c>
      <c r="AY27" s="33">
        <f t="shared" si="16"/>
        <v>-2.1210926244909787E-3</v>
      </c>
      <c r="AZ27" s="26">
        <f t="shared" si="20"/>
        <v>99.587338864740786</v>
      </c>
      <c r="BA27" s="26">
        <f t="shared" si="21"/>
        <v>100.53497648687502</v>
      </c>
      <c r="BC27" s="33">
        <f t="shared" si="11"/>
        <v>1.0258461829167537E-2</v>
      </c>
      <c r="BD27" s="26">
        <f t="shared" si="9"/>
        <v>2038</v>
      </c>
      <c r="BE27" s="33">
        <f>SUM(T104:T107)/AVERAGE(AF106:AF109)</f>
        <v>3.8530720453616864E-2</v>
      </c>
      <c r="BF27" s="33">
        <f>SUM(P104:P107)/AVERAGE(AF106:AF109)</f>
        <v>1.0407321157800237E-2</v>
      </c>
      <c r="BG27" s="33">
        <f>SUM(D104:D107)/AVERAGE(AF106:AF109)</f>
        <v>7.126803340767264E-2</v>
      </c>
      <c r="BH27" s="33">
        <f>(SUM(H104:H107)+SUM(J104:J107))/AVERAGE(AF106:AF109)</f>
        <v>1.9753572669054989E-2</v>
      </c>
      <c r="BI27" s="36">
        <f t="shared" si="4"/>
        <v>-6.2898206780910987E-2</v>
      </c>
      <c r="BJ27" s="16">
        <f t="shared" si="5"/>
        <v>9.1021606076727629E-2</v>
      </c>
    </row>
    <row r="28" spans="1:62" s="26" customFormat="1">
      <c r="A28" s="34">
        <f t="shared" si="18"/>
        <v>2019</v>
      </c>
      <c r="B28" s="34">
        <f t="shared" si="19"/>
        <v>1</v>
      </c>
      <c r="C28" s="18"/>
      <c r="D28" s="46">
        <v>106361586.194527</v>
      </c>
      <c r="E28" s="18"/>
      <c r="F28" s="38">
        <v>19332477.316883799</v>
      </c>
      <c r="G28" s="46">
        <v>265355.39845525997</v>
      </c>
      <c r="H28" s="46">
        <v>1459907.10980084</v>
      </c>
      <c r="I28" s="46">
        <v>8206.8679934616102</v>
      </c>
      <c r="J28" s="46">
        <v>45151.766282500103</v>
      </c>
      <c r="K28" s="18"/>
      <c r="L28" s="46">
        <v>3399235.0076213102</v>
      </c>
      <c r="M28" s="38"/>
      <c r="N28" s="46">
        <v>802492.98339620198</v>
      </c>
      <c r="O28" s="18"/>
      <c r="P28" s="46">
        <v>22053726.234767299</v>
      </c>
      <c r="Q28" s="38"/>
      <c r="R28" s="46">
        <v>16559087.8374562</v>
      </c>
      <c r="S28" s="38"/>
      <c r="T28" s="46">
        <v>63315107.550807297</v>
      </c>
      <c r="U28" s="18"/>
      <c r="V28" s="46">
        <v>113896.015267643</v>
      </c>
      <c r="W28" s="38"/>
      <c r="X28" s="46">
        <v>286073.95321994898</v>
      </c>
      <c r="Y28" s="18"/>
      <c r="Z28" s="18">
        <f t="shared" si="12"/>
        <v>-6861221.4551774692</v>
      </c>
      <c r="AA28" s="18"/>
      <c r="AB28" s="18">
        <f t="shared" si="13"/>
        <v>-65100204.878487006</v>
      </c>
      <c r="AC28" s="13"/>
      <c r="AD28" s="19"/>
      <c r="AE28" s="19"/>
      <c r="AF28" s="19">
        <f>BA26/100*AF25</f>
        <v>5779729209.5565577</v>
      </c>
      <c r="AG28" s="33">
        <f t="shared" si="22"/>
        <v>1.8864798328683915E-2</v>
      </c>
      <c r="AH28" s="33"/>
      <c r="AI28" s="33">
        <f t="shared" si="17"/>
        <v>-9.621185033018953E-3</v>
      </c>
      <c r="AJ28" s="35">
        <f t="shared" si="7"/>
        <v>2039</v>
      </c>
      <c r="AK28" s="36">
        <f>SUM(AB108:AB111)/AVERAGE(AF110:AF113)</f>
        <v>-4.366910364298076E-2</v>
      </c>
      <c r="AL28" s="19">
        <v>6451162</v>
      </c>
      <c r="AM28" s="36">
        <f>AL28/AVERAGE(AF110:AF113)</f>
        <v>9.9375758331094605E-4</v>
      </c>
      <c r="AN28" s="36">
        <f>(AF113-AF109)/AF109</f>
        <v>-6.7197100325222777E-3</v>
      </c>
      <c r="AO28" s="36"/>
      <c r="AP28" s="19">
        <f t="shared" si="8"/>
        <v>653209101.528965</v>
      </c>
      <c r="AQ28" s="19">
        <f t="shared" si="10"/>
        <v>267819356.04578811</v>
      </c>
      <c r="AR28" s="37">
        <f>AP28/AF113</f>
        <v>0.10103933176461724</v>
      </c>
      <c r="AS28" s="37">
        <f>AQ28/AF113</f>
        <v>4.1426686653870219E-2</v>
      </c>
      <c r="AT28" s="34"/>
      <c r="AU28" s="34">
        <v>11213987</v>
      </c>
      <c r="AV28" s="34"/>
      <c r="AW28" s="34">
        <f t="shared" si="15"/>
        <v>2.0521809404164286E-3</v>
      </c>
      <c r="AX28" s="48">
        <v>6585.1937745559899</v>
      </c>
      <c r="AY28" s="28">
        <f t="shared" si="16"/>
        <v>-2.1753214030043808E-3</v>
      </c>
      <c r="AZ28" s="34">
        <f t="shared" si="20"/>
        <v>99.370704395040065</v>
      </c>
      <c r="BA28" s="34">
        <f t="shared" si="21"/>
        <v>100.52214775983495</v>
      </c>
      <c r="BB28" s="34"/>
      <c r="BC28" s="33">
        <f t="shared" si="11"/>
        <v>1.199216144258357E-2</v>
      </c>
      <c r="BD28" s="26">
        <f t="shared" si="9"/>
        <v>2039</v>
      </c>
      <c r="BE28" s="33">
        <f>SUM(T108:T111)/AVERAGE(AF110:AF113)</f>
        <v>3.8415680188366851E-2</v>
      </c>
      <c r="BF28" s="33">
        <f>SUM(P108:P111)/AVERAGE(AF110:AF113)</f>
        <v>1.0511034464294399E-2</v>
      </c>
      <c r="BG28" s="33">
        <f>SUM(D108:D111)/AVERAGE(AF110:AF113)</f>
        <v>7.1573749367053213E-2</v>
      </c>
      <c r="BH28" s="33">
        <f>(SUM(H108:H111)+SUM(J108:J111))/AVERAGE(AF110:AF113)</f>
        <v>2.1059658325829567E-2</v>
      </c>
      <c r="BI28" s="36">
        <f t="shared" si="4"/>
        <v>-6.4728761968810333E-2</v>
      </c>
      <c r="BJ28" s="16">
        <f t="shared" si="5"/>
        <v>9.263340769288278E-2</v>
      </c>
    </row>
    <row r="29" spans="1:62" s="26" customFormat="1">
      <c r="A29" s="26">
        <f t="shared" si="18"/>
        <v>2019</v>
      </c>
      <c r="B29" s="26">
        <f t="shared" si="19"/>
        <v>2</v>
      </c>
      <c r="C29" s="19"/>
      <c r="D29" s="43">
        <v>106404748.991079</v>
      </c>
      <c r="E29" s="19"/>
      <c r="F29" s="27">
        <v>19340322.6660849</v>
      </c>
      <c r="G29" s="43">
        <v>292245.104061961</v>
      </c>
      <c r="H29" s="43">
        <v>1607846.33630312</v>
      </c>
      <c r="I29" s="43">
        <v>9038.5083730503102</v>
      </c>
      <c r="J29" s="43">
        <v>49727.206277415899</v>
      </c>
      <c r="K29" s="19"/>
      <c r="L29" s="43">
        <v>2805745.2510259501</v>
      </c>
      <c r="M29" s="27"/>
      <c r="N29" s="43">
        <v>803636.54895389394</v>
      </c>
      <c r="O29" s="19"/>
      <c r="P29" s="43">
        <v>18980396.626754399</v>
      </c>
      <c r="Q29" s="27"/>
      <c r="R29" s="43">
        <v>19431763.2221728</v>
      </c>
      <c r="S29" s="27"/>
      <c r="T29" s="43">
        <v>74299030.863930106</v>
      </c>
      <c r="U29" s="19"/>
      <c r="V29" s="43">
        <v>115576.751146012</v>
      </c>
      <c r="W29" s="27"/>
      <c r="X29" s="43">
        <v>290295.477176813</v>
      </c>
      <c r="Y29" s="19"/>
      <c r="Z29" s="19">
        <f t="shared" si="12"/>
        <v>-3402364.4927459341</v>
      </c>
      <c r="AA29" s="19"/>
      <c r="AB29" s="19">
        <f t="shared" si="13"/>
        <v>-51086114.7539033</v>
      </c>
      <c r="AC29" s="13"/>
      <c r="AD29" s="19"/>
      <c r="AE29" s="19"/>
      <c r="AF29" s="19">
        <f>BA27/100*AF25</f>
        <v>5777769778.3772621</v>
      </c>
      <c r="AG29" s="33">
        <f t="shared" si="22"/>
        <v>-3.3901781696895012E-4</v>
      </c>
      <c r="AH29" s="33"/>
      <c r="AI29" s="33">
        <f t="shared" si="17"/>
        <v>-7.7951481724274742E-3</v>
      </c>
      <c r="AJ29" s="35">
        <f t="shared" si="7"/>
        <v>2040</v>
      </c>
      <c r="AK29" s="36">
        <f>SUM(AB112:AB115)/AVERAGE(AF114:AF117)</f>
        <v>-4.3710233078332078E-2</v>
      </c>
      <c r="AL29" s="19">
        <v>5687418</v>
      </c>
      <c r="AM29" s="36">
        <f>AL29/AVERAGE(AF114:AF117)</f>
        <v>8.7802217764846094E-4</v>
      </c>
      <c r="AN29" s="36">
        <f>(AF117-AF113)/AF113</f>
        <v>5.459168905445521E-3</v>
      </c>
      <c r="AO29" s="36"/>
      <c r="AP29" s="19">
        <f t="shared" si="8"/>
        <v>656775080.34478593</v>
      </c>
      <c r="AQ29" s="19">
        <f t="shared" si="10"/>
        <v>263579792.53819251</v>
      </c>
      <c r="AR29" s="37">
        <f>AP29/AF117</f>
        <v>0.10103933176461724</v>
      </c>
      <c r="AS29" s="37">
        <f>AQ29/AF117</f>
        <v>4.0549538040838135E-2</v>
      </c>
      <c r="AU29" s="26">
        <v>11320742</v>
      </c>
      <c r="AW29" s="26">
        <f t="shared" si="15"/>
        <v>9.5198077186998704E-3</v>
      </c>
      <c r="AX29" s="45">
        <v>6590.4898100458104</v>
      </c>
      <c r="AY29" s="33">
        <f t="shared" si="16"/>
        <v>8.0423381165842527E-4</v>
      </c>
      <c r="AZ29" s="26">
        <f t="shared" si="20"/>
        <v>99.450621675402871</v>
      </c>
      <c r="BA29" s="26">
        <f t="shared" si="21"/>
        <v>101.56071220079534</v>
      </c>
      <c r="BC29" s="33">
        <f t="shared" si="11"/>
        <v>1.0240692348694305E-2</v>
      </c>
      <c r="BD29" s="26">
        <f t="shared" si="9"/>
        <v>2040</v>
      </c>
      <c r="BE29" s="33">
        <f>SUM(T112:T115)/AVERAGE(AF114:AF117)</f>
        <v>3.8355865666734483E-2</v>
      </c>
      <c r="BF29" s="33">
        <f>SUM(P112:P115)/AVERAGE(AF114:AF117)</f>
        <v>1.0390911963144293E-2</v>
      </c>
      <c r="BG29" s="33">
        <f>SUM(D112:D115)/AVERAGE(AF114:AF117)</f>
        <v>7.1675186781922265E-2</v>
      </c>
      <c r="BH29" s="33">
        <f>(SUM(H112:H115)+SUM(J112:J115))/AVERAGE(AF114:AF117)</f>
        <v>2.2437235709152265E-2</v>
      </c>
      <c r="BI29" s="36">
        <f t="shared" si="4"/>
        <v>-6.6147468787484343E-2</v>
      </c>
      <c r="BJ29" s="16">
        <f t="shared" si="5"/>
        <v>9.4112422491074529E-2</v>
      </c>
    </row>
    <row r="30" spans="1:62" s="34" customFormat="1">
      <c r="A30" s="26">
        <f t="shared" si="18"/>
        <v>2019</v>
      </c>
      <c r="B30" s="26">
        <f t="shared" si="19"/>
        <v>3</v>
      </c>
      <c r="C30" s="19">
        <f>SUM(C24:C27)</f>
        <v>34285550.940393686</v>
      </c>
      <c r="D30" s="43">
        <v>106893735.533492</v>
      </c>
      <c r="E30" s="19"/>
      <c r="F30" s="27">
        <v>19429201.758412201</v>
      </c>
      <c r="G30" s="43">
        <v>315194.84242578899</v>
      </c>
      <c r="H30" s="43">
        <v>1734109.0255133801</v>
      </c>
      <c r="I30" s="43">
        <v>9748.2940956429193</v>
      </c>
      <c r="J30" s="43">
        <v>53632.237902475499</v>
      </c>
      <c r="K30" s="19"/>
      <c r="L30" s="43">
        <v>2749779.9879027</v>
      </c>
      <c r="M30" s="27"/>
      <c r="N30" s="43">
        <v>808832.67074702703</v>
      </c>
      <c r="O30" s="19"/>
      <c r="P30" s="43">
        <v>18718580.139362201</v>
      </c>
      <c r="Q30" s="27"/>
      <c r="R30" s="43">
        <v>16820873.704119898</v>
      </c>
      <c r="S30" s="27"/>
      <c r="T30" s="43">
        <v>64316068.501421899</v>
      </c>
      <c r="U30" s="19"/>
      <c r="V30" s="43">
        <v>111421.536702999</v>
      </c>
      <c r="W30" s="27"/>
      <c r="X30" s="43">
        <v>279858.77647753002</v>
      </c>
      <c r="Y30" s="19"/>
      <c r="Z30" s="19">
        <f t="shared" si="12"/>
        <v>-6055519.1762390323</v>
      </c>
      <c r="AA30" s="19"/>
      <c r="AB30" s="19">
        <f t="shared" si="13"/>
        <v>-61296247.171432301</v>
      </c>
      <c r="AC30" s="13"/>
      <c r="AD30" s="18"/>
      <c r="AE30" s="18"/>
      <c r="AF30" s="18">
        <f>BA28/100*AF25</f>
        <v>5777032508.2850285</v>
      </c>
      <c r="AG30" s="28">
        <f t="shared" si="22"/>
        <v>-1.2760461571051498E-4</v>
      </c>
      <c r="AH30" s="28"/>
      <c r="AI30" s="28">
        <f t="shared" si="17"/>
        <v>-1.1268796702307751E-2</v>
      </c>
      <c r="AL30" s="18"/>
      <c r="AQ30" s="41">
        <f>(AQ29-AQ6)/AQ6</f>
        <v>-0.54608075687745106</v>
      </c>
      <c r="AT30" s="26"/>
      <c r="AU30" s="26">
        <v>11360032</v>
      </c>
      <c r="AV30" s="26"/>
      <c r="AW30" s="26">
        <f t="shared" si="15"/>
        <v>3.470620565330435E-3</v>
      </c>
      <c r="AX30" s="45">
        <v>6604.0279602889304</v>
      </c>
      <c r="AY30" s="33">
        <f t="shared" si="16"/>
        <v>2.0541948524803147E-3</v>
      </c>
      <c r="AZ30" s="26">
        <f t="shared" si="20"/>
        <v>99.65491263052445</v>
      </c>
      <c r="BA30" s="26">
        <f t="shared" si="21"/>
        <v>102.12254044932989</v>
      </c>
      <c r="BB30" s="26"/>
      <c r="BC30" s="28">
        <f t="shared" si="11"/>
        <v>1.2045828869546906E-2</v>
      </c>
    </row>
    <row r="31" spans="1:62" s="26" customFormat="1">
      <c r="A31" s="26">
        <f t="shared" si="18"/>
        <v>2019</v>
      </c>
      <c r="B31" s="26">
        <f t="shared" si="19"/>
        <v>4</v>
      </c>
      <c r="C31" s="19"/>
      <c r="D31" s="43">
        <v>107123120.77478001</v>
      </c>
      <c r="E31" s="19"/>
      <c r="F31" s="27">
        <v>19470895.241301</v>
      </c>
      <c r="G31" s="43">
        <v>343408.86413086799</v>
      </c>
      <c r="H31" s="43">
        <v>1889334.24845251</v>
      </c>
      <c r="I31" s="43">
        <v>10620.8927050784</v>
      </c>
      <c r="J31" s="43">
        <v>58433.017993376801</v>
      </c>
      <c r="K31" s="19"/>
      <c r="L31" s="43">
        <v>2857340.2293941402</v>
      </c>
      <c r="M31" s="27"/>
      <c r="N31" s="43">
        <v>811424.56608606095</v>
      </c>
      <c r="O31" s="19"/>
      <c r="P31" s="43">
        <v>19290970.5872037</v>
      </c>
      <c r="Q31" s="27"/>
      <c r="R31" s="43">
        <v>19589536.632945299</v>
      </c>
      <c r="S31" s="27"/>
      <c r="T31" s="43">
        <v>74902291.174508601</v>
      </c>
      <c r="U31" s="19"/>
      <c r="V31" s="43">
        <v>106832.073551974</v>
      </c>
      <c r="W31" s="27"/>
      <c r="X31" s="43">
        <v>268331.36822109699</v>
      </c>
      <c r="Y31" s="19"/>
      <c r="Z31" s="19">
        <f t="shared" si="12"/>
        <v>-3443291.3302839268</v>
      </c>
      <c r="AA31" s="19"/>
      <c r="AB31" s="19">
        <f t="shared" si="13"/>
        <v>-51511800.1874751</v>
      </c>
      <c r="AC31" s="13"/>
      <c r="AD31" s="19"/>
      <c r="AE31" s="19"/>
      <c r="AF31" s="19">
        <f>BA29/100*AF25</f>
        <v>5836719061.6574421</v>
      </c>
      <c r="AG31" s="33">
        <f t="shared" si="22"/>
        <v>1.033169768160647E-2</v>
      </c>
      <c r="AH31" s="33"/>
      <c r="AI31" s="33">
        <f t="shared" si="17"/>
        <v>-8.7525396055976139E-3</v>
      </c>
      <c r="AU31" s="26">
        <v>11377770</v>
      </c>
      <c r="AW31" s="26">
        <f t="shared" si="15"/>
        <v>1.5614392635513704E-3</v>
      </c>
      <c r="AX31" s="45">
        <v>6586.2820917362496</v>
      </c>
      <c r="AY31" s="33">
        <f t="shared" si="16"/>
        <v>-2.6871280163242089E-3</v>
      </c>
      <c r="AZ31" s="26">
        <f t="shared" si="20"/>
        <v>99.387127122830634</v>
      </c>
      <c r="BA31" s="26">
        <f t="shared" si="21"/>
        <v>102.00715376969438</v>
      </c>
      <c r="BC31" s="33">
        <f t="shared" si="11"/>
        <v>9.6004357046052795E-3</v>
      </c>
    </row>
    <row r="32" spans="1:62" s="26" customFormat="1">
      <c r="A32" s="34">
        <f t="shared" si="18"/>
        <v>2020</v>
      </c>
      <c r="B32" s="34">
        <f t="shared" si="19"/>
        <v>1</v>
      </c>
      <c r="C32" s="18"/>
      <c r="D32" s="46">
        <v>107249851.668928</v>
      </c>
      <c r="E32" s="18"/>
      <c r="F32" s="38">
        <v>19493930.0814544</v>
      </c>
      <c r="G32" s="46">
        <v>369047.82675576798</v>
      </c>
      <c r="H32" s="46">
        <v>2030392.2560977601</v>
      </c>
      <c r="I32" s="46">
        <v>11413.850312033999</v>
      </c>
      <c r="J32" s="46">
        <v>62795.636786528499</v>
      </c>
      <c r="K32" s="18"/>
      <c r="L32" s="46">
        <v>3386507.38761611</v>
      </c>
      <c r="M32" s="38"/>
      <c r="N32" s="46">
        <v>814362.317454156</v>
      </c>
      <c r="O32" s="18"/>
      <c r="P32" s="46">
        <v>22052984.128022801</v>
      </c>
      <c r="Q32" s="38"/>
      <c r="R32" s="46">
        <v>15715187.6269817</v>
      </c>
      <c r="S32" s="38"/>
      <c r="T32" s="46">
        <v>60088381.953791998</v>
      </c>
      <c r="U32" s="18"/>
      <c r="V32" s="46">
        <v>109279.988400548</v>
      </c>
      <c r="W32" s="38"/>
      <c r="X32" s="46">
        <v>274479.824567281</v>
      </c>
      <c r="Y32" s="18"/>
      <c r="Z32" s="18">
        <f t="shared" si="12"/>
        <v>-7870332.1711424179</v>
      </c>
      <c r="AA32" s="18"/>
      <c r="AB32" s="18">
        <f t="shared" si="13"/>
        <v>-69214453.843158796</v>
      </c>
      <c r="AC32" s="13"/>
      <c r="AD32" s="19"/>
      <c r="AE32" s="19"/>
      <c r="AF32" s="19">
        <f>BA30/100*AF25</f>
        <v>5869007469.0202799</v>
      </c>
      <c r="AG32" s="33">
        <f t="shared" si="22"/>
        <v>5.5319447487110875E-3</v>
      </c>
      <c r="AH32" s="33"/>
      <c r="AI32" s="33">
        <f t="shared" si="17"/>
        <v>-1.0444056766836003E-2</v>
      </c>
      <c r="AT32" s="34"/>
      <c r="AU32" s="34">
        <v>11353456</v>
      </c>
      <c r="AV32" s="34"/>
      <c r="AW32" s="34">
        <f t="shared" si="15"/>
        <v>-2.1369741170721504E-3</v>
      </c>
      <c r="AX32" s="48">
        <v>6594.8356570282804</v>
      </c>
      <c r="AY32" s="28">
        <f t="shared" si="16"/>
        <v>1.2986940390486475E-3</v>
      </c>
      <c r="AZ32" s="34">
        <f t="shared" si="20"/>
        <v>99.516200592383228</v>
      </c>
      <c r="BA32" s="34">
        <f t="shared" si="21"/>
        <v>101.92136010691385</v>
      </c>
      <c r="BB32" s="34"/>
      <c r="BC32" s="33">
        <f t="shared" si="11"/>
        <v>1.1277737454626397E-2</v>
      </c>
    </row>
    <row r="33" spans="1:55" s="26" customFormat="1">
      <c r="A33" s="26">
        <f t="shared" si="18"/>
        <v>2020</v>
      </c>
      <c r="B33" s="26">
        <f t="shared" si="19"/>
        <v>2</v>
      </c>
      <c r="C33" s="19"/>
      <c r="D33" s="43">
        <v>107207036.257506</v>
      </c>
      <c r="E33" s="19"/>
      <c r="F33" s="27">
        <v>19486147.873612799</v>
      </c>
      <c r="G33" s="43">
        <v>395584.88880370598</v>
      </c>
      <c r="H33" s="43">
        <v>2176391.3417863999</v>
      </c>
      <c r="I33" s="43">
        <v>12234.5841898053</v>
      </c>
      <c r="J33" s="43">
        <v>67311.072426383194</v>
      </c>
      <c r="K33" s="19"/>
      <c r="L33" s="43">
        <v>2795678.37594923</v>
      </c>
      <c r="M33" s="27"/>
      <c r="N33" s="43">
        <v>816123.17996329104</v>
      </c>
      <c r="O33" s="19"/>
      <c r="P33" s="43">
        <v>18996857.323787302</v>
      </c>
      <c r="Q33" s="27"/>
      <c r="R33" s="43">
        <v>18394637.0481584</v>
      </c>
      <c r="S33" s="27"/>
      <c r="T33" s="43">
        <v>70333489.048097506</v>
      </c>
      <c r="U33" s="19"/>
      <c r="V33" s="43">
        <v>106778.252431416</v>
      </c>
      <c r="W33" s="27"/>
      <c r="X33" s="43">
        <v>268196.18508331501</v>
      </c>
      <c r="Y33" s="19"/>
      <c r="Z33" s="19">
        <f t="shared" si="12"/>
        <v>-4596534.1289355047</v>
      </c>
      <c r="AA33" s="19"/>
      <c r="AB33" s="19">
        <f t="shared" si="13"/>
        <v>-55870404.533195794</v>
      </c>
      <c r="AC33" s="13"/>
      <c r="AD33" s="19"/>
      <c r="AE33" s="19"/>
      <c r="AF33" s="19">
        <f>BA31/100*AF25</f>
        <v>5862376168.2161026</v>
      </c>
      <c r="AG33" s="33">
        <f t="shared" si="22"/>
        <v>-1.1298845399636635E-3</v>
      </c>
      <c r="AH33" s="33">
        <f>(AF33-AF29)/AF29</f>
        <v>1.4643433899957665E-2</v>
      </c>
      <c r="AI33" s="33">
        <f t="shared" si="17"/>
        <v>-8.7868466146466904E-3</v>
      </c>
      <c r="AU33" s="26">
        <v>11388390</v>
      </c>
      <c r="AW33" s="26">
        <f t="shared" si="15"/>
        <v>3.0769485520532251E-3</v>
      </c>
      <c r="AX33" s="45">
        <v>6583.03493948917</v>
      </c>
      <c r="AY33" s="33">
        <f t="shared" si="16"/>
        <v>-1.7893876591957253E-3</v>
      </c>
      <c r="AZ33" s="26">
        <f t="shared" si="20"/>
        <v>99.338127531153177</v>
      </c>
      <c r="BA33" s="26">
        <f t="shared" si="21"/>
        <v>102.05202890022987</v>
      </c>
      <c r="BC33" s="33">
        <f t="shared" si="11"/>
        <v>9.5708792131518287E-3</v>
      </c>
    </row>
    <row r="34" spans="1:55" s="34" customFormat="1">
      <c r="A34" s="26">
        <f t="shared" si="18"/>
        <v>2020</v>
      </c>
      <c r="B34" s="26">
        <f t="shared" si="19"/>
        <v>3</v>
      </c>
      <c r="C34" s="19"/>
      <c r="D34" s="43">
        <v>108652697.844165</v>
      </c>
      <c r="E34" s="19"/>
      <c r="F34" s="27">
        <v>19748913.979609702</v>
      </c>
      <c r="G34" s="43">
        <v>422162.542915962</v>
      </c>
      <c r="H34" s="43">
        <v>2322613.75303631</v>
      </c>
      <c r="I34" s="43">
        <v>13056.5734922463</v>
      </c>
      <c r="J34" s="43">
        <v>71833.415042360502</v>
      </c>
      <c r="K34" s="19"/>
      <c r="L34" s="43">
        <v>2665625.0644910899</v>
      </c>
      <c r="M34" s="27"/>
      <c r="N34" s="43">
        <v>828770.71399766905</v>
      </c>
      <c r="O34" s="19"/>
      <c r="P34" s="43">
        <v>18391593.0730149</v>
      </c>
      <c r="Q34" s="27"/>
      <c r="R34" s="43">
        <v>15767576.0127008</v>
      </c>
      <c r="S34" s="27"/>
      <c r="T34" s="43">
        <v>60288693.487179399</v>
      </c>
      <c r="U34" s="19"/>
      <c r="V34" s="43">
        <v>110472.378281996</v>
      </c>
      <c r="W34" s="27"/>
      <c r="X34" s="43">
        <v>277474.76417393598</v>
      </c>
      <c r="Y34" s="19"/>
      <c r="Z34" s="19">
        <f t="shared" si="12"/>
        <v>-7365261.3671156652</v>
      </c>
      <c r="AA34" s="19"/>
      <c r="AB34" s="19">
        <f t="shared" si="13"/>
        <v>-66755597.430000499</v>
      </c>
      <c r="AC34" s="13"/>
      <c r="AD34" s="18"/>
      <c r="AE34" s="18"/>
      <c r="AF34" s="18">
        <f>BA32/100*AF25</f>
        <v>5857445585.3551788</v>
      </c>
      <c r="AG34" s="28">
        <f t="shared" si="22"/>
        <v>-8.4105535357075585E-4</v>
      </c>
      <c r="AH34" s="28"/>
      <c r="AI34" s="28">
        <f t="shared" si="17"/>
        <v>-1.1816491136718231E-2</v>
      </c>
      <c r="AT34" s="26"/>
      <c r="AU34" s="26">
        <v>11457939</v>
      </c>
      <c r="AV34" s="26"/>
      <c r="AW34" s="26">
        <f t="shared" si="15"/>
        <v>6.1070089801982547E-3</v>
      </c>
      <c r="AX34" s="45">
        <v>6567.8593401839498</v>
      </c>
      <c r="AY34" s="33">
        <f t="shared" si="16"/>
        <v>-2.305258812191235E-3</v>
      </c>
      <c r="AZ34" s="26">
        <f t="shared" si="20"/>
        <v>99.109127437275404</v>
      </c>
      <c r="BA34" s="26">
        <f t="shared" si="21"/>
        <v>102.43856850567232</v>
      </c>
      <c r="BB34" s="26"/>
      <c r="BC34" s="28">
        <f t="shared" si="11"/>
        <v>1.1272244807109167E-2</v>
      </c>
    </row>
    <row r="35" spans="1:55" s="26" customFormat="1">
      <c r="A35" s="26">
        <f t="shared" si="18"/>
        <v>2020</v>
      </c>
      <c r="B35" s="26">
        <f t="shared" si="19"/>
        <v>4</v>
      </c>
      <c r="C35" s="19"/>
      <c r="D35" s="43">
        <v>108459245.737994</v>
      </c>
      <c r="E35" s="19"/>
      <c r="F35" s="27">
        <v>19713751.769377001</v>
      </c>
      <c r="G35" s="43">
        <v>454864.52473220701</v>
      </c>
      <c r="H35" s="43">
        <v>2502530.4083447699</v>
      </c>
      <c r="I35" s="43">
        <v>14067.9749917177</v>
      </c>
      <c r="J35" s="43">
        <v>77397.847680765597</v>
      </c>
      <c r="K35" s="19"/>
      <c r="L35" s="43">
        <v>2677895.1334335501</v>
      </c>
      <c r="M35" s="27"/>
      <c r="N35" s="43">
        <v>828048.79159639799</v>
      </c>
      <c r="O35" s="19"/>
      <c r="P35" s="43">
        <v>18451290.7150365</v>
      </c>
      <c r="Q35" s="27"/>
      <c r="R35" s="43">
        <v>18676827.798154399</v>
      </c>
      <c r="S35" s="27"/>
      <c r="T35" s="43">
        <v>71412469.838659406</v>
      </c>
      <c r="U35" s="19"/>
      <c r="V35" s="43">
        <v>106307.972104377</v>
      </c>
      <c r="W35" s="27"/>
      <c r="X35" s="43">
        <v>267014.97648737399</v>
      </c>
      <c r="Y35" s="19"/>
      <c r="Z35" s="19">
        <f t="shared" si="12"/>
        <v>-4436559.9241481721</v>
      </c>
      <c r="AA35" s="19"/>
      <c r="AB35" s="19">
        <f t="shared" si="13"/>
        <v>-55498066.614371091</v>
      </c>
      <c r="AC35" s="13"/>
      <c r="AD35" s="19"/>
      <c r="AE35" s="19"/>
      <c r="AF35" s="19">
        <f>BA33/100*AF25</f>
        <v>5864955152.9840803</v>
      </c>
      <c r="AG35" s="33">
        <f t="shared" si="22"/>
        <v>1.2820550390902389E-3</v>
      </c>
      <c r="AH35" s="33"/>
      <c r="AI35" s="33">
        <f t="shared" si="17"/>
        <v>-9.5261435212797858E-3</v>
      </c>
      <c r="AU35" s="26">
        <v>11505522</v>
      </c>
      <c r="AW35" s="26">
        <f t="shared" si="15"/>
        <v>4.1528410999569819E-3</v>
      </c>
      <c r="AX35" s="45">
        <v>6586.5020796810304</v>
      </c>
      <c r="AY35" s="33">
        <f t="shared" si="16"/>
        <v>2.8384803223508812E-3</v>
      </c>
      <c r="AZ35" s="26">
        <f t="shared" si="20"/>
        <v>99.390446745271475</v>
      </c>
      <c r="BA35" s="26">
        <f t="shared" si="21"/>
        <v>103.15595698516577</v>
      </c>
      <c r="BC35" s="33">
        <f t="shared" si="11"/>
        <v>9.0359638979052512E-3</v>
      </c>
    </row>
    <row r="36" spans="1:55" s="26" customFormat="1">
      <c r="A36" s="34">
        <f t="shared" si="18"/>
        <v>2021</v>
      </c>
      <c r="B36" s="34">
        <f t="shared" si="19"/>
        <v>1</v>
      </c>
      <c r="C36" s="18"/>
      <c r="D36" s="46">
        <v>108629256.17000499</v>
      </c>
      <c r="E36" s="18"/>
      <c r="F36" s="38">
        <v>19744653.177846599</v>
      </c>
      <c r="G36" s="46">
        <v>491420.21565464803</v>
      </c>
      <c r="H36" s="46">
        <v>2703649.0341275102</v>
      </c>
      <c r="I36" s="46">
        <v>15198.5633707623</v>
      </c>
      <c r="J36" s="46">
        <v>83618.011364768507</v>
      </c>
      <c r="K36" s="18"/>
      <c r="L36" s="46">
        <v>3231762.45513209</v>
      </c>
      <c r="M36" s="38"/>
      <c r="N36" s="46">
        <v>831530.89373190003</v>
      </c>
      <c r="O36" s="18"/>
      <c r="P36" s="46">
        <v>21344468.378867999</v>
      </c>
      <c r="Q36" s="38"/>
      <c r="R36" s="46">
        <v>14888312.524193</v>
      </c>
      <c r="S36" s="38"/>
      <c r="T36" s="46">
        <v>56926753.331608698</v>
      </c>
      <c r="U36" s="18"/>
      <c r="V36" s="46">
        <v>105287.83260894001</v>
      </c>
      <c r="W36" s="38"/>
      <c r="X36" s="46">
        <v>264452.68018921302</v>
      </c>
      <c r="Y36" s="18"/>
      <c r="Z36" s="18">
        <f t="shared" si="12"/>
        <v>-8814346.1699086484</v>
      </c>
      <c r="AA36" s="18"/>
      <c r="AB36" s="18">
        <f t="shared" si="13"/>
        <v>-73046971.217264295</v>
      </c>
      <c r="AC36" s="13"/>
      <c r="AD36" s="19"/>
      <c r="AE36" s="19"/>
      <c r="AF36" s="19">
        <f>BA34/100*AF25</f>
        <v>5887169678.9979486</v>
      </c>
      <c r="AG36" s="33">
        <f t="shared" si="22"/>
        <v>3.7876719317394294E-3</v>
      </c>
      <c r="AH36" s="33"/>
      <c r="AI36" s="33">
        <f t="shared" si="17"/>
        <v>-1.1339166538404059E-2</v>
      </c>
      <c r="AT36" s="34"/>
      <c r="AU36" s="34">
        <v>11538414</v>
      </c>
      <c r="AV36" s="34"/>
      <c r="AW36" s="34">
        <f t="shared" si="15"/>
        <v>2.8588011912888439E-3</v>
      </c>
      <c r="AX36" s="48">
        <v>6569.0588204865899</v>
      </c>
      <c r="AY36" s="28">
        <f t="shared" si="16"/>
        <v>-2.648334272641007E-3</v>
      </c>
      <c r="AZ36" s="34">
        <f t="shared" si="20"/>
        <v>99.127227618782868</v>
      </c>
      <c r="BA36" s="34">
        <f t="shared" si="21"/>
        <v>103.17688690151186</v>
      </c>
      <c r="BB36" s="34"/>
      <c r="BC36" s="33">
        <f t="shared" si="11"/>
        <v>1.0643690345435226E-2</v>
      </c>
    </row>
    <row r="37" spans="1:55" s="26" customFormat="1">
      <c r="A37" s="26">
        <f t="shared" si="18"/>
        <v>2021</v>
      </c>
      <c r="B37" s="26">
        <f t="shared" si="19"/>
        <v>2</v>
      </c>
      <c r="C37" s="19"/>
      <c r="D37" s="43">
        <v>108845658.605639</v>
      </c>
      <c r="E37" s="19"/>
      <c r="F37" s="27">
        <v>19783986.882127501</v>
      </c>
      <c r="G37" s="43">
        <v>522046.92818263202</v>
      </c>
      <c r="H37" s="43">
        <v>2872148.1701153899</v>
      </c>
      <c r="I37" s="43">
        <v>16145.7812839989</v>
      </c>
      <c r="J37" s="43">
        <v>88829.324848929493</v>
      </c>
      <c r="K37" s="19"/>
      <c r="L37" s="43">
        <v>2703967.9591919999</v>
      </c>
      <c r="M37" s="27"/>
      <c r="N37" s="43">
        <v>835305.31175327301</v>
      </c>
      <c r="O37" s="19"/>
      <c r="P37" s="43">
        <v>18626505.964725699</v>
      </c>
      <c r="Q37" s="27"/>
      <c r="R37" s="43">
        <v>17492985.081046902</v>
      </c>
      <c r="S37" s="27"/>
      <c r="T37" s="43">
        <v>66885944.604138002</v>
      </c>
      <c r="U37" s="19"/>
      <c r="V37" s="43">
        <v>110076.87035367401</v>
      </c>
      <c r="W37" s="27"/>
      <c r="X37" s="43">
        <v>276481.36228609103</v>
      </c>
      <c r="Y37" s="19"/>
      <c r="Z37" s="19">
        <f t="shared" si="12"/>
        <v>-5720198.2016722001</v>
      </c>
      <c r="AA37" s="19"/>
      <c r="AB37" s="19">
        <f t="shared" si="13"/>
        <v>-60586219.966226697</v>
      </c>
      <c r="AC37" s="13"/>
      <c r="AD37" s="19"/>
      <c r="AE37" s="19"/>
      <c r="AF37" s="19">
        <f>BA35/100*AF25</f>
        <v>5928398171.0214624</v>
      </c>
      <c r="AG37" s="33">
        <f t="shared" si="22"/>
        <v>7.0031091800519104E-3</v>
      </c>
      <c r="AH37" s="33">
        <f>(AF37-AF33)/AF33</f>
        <v>1.126198676286071E-2</v>
      </c>
      <c r="AI37" s="33">
        <f t="shared" si="17"/>
        <v>-9.3613932487953619E-3</v>
      </c>
      <c r="AU37" s="26">
        <v>11555638</v>
      </c>
      <c r="AW37" s="26">
        <f t="shared" si="15"/>
        <v>1.4927528168082718E-3</v>
      </c>
      <c r="AX37" s="45">
        <v>6560.5878043167404</v>
      </c>
      <c r="AY37" s="33">
        <f t="shared" si="16"/>
        <v>-1.2895327019193884E-3</v>
      </c>
      <c r="AZ37" s="26">
        <f t="shared" si="20"/>
        <v>98.999399817117848</v>
      </c>
      <c r="BA37" s="26">
        <f t="shared" si="21"/>
        <v>103.19765590960476</v>
      </c>
      <c r="BC37" s="33">
        <f t="shared" si="11"/>
        <v>9.0684646926982495E-3</v>
      </c>
    </row>
    <row r="38" spans="1:55" s="34" customFormat="1">
      <c r="A38" s="26">
        <f t="shared" si="18"/>
        <v>2021</v>
      </c>
      <c r="B38" s="26">
        <f t="shared" si="19"/>
        <v>3</v>
      </c>
      <c r="C38" s="19"/>
      <c r="D38" s="43">
        <v>109030160.821687</v>
      </c>
      <c r="E38" s="19"/>
      <c r="F38" s="27">
        <v>19817522.343888499</v>
      </c>
      <c r="G38" s="43">
        <v>554657.57785416103</v>
      </c>
      <c r="H38" s="43">
        <v>3051562.3429109599</v>
      </c>
      <c r="I38" s="43">
        <v>17154.358077963599</v>
      </c>
      <c r="J38" s="43">
        <v>94378.216791059705</v>
      </c>
      <c r="K38" s="19"/>
      <c r="L38" s="43">
        <v>2613465.7528876299</v>
      </c>
      <c r="M38" s="27"/>
      <c r="N38" s="43">
        <v>838910.23226088297</v>
      </c>
      <c r="O38" s="19"/>
      <c r="P38" s="43">
        <v>18176722.794992302</v>
      </c>
      <c r="Q38" s="27"/>
      <c r="R38" s="43">
        <v>14886503.158742599</v>
      </c>
      <c r="S38" s="27"/>
      <c r="T38" s="43">
        <v>56919835.065988302</v>
      </c>
      <c r="U38" s="19"/>
      <c r="V38" s="43">
        <v>109919.718219537</v>
      </c>
      <c r="W38" s="27"/>
      <c r="X38" s="43">
        <v>276086.64143335598</v>
      </c>
      <c r="Y38" s="19"/>
      <c r="Z38" s="19">
        <f t="shared" si="12"/>
        <v>-8273475.4520748742</v>
      </c>
      <c r="AA38" s="19"/>
      <c r="AB38" s="19">
        <f t="shared" si="13"/>
        <v>-70287048.550690994</v>
      </c>
      <c r="AC38" s="13"/>
      <c r="AD38" s="18"/>
      <c r="AE38" s="18"/>
      <c r="AF38" s="18">
        <f>BA36/100*AF25</f>
        <v>5929601018.4518213</v>
      </c>
      <c r="AG38" s="28">
        <f t="shared" si="22"/>
        <v>2.0289585747437005E-4</v>
      </c>
      <c r="AH38" s="28"/>
      <c r="AI38" s="28">
        <f t="shared" si="17"/>
        <v>-1.2319036473104283E-2</v>
      </c>
      <c r="AT38" s="26"/>
      <c r="AU38" s="26">
        <v>11545076</v>
      </c>
      <c r="AV38" s="26"/>
      <c r="AW38" s="26">
        <f t="shared" si="15"/>
        <v>-9.1401270964009079E-4</v>
      </c>
      <c r="AX38" s="45">
        <v>6584.7425150096396</v>
      </c>
      <c r="AY38" s="33">
        <f t="shared" si="16"/>
        <v>3.6817906281211431E-3</v>
      </c>
      <c r="AZ38" s="26">
        <f t="shared" si="20"/>
        <v>99.363894879554138</v>
      </c>
      <c r="BA38" s="26">
        <f t="shared" si="21"/>
        <v>103.48293682176492</v>
      </c>
      <c r="BB38" s="26"/>
      <c r="BC38" s="28">
        <f t="shared" si="11"/>
        <v>1.0662953369977237E-2</v>
      </c>
    </row>
    <row r="39" spans="1:55" s="26" customFormat="1">
      <c r="A39" s="26">
        <f t="shared" si="18"/>
        <v>2021</v>
      </c>
      <c r="B39" s="26">
        <f t="shared" si="19"/>
        <v>4</v>
      </c>
      <c r="C39" s="19"/>
      <c r="D39" s="43">
        <v>109391280.52449299</v>
      </c>
      <c r="E39" s="19"/>
      <c r="F39" s="27">
        <v>19883160.124528602</v>
      </c>
      <c r="G39" s="43">
        <v>611331.71065424499</v>
      </c>
      <c r="H39" s="43">
        <v>3363366.7000044901</v>
      </c>
      <c r="I39" s="43">
        <v>18907.166308894299</v>
      </c>
      <c r="J39" s="43">
        <v>104021.650515603</v>
      </c>
      <c r="K39" s="19"/>
      <c r="L39" s="43">
        <v>2676026.0892922902</v>
      </c>
      <c r="M39" s="27"/>
      <c r="N39" s="43">
        <v>843768.74711119803</v>
      </c>
      <c r="O39" s="19"/>
      <c r="P39" s="43">
        <v>18528078.7932081</v>
      </c>
      <c r="Q39" s="27"/>
      <c r="R39" s="43">
        <v>17516117.285764001</v>
      </c>
      <c r="S39" s="27"/>
      <c r="T39" s="43">
        <v>66974392.5937813</v>
      </c>
      <c r="U39" s="19"/>
      <c r="V39" s="43">
        <v>108971.078975665</v>
      </c>
      <c r="W39" s="27"/>
      <c r="X39" s="43">
        <v>273703.93315303302</v>
      </c>
      <c r="Y39" s="19"/>
      <c r="Z39" s="19">
        <f t="shared" si="12"/>
        <v>-5777866.5961924214</v>
      </c>
      <c r="AA39" s="19"/>
      <c r="AB39" s="19">
        <f t="shared" si="13"/>
        <v>-60944966.723919794</v>
      </c>
      <c r="AC39" s="13"/>
      <c r="AD39" s="19"/>
      <c r="AE39" s="19"/>
      <c r="AF39" s="19">
        <f>BA37/100*AF25</f>
        <v>5930794618.4453688</v>
      </c>
      <c r="AG39" s="33">
        <f t="shared" si="22"/>
        <v>2.0129516131577439E-4</v>
      </c>
      <c r="AH39" s="33"/>
      <c r="AI39" s="33">
        <f t="shared" si="17"/>
        <v>-1.0215531621647704E-2</v>
      </c>
      <c r="AU39" s="26">
        <v>11546802</v>
      </c>
      <c r="AW39" s="26">
        <f t="shared" si="15"/>
        <v>1.4950096474029275E-4</v>
      </c>
      <c r="AX39" s="45">
        <v>6577.4938181973002</v>
      </c>
      <c r="AY39" s="33">
        <f t="shared" si="16"/>
        <v>-1.1008322338825411E-3</v>
      </c>
      <c r="AZ39" s="26">
        <f t="shared" si="20"/>
        <v>99.254511901186603</v>
      </c>
      <c r="BA39" s="26">
        <f t="shared" si="21"/>
        <v>103.3844732373896</v>
      </c>
      <c r="BC39" s="33">
        <f t="shared" si="11"/>
        <v>9.0824185355093835E-3</v>
      </c>
    </row>
    <row r="40" spans="1:55" s="26" customFormat="1">
      <c r="A40" s="34">
        <f t="shared" si="18"/>
        <v>2022</v>
      </c>
      <c r="B40" s="34">
        <f t="shared" si="19"/>
        <v>1</v>
      </c>
      <c r="C40" s="18"/>
      <c r="D40" s="46">
        <v>109861678.063307</v>
      </c>
      <c r="E40" s="18"/>
      <c r="F40" s="38">
        <v>19968660.4454096</v>
      </c>
      <c r="G40" s="46">
        <v>645076.40112266096</v>
      </c>
      <c r="H40" s="46">
        <v>3549020.0306684002</v>
      </c>
      <c r="I40" s="46">
        <v>19950.8165295668</v>
      </c>
      <c r="J40" s="46">
        <v>109763.50610314601</v>
      </c>
      <c r="K40" s="18"/>
      <c r="L40" s="46">
        <v>3273021.9010075498</v>
      </c>
      <c r="M40" s="38"/>
      <c r="N40" s="46">
        <v>849380.06796241505</v>
      </c>
      <c r="O40" s="18"/>
      <c r="P40" s="46">
        <v>21656764.729913399</v>
      </c>
      <c r="Q40" s="38"/>
      <c r="R40" s="46">
        <v>14000986.819101799</v>
      </c>
      <c r="S40" s="38"/>
      <c r="T40" s="46">
        <v>53533986.5921648</v>
      </c>
      <c r="U40" s="18"/>
      <c r="V40" s="46">
        <v>109162.02119064001</v>
      </c>
      <c r="W40" s="38"/>
      <c r="X40" s="46">
        <v>274183.52494688198</v>
      </c>
      <c r="Y40" s="18"/>
      <c r="Z40" s="18">
        <f t="shared" si="12"/>
        <v>-9980913.5740871262</v>
      </c>
      <c r="AA40" s="18"/>
      <c r="AB40" s="18">
        <f t="shared" si="13"/>
        <v>-77984456.201055601</v>
      </c>
      <c r="AC40" s="13"/>
      <c r="AD40" s="19"/>
      <c r="AE40" s="19"/>
      <c r="AF40" s="19">
        <f>BA38/100*AF25</f>
        <v>5947189782.4989662</v>
      </c>
      <c r="AG40" s="33">
        <f t="shared" si="22"/>
        <v>2.7644127150528598E-3</v>
      </c>
      <c r="AH40" s="33"/>
      <c r="AI40" s="33">
        <f t="shared" si="17"/>
        <v>-1.1818531293137393E-2</v>
      </c>
      <c r="AT40" s="34"/>
      <c r="AU40" s="34">
        <v>11499366</v>
      </c>
      <c r="AV40" s="34"/>
      <c r="AW40" s="34">
        <f t="shared" si="15"/>
        <v>-4.1081504645182274E-3</v>
      </c>
      <c r="AX40" s="48">
        <v>6585.7463180368204</v>
      </c>
      <c r="AY40" s="28">
        <f t="shared" si="16"/>
        <v>1.2546571791050257E-3</v>
      </c>
      <c r="AZ40" s="34">
        <f t="shared" si="20"/>
        <v>99.379042287101996</v>
      </c>
      <c r="BA40" s="34">
        <f t="shared" si="21"/>
        <v>103.08893346048372</v>
      </c>
      <c r="BB40" s="34"/>
      <c r="BC40" s="33">
        <f t="shared" si="11"/>
        <v>1.0640686901915268E-2</v>
      </c>
    </row>
    <row r="41" spans="1:55" s="26" customFormat="1">
      <c r="A41" s="26">
        <f t="shared" si="18"/>
        <v>2022</v>
      </c>
      <c r="B41" s="26">
        <f t="shared" si="19"/>
        <v>2</v>
      </c>
      <c r="C41" s="19"/>
      <c r="D41" s="43">
        <v>110141408.454166</v>
      </c>
      <c r="E41" s="19"/>
      <c r="F41" s="27">
        <v>20019504.7551797</v>
      </c>
      <c r="G41" s="43">
        <v>667559.33074683102</v>
      </c>
      <c r="H41" s="43">
        <v>3672714.4759239098</v>
      </c>
      <c r="I41" s="43">
        <v>20646.1648684586</v>
      </c>
      <c r="J41" s="43">
        <v>113589.10750280099</v>
      </c>
      <c r="K41" s="19"/>
      <c r="L41" s="43">
        <v>2658180.1325060199</v>
      </c>
      <c r="M41" s="27"/>
      <c r="N41" s="43">
        <v>853735.98963882006</v>
      </c>
      <c r="O41" s="19"/>
      <c r="P41" s="43">
        <v>18490312.866183098</v>
      </c>
      <c r="Q41" s="27"/>
      <c r="R41" s="43">
        <v>16641244.1661123</v>
      </c>
      <c r="S41" s="27"/>
      <c r="T41" s="43">
        <v>63629239.394052401</v>
      </c>
      <c r="U41" s="19"/>
      <c r="V41" s="43">
        <v>107312.566782999</v>
      </c>
      <c r="W41" s="27"/>
      <c r="X41" s="43">
        <v>269538.228687389</v>
      </c>
      <c r="Y41" s="19"/>
      <c r="Z41" s="19">
        <f t="shared" si="12"/>
        <v>-6782864.1444292404</v>
      </c>
      <c r="AA41" s="19"/>
      <c r="AB41" s="19">
        <f t="shared" si="13"/>
        <v>-65002481.926296696</v>
      </c>
      <c r="AC41" s="13"/>
      <c r="AD41" s="19"/>
      <c r="AE41" s="19"/>
      <c r="AF41" s="19">
        <f>BA39/100*AF25</f>
        <v>5941531056.1337318</v>
      </c>
      <c r="AG41" s="33">
        <f t="shared" si="22"/>
        <v>-9.5149584462337754E-4</v>
      </c>
      <c r="AH41" s="33">
        <f>(AF41-AF37)/AF37</f>
        <v>2.2152501794606362E-3</v>
      </c>
      <c r="AI41" s="33">
        <f t="shared" si="17"/>
        <v>-1.0257451513445063E-2</v>
      </c>
      <c r="AU41" s="26">
        <v>11611194</v>
      </c>
      <c r="AW41" s="26">
        <f t="shared" si="15"/>
        <v>9.7247100405361483E-3</v>
      </c>
      <c r="AX41" s="45">
        <v>6581.2958650628398</v>
      </c>
      <c r="AY41" s="33">
        <f t="shared" si="16"/>
        <v>-6.7577048356568111E-4</v>
      </c>
      <c r="AZ41" s="26">
        <f t="shared" si="20"/>
        <v>99.311884863639349</v>
      </c>
      <c r="BA41" s="26">
        <f t="shared" si="21"/>
        <v>104.02110152170196</v>
      </c>
      <c r="BC41" s="33">
        <f t="shared" ref="BC41:BC72" si="23">T46/AF48</f>
        <v>9.0878538776618788E-3</v>
      </c>
    </row>
    <row r="42" spans="1:55" s="34" customFormat="1">
      <c r="A42" s="26">
        <f t="shared" si="18"/>
        <v>2022</v>
      </c>
      <c r="B42" s="26">
        <f t="shared" si="19"/>
        <v>3</v>
      </c>
      <c r="C42" s="19"/>
      <c r="D42" s="43">
        <v>110045705.37660401</v>
      </c>
      <c r="E42" s="19"/>
      <c r="F42" s="27">
        <v>20002109.5879739</v>
      </c>
      <c r="G42" s="43">
        <v>700621.56713389896</v>
      </c>
      <c r="H42" s="43">
        <v>3854613.1455887598</v>
      </c>
      <c r="I42" s="43">
        <v>21668.708261873198</v>
      </c>
      <c r="J42" s="43">
        <v>119214.839554292</v>
      </c>
      <c r="K42" s="19"/>
      <c r="L42" s="43">
        <v>2594294.7120240801</v>
      </c>
      <c r="M42" s="27"/>
      <c r="N42" s="43">
        <v>854322.60147773498</v>
      </c>
      <c r="O42" s="19"/>
      <c r="P42" s="43">
        <v>18162038.480863001</v>
      </c>
      <c r="Q42" s="27"/>
      <c r="R42" s="43">
        <v>14235418.130049201</v>
      </c>
      <c r="S42" s="27"/>
      <c r="T42" s="43">
        <v>54430355.028132699</v>
      </c>
      <c r="U42" s="19"/>
      <c r="V42" s="43">
        <v>110396.031167005</v>
      </c>
      <c r="W42" s="27"/>
      <c r="X42" s="43">
        <v>277283.00223256298</v>
      </c>
      <c r="Y42" s="19"/>
      <c r="Z42" s="19">
        <f t="shared" si="12"/>
        <v>-9104912.7402595095</v>
      </c>
      <c r="AA42" s="19"/>
      <c r="AB42" s="19">
        <f t="shared" si="13"/>
        <v>-73777388.829334304</v>
      </c>
      <c r="AC42" s="13"/>
      <c r="AD42" s="18"/>
      <c r="AE42" s="18"/>
      <c r="AF42" s="18">
        <f>BA40/100*AF25</f>
        <v>5924546312.6048164</v>
      </c>
      <c r="AG42" s="28">
        <f t="shared" si="22"/>
        <v>-2.858647605886235E-3</v>
      </c>
      <c r="AH42" s="28"/>
      <c r="AI42" s="28">
        <f t="shared" si="17"/>
        <v>-1.3162941445008057E-2</v>
      </c>
      <c r="AT42" s="26"/>
      <c r="AU42" s="26">
        <v>11639941</v>
      </c>
      <c r="AV42" s="26"/>
      <c r="AW42" s="26">
        <f t="shared" si="15"/>
        <v>2.4758005076825E-3</v>
      </c>
      <c r="AX42" s="45">
        <v>6591.4417348132401</v>
      </c>
      <c r="AY42" s="33">
        <f t="shared" si="16"/>
        <v>1.54162188699953E-3</v>
      </c>
      <c r="AZ42" s="26">
        <f t="shared" si="20"/>
        <v>99.464986238984309</v>
      </c>
      <c r="BA42" s="26">
        <f t="shared" si="21"/>
        <v>104.43939524683199</v>
      </c>
      <c r="BB42" s="26"/>
      <c r="BC42" s="28">
        <f t="shared" si="23"/>
        <v>1.0627597271170691E-2</v>
      </c>
    </row>
    <row r="43" spans="1:55" s="26" customFormat="1">
      <c r="A43" s="26">
        <f t="shared" si="18"/>
        <v>2022</v>
      </c>
      <c r="B43" s="26">
        <f t="shared" si="19"/>
        <v>4</v>
      </c>
      <c r="C43" s="19"/>
      <c r="D43" s="43">
        <v>110079298.50463299</v>
      </c>
      <c r="E43" s="19"/>
      <c r="F43" s="27">
        <v>20008215.536642801</v>
      </c>
      <c r="G43" s="43">
        <v>729802.18737055105</v>
      </c>
      <c r="H43" s="43">
        <v>4015156.3084559301</v>
      </c>
      <c r="I43" s="43">
        <v>22571.201671254101</v>
      </c>
      <c r="J43" s="43">
        <v>124180.092014101</v>
      </c>
      <c r="K43" s="19"/>
      <c r="L43" s="43">
        <v>2645137.6165872002</v>
      </c>
      <c r="M43" s="27"/>
      <c r="N43" s="43">
        <v>856552.36160921701</v>
      </c>
      <c r="O43" s="19"/>
      <c r="P43" s="43">
        <v>18438130.036695901</v>
      </c>
      <c r="Q43" s="27"/>
      <c r="R43" s="43">
        <v>16729555.4768259</v>
      </c>
      <c r="S43" s="27"/>
      <c r="T43" s="43">
        <v>63966905.344657198</v>
      </c>
      <c r="U43" s="19"/>
      <c r="V43" s="43">
        <v>109977.866542309</v>
      </c>
      <c r="W43" s="27"/>
      <c r="X43" s="43">
        <v>276232.693255533</v>
      </c>
      <c r="Y43" s="19"/>
      <c r="Z43" s="19">
        <f t="shared" si="12"/>
        <v>-6670372.1714710072</v>
      </c>
      <c r="AA43" s="19"/>
      <c r="AB43" s="19">
        <f t="shared" si="13"/>
        <v>-64550523.196671695</v>
      </c>
      <c r="AC43" s="13"/>
      <c r="AD43" s="19"/>
      <c r="AE43" s="19"/>
      <c r="AF43" s="19">
        <f>BA41/100*AF25</f>
        <v>5978118239.9148951</v>
      </c>
      <c r="AG43" s="33">
        <f t="shared" si="22"/>
        <v>9.0423678849638218E-3</v>
      </c>
      <c r="AH43" s="33"/>
      <c r="AI43" s="33">
        <f t="shared" si="17"/>
        <v>-1.0873401849479323E-2</v>
      </c>
      <c r="AU43" s="26">
        <v>11602927</v>
      </c>
      <c r="AW43" s="26">
        <f t="shared" si="15"/>
        <v>-3.1799130253323451E-3</v>
      </c>
      <c r="AX43" s="45">
        <v>6608.9743517929701</v>
      </c>
      <c r="AY43" s="33">
        <f t="shared" si="16"/>
        <v>2.6599062367691096E-3</v>
      </c>
      <c r="AZ43" s="26">
        <f t="shared" si="20"/>
        <v>99.729553776221536</v>
      </c>
      <c r="BA43" s="26">
        <f t="shared" si="21"/>
        <v>104.38420267565554</v>
      </c>
      <c r="BC43" s="33">
        <f t="shared" si="23"/>
        <v>9.026731655857604E-3</v>
      </c>
    </row>
    <row r="44" spans="1:55" s="26" customFormat="1">
      <c r="A44" s="34">
        <f t="shared" si="18"/>
        <v>2023</v>
      </c>
      <c r="B44" s="34">
        <f t="shared" si="19"/>
        <v>1</v>
      </c>
      <c r="C44" s="18"/>
      <c r="D44" s="46">
        <v>110389192.13660499</v>
      </c>
      <c r="E44" s="18"/>
      <c r="F44" s="38">
        <v>20064542.372534301</v>
      </c>
      <c r="G44" s="46">
        <v>766111.78890306398</v>
      </c>
      <c r="H44" s="46">
        <v>4214921.0230234005</v>
      </c>
      <c r="I44" s="46">
        <v>23694.179038239101</v>
      </c>
      <c r="J44" s="46">
        <v>130358.382155363</v>
      </c>
      <c r="K44" s="18"/>
      <c r="L44" s="46">
        <v>3149214.4165002401</v>
      </c>
      <c r="M44" s="38"/>
      <c r="N44" s="46">
        <v>861254.46844615799</v>
      </c>
      <c r="O44" s="18"/>
      <c r="P44" s="46">
        <v>21079656.552195899</v>
      </c>
      <c r="Q44" s="38"/>
      <c r="R44" s="46">
        <v>14344318.845076401</v>
      </c>
      <c r="S44" s="38"/>
      <c r="T44" s="46">
        <v>54846746.350649297</v>
      </c>
      <c r="U44" s="18"/>
      <c r="V44" s="46">
        <v>108702.77936814399</v>
      </c>
      <c r="W44" s="38"/>
      <c r="X44" s="46">
        <v>273030.04189186398</v>
      </c>
      <c r="Y44" s="18"/>
      <c r="Z44" s="18">
        <f t="shared" si="12"/>
        <v>-9621989.6330361553</v>
      </c>
      <c r="AA44" s="18"/>
      <c r="AB44" s="18">
        <f t="shared" si="13"/>
        <v>-76622102.338151604</v>
      </c>
      <c r="AC44" s="13"/>
      <c r="AD44" s="19"/>
      <c r="AE44" s="19"/>
      <c r="AF44" s="19">
        <f>BA42/100*AF25</f>
        <v>6002157682.9823198</v>
      </c>
      <c r="AG44" s="33">
        <f t="shared" si="22"/>
        <v>4.0212391429325428E-3</v>
      </c>
      <c r="AH44" s="33"/>
      <c r="AI44" s="33">
        <f t="shared" si="17"/>
        <v>-1.2291811166259829E-2</v>
      </c>
      <c r="AT44" s="34"/>
      <c r="AU44" s="34">
        <v>11702779</v>
      </c>
      <c r="AV44" s="34"/>
      <c r="AW44" s="34">
        <f t="shared" si="15"/>
        <v>8.6057595639445119E-3</v>
      </c>
      <c r="AX44" s="48">
        <v>6596.0532065689804</v>
      </c>
      <c r="AY44" s="28">
        <f t="shared" si="16"/>
        <v>-1.9550908410598199E-3</v>
      </c>
      <c r="AZ44" s="34">
        <f t="shared" si="20"/>
        <v>99.534573439050661</v>
      </c>
      <c r="BA44" s="34">
        <f t="shared" si="21"/>
        <v>105.07667115899055</v>
      </c>
      <c r="BB44" s="34"/>
      <c r="BC44" s="33">
        <f t="shared" si="23"/>
        <v>1.0622813170626898E-2</v>
      </c>
    </row>
    <row r="45" spans="1:55" s="26" customFormat="1">
      <c r="A45" s="26">
        <f t="shared" si="18"/>
        <v>2023</v>
      </c>
      <c r="B45" s="26">
        <f t="shared" si="19"/>
        <v>2</v>
      </c>
      <c r="C45" s="19"/>
      <c r="D45" s="43">
        <v>110734591.971093</v>
      </c>
      <c r="E45" s="19"/>
      <c r="F45" s="27">
        <v>20127322.881028101</v>
      </c>
      <c r="G45" s="43">
        <v>795962.17820096505</v>
      </c>
      <c r="H45" s="43">
        <v>4379149.0576517396</v>
      </c>
      <c r="I45" s="43">
        <v>24617.386954668898</v>
      </c>
      <c r="J45" s="43">
        <v>135437.599721187</v>
      </c>
      <c r="K45" s="19"/>
      <c r="L45" s="43">
        <v>2547413.6247094902</v>
      </c>
      <c r="M45" s="27"/>
      <c r="N45" s="43">
        <v>866299.52684856602</v>
      </c>
      <c r="O45" s="19"/>
      <c r="P45" s="43">
        <v>17984665.8055503</v>
      </c>
      <c r="Q45" s="27"/>
      <c r="R45" s="43">
        <v>16776875.6097083</v>
      </c>
      <c r="S45" s="27"/>
      <c r="T45" s="43">
        <v>64147837.974049501</v>
      </c>
      <c r="U45" s="19"/>
      <c r="V45" s="43">
        <v>104376.41098313501</v>
      </c>
      <c r="W45" s="27"/>
      <c r="X45" s="43">
        <v>262163.45183533698</v>
      </c>
      <c r="Y45" s="19"/>
      <c r="Z45" s="19">
        <f t="shared" si="12"/>
        <v>-6659784.0118947215</v>
      </c>
      <c r="AA45" s="19"/>
      <c r="AB45" s="19">
        <f t="shared" si="13"/>
        <v>-64571419.802593797</v>
      </c>
      <c r="AC45" s="13"/>
      <c r="AD45" s="19"/>
      <c r="AE45" s="19"/>
      <c r="AF45" s="19">
        <f>BA43/100*AF25</f>
        <v>5998985752.3679438</v>
      </c>
      <c r="AG45" s="33">
        <f t="shared" si="22"/>
        <v>-5.2846505905190019E-4</v>
      </c>
      <c r="AH45" s="33">
        <f>(AF45-AF41)/AF41</f>
        <v>9.6700153026884617E-3</v>
      </c>
      <c r="AI45" s="33">
        <f t="shared" si="17"/>
        <v>-1.076023945734361E-2</v>
      </c>
      <c r="AU45" s="26">
        <v>11736579</v>
      </c>
      <c r="AW45" s="26">
        <f t="shared" si="15"/>
        <v>2.8882028789913917E-3</v>
      </c>
      <c r="AX45" s="45">
        <v>6565.9055116728896</v>
      </c>
      <c r="AY45" s="33">
        <f t="shared" si="16"/>
        <v>-4.5705657537854364E-3</v>
      </c>
      <c r="AZ45" s="26">
        <f t="shared" si="20"/>
        <v>99.079644126372486</v>
      </c>
      <c r="BA45" s="26">
        <f t="shared" si="21"/>
        <v>104.89850698058841</v>
      </c>
      <c r="BC45" s="33">
        <f t="shared" si="23"/>
        <v>9.0660469663987071E-3</v>
      </c>
    </row>
    <row r="46" spans="1:55" s="34" customFormat="1">
      <c r="A46" s="26">
        <f t="shared" si="18"/>
        <v>2023</v>
      </c>
      <c r="B46" s="26">
        <f t="shared" si="19"/>
        <v>3</v>
      </c>
      <c r="C46" s="19"/>
      <c r="D46" s="43">
        <v>111188392.656653</v>
      </c>
      <c r="E46" s="19"/>
      <c r="F46" s="27">
        <v>20209806.527369399</v>
      </c>
      <c r="G46" s="43">
        <v>802710.60889384395</v>
      </c>
      <c r="H46" s="43">
        <v>4416276.9322150098</v>
      </c>
      <c r="I46" s="43">
        <v>24826.1013059951</v>
      </c>
      <c r="J46" s="43">
        <v>136585.88450149499</v>
      </c>
      <c r="K46" s="19"/>
      <c r="L46" s="43">
        <v>2516283.1644943999</v>
      </c>
      <c r="M46" s="27"/>
      <c r="N46" s="43">
        <v>872353.98225554801</v>
      </c>
      <c r="O46" s="19"/>
      <c r="P46" s="43">
        <v>17856439.526802301</v>
      </c>
      <c r="Q46" s="27"/>
      <c r="R46" s="43">
        <v>14415747.658691</v>
      </c>
      <c r="S46" s="27"/>
      <c r="T46" s="43">
        <v>55119860.610361598</v>
      </c>
      <c r="U46" s="19"/>
      <c r="V46" s="43">
        <v>105160.45195521699</v>
      </c>
      <c r="W46" s="27"/>
      <c r="X46" s="43">
        <v>264132.73671192297</v>
      </c>
      <c r="Y46" s="19"/>
      <c r="Z46" s="19">
        <f t="shared" ref="Z46:Z77" si="24">R46+V46-N46-L46-F46</f>
        <v>-9077535.5634731278</v>
      </c>
      <c r="AA46" s="19"/>
      <c r="AB46" s="19">
        <f t="shared" ref="AB46:AB77" si="25">T46-P46-D46</f>
        <v>-73924971.573093712</v>
      </c>
      <c r="AC46" s="13"/>
      <c r="AD46" s="18"/>
      <c r="AE46" s="18"/>
      <c r="AF46" s="18">
        <f>BA44/100*AF25</f>
        <v>6038782086.0947847</v>
      </c>
      <c r="AG46" s="28">
        <f t="shared" si="22"/>
        <v>6.6338436811810069E-3</v>
      </c>
      <c r="AH46" s="28"/>
      <c r="AI46" s="28">
        <f t="shared" si="17"/>
        <v>-1.2688337026531502E-2</v>
      </c>
      <c r="AT46" s="26"/>
      <c r="AU46" s="26">
        <v>11811446</v>
      </c>
      <c r="AV46" s="26"/>
      <c r="AW46" s="26">
        <f t="shared" si="15"/>
        <v>6.3789456876658865E-3</v>
      </c>
      <c r="AX46" s="45">
        <v>6563.9838259634598</v>
      </c>
      <c r="AY46" s="33">
        <f t="shared" si="16"/>
        <v>-2.9267641850973746E-4</v>
      </c>
      <c r="AZ46" s="26">
        <f t="shared" si="20"/>
        <v>99.050645850982363</v>
      </c>
      <c r="BA46" s="26">
        <f t="shared" si="21"/>
        <v>105.53675169795618</v>
      </c>
      <c r="BB46" s="26"/>
      <c r="BC46" s="28">
        <f t="shared" si="23"/>
        <v>1.0607556308617302E-2</v>
      </c>
    </row>
    <row r="47" spans="1:55" s="26" customFormat="1">
      <c r="A47" s="26">
        <f t="shared" si="18"/>
        <v>2023</v>
      </c>
      <c r="B47" s="26">
        <f t="shared" si="19"/>
        <v>4</v>
      </c>
      <c r="C47" s="19"/>
      <c r="D47" s="43">
        <v>111510141.546304</v>
      </c>
      <c r="E47" s="19"/>
      <c r="F47" s="27">
        <v>20268288.196677499</v>
      </c>
      <c r="G47" s="43">
        <v>844114.51449827396</v>
      </c>
      <c r="H47" s="43">
        <v>4644069.0047234697</v>
      </c>
      <c r="I47" s="43">
        <v>26106.6344690187</v>
      </c>
      <c r="J47" s="43">
        <v>143631.00014608601</v>
      </c>
      <c r="K47" s="19"/>
      <c r="L47" s="43">
        <v>2563971.7419998199</v>
      </c>
      <c r="M47" s="27"/>
      <c r="N47" s="43">
        <v>877604.29264313402</v>
      </c>
      <c r="O47" s="19"/>
      <c r="P47" s="43">
        <v>18132781.440840401</v>
      </c>
      <c r="Q47" s="27"/>
      <c r="R47" s="43">
        <v>16879620.2986046</v>
      </c>
      <c r="S47" s="27"/>
      <c r="T47" s="43">
        <v>64540691.197101302</v>
      </c>
      <c r="U47" s="19"/>
      <c r="V47" s="43">
        <v>108730.640906024</v>
      </c>
      <c r="W47" s="27"/>
      <c r="X47" s="43">
        <v>273100.022042314</v>
      </c>
      <c r="Y47" s="19"/>
      <c r="Z47" s="19">
        <f t="shared" si="24"/>
        <v>-6721513.2918098271</v>
      </c>
      <c r="AA47" s="19"/>
      <c r="AB47" s="19">
        <f t="shared" si="25"/>
        <v>-65102231.790043101</v>
      </c>
      <c r="AC47" s="13"/>
      <c r="AD47" s="19"/>
      <c r="AE47" s="19"/>
      <c r="AF47" s="19">
        <f>BA45/100*AF25</f>
        <v>6028542947.02565</v>
      </c>
      <c r="AG47" s="33">
        <f t="shared" si="22"/>
        <v>-1.6955635959628166E-3</v>
      </c>
      <c r="AH47" s="33"/>
      <c r="AI47" s="33">
        <f t="shared" si="17"/>
        <v>-1.0710949622487455E-2</v>
      </c>
      <c r="AU47" s="26">
        <v>11801967</v>
      </c>
      <c r="AW47" s="26">
        <f t="shared" ref="AW47:AW78" si="26">(AU47-AU46)/AU46</f>
        <v>-8.0252663391086913E-4</v>
      </c>
      <c r="AX47" s="45">
        <v>6577.6070274904196</v>
      </c>
      <c r="AY47" s="33">
        <f t="shared" ref="AY47:AY78" si="27">(AX47-AX46)/AX46</f>
        <v>2.0754471504140456E-3</v>
      </c>
      <c r="AZ47" s="26">
        <f t="shared" si="20"/>
        <v>99.256220231660464</v>
      </c>
      <c r="BA47" s="26">
        <f t="shared" si="21"/>
        <v>105.67091581225348</v>
      </c>
      <c r="BC47" s="33">
        <f t="shared" si="23"/>
        <v>9.0448377841880635E-3</v>
      </c>
    </row>
    <row r="48" spans="1:55" s="26" customFormat="1">
      <c r="A48" s="34">
        <f t="shared" si="18"/>
        <v>2024</v>
      </c>
      <c r="B48" s="34">
        <f t="shared" si="19"/>
        <v>1</v>
      </c>
      <c r="C48" s="18"/>
      <c r="D48" s="46">
        <v>111625355.33295199</v>
      </c>
      <c r="E48" s="18"/>
      <c r="F48" s="38">
        <v>20289229.666212201</v>
      </c>
      <c r="G48" s="46">
        <v>850753.85401829903</v>
      </c>
      <c r="H48" s="46">
        <v>4680596.69184078</v>
      </c>
      <c r="I48" s="46">
        <v>26311.974866545399</v>
      </c>
      <c r="J48" s="46">
        <v>144760.72242806599</v>
      </c>
      <c r="K48" s="18"/>
      <c r="L48" s="46">
        <v>3071290.9430921399</v>
      </c>
      <c r="M48" s="38"/>
      <c r="N48" s="46">
        <v>880983.774421726</v>
      </c>
      <c r="O48" s="18"/>
      <c r="P48" s="46">
        <v>20783856.098639902</v>
      </c>
      <c r="Q48" s="38"/>
      <c r="R48" s="46">
        <v>14340695.788865</v>
      </c>
      <c r="S48" s="38"/>
      <c r="T48" s="46">
        <v>54832893.2812085</v>
      </c>
      <c r="U48" s="18"/>
      <c r="V48" s="46">
        <v>113369.054352158</v>
      </c>
      <c r="W48" s="38"/>
      <c r="X48" s="46">
        <v>284750.37932729902</v>
      </c>
      <c r="Y48" s="18"/>
      <c r="Z48" s="18">
        <f t="shared" si="24"/>
        <v>-9787439.5405089073</v>
      </c>
      <c r="AA48" s="18"/>
      <c r="AB48" s="18">
        <f t="shared" si="25"/>
        <v>-77576318.150383398</v>
      </c>
      <c r="AC48" s="13"/>
      <c r="AD48" s="19"/>
      <c r="AE48" s="19"/>
      <c r="AF48" s="19">
        <f>BA46/100*AF25</f>
        <v>6065223027.6113138</v>
      </c>
      <c r="AG48" s="33">
        <f t="shared" si="22"/>
        <v>6.0844023021783293E-3</v>
      </c>
      <c r="AH48" s="33"/>
      <c r="AI48" s="33">
        <f t="shared" ref="AI48:AI79" si="28">AB46/AF48</f>
        <v>-1.2188335241186971E-2</v>
      </c>
      <c r="AT48" s="34"/>
      <c r="AU48" s="34">
        <v>11826995</v>
      </c>
      <c r="AV48" s="34"/>
      <c r="AW48" s="34">
        <f t="shared" si="26"/>
        <v>2.1206634453392386E-3</v>
      </c>
      <c r="AX48" s="48">
        <v>6565.3821914211003</v>
      </c>
      <c r="AY48" s="28">
        <f t="shared" si="27"/>
        <v>-1.8585537290730289E-3</v>
      </c>
      <c r="AZ48" s="34">
        <f t="shared" si="20"/>
        <v>99.071747213415208</v>
      </c>
      <c r="BA48" s="34">
        <f t="shared" si="21"/>
        <v>105.69819669815899</v>
      </c>
      <c r="BB48" s="34"/>
      <c r="BC48" s="33">
        <f t="shared" si="23"/>
        <v>1.059478129373106E-2</v>
      </c>
    </row>
    <row r="49" spans="1:55" s="26" customFormat="1">
      <c r="A49" s="26">
        <f t="shared" si="18"/>
        <v>2024</v>
      </c>
      <c r="B49" s="26">
        <f t="shared" si="19"/>
        <v>2</v>
      </c>
      <c r="C49" s="19"/>
      <c r="D49" s="43">
        <v>111847455.431307</v>
      </c>
      <c r="E49" s="19"/>
      <c r="F49" s="27">
        <v>20329598.988136999</v>
      </c>
      <c r="G49" s="43">
        <v>881243.568329209</v>
      </c>
      <c r="H49" s="43">
        <v>4848342.1040593302</v>
      </c>
      <c r="I49" s="43">
        <v>27254.955721521699</v>
      </c>
      <c r="J49" s="43">
        <v>149948.724867813</v>
      </c>
      <c r="K49" s="19"/>
      <c r="L49" s="43">
        <v>2517197.1620891201</v>
      </c>
      <c r="M49" s="27"/>
      <c r="N49" s="43">
        <v>884238.14631569805</v>
      </c>
      <c r="O49" s="19"/>
      <c r="P49" s="43">
        <v>17926565.428929899</v>
      </c>
      <c r="Q49" s="27"/>
      <c r="R49" s="43">
        <v>17023904.513893999</v>
      </c>
      <c r="S49" s="27"/>
      <c r="T49" s="43">
        <v>65092374.3996187</v>
      </c>
      <c r="U49" s="19"/>
      <c r="V49" s="43">
        <v>107127.955624537</v>
      </c>
      <c r="W49" s="27"/>
      <c r="X49" s="43">
        <v>269074.538682207</v>
      </c>
      <c r="Y49" s="19"/>
      <c r="Z49" s="19">
        <f t="shared" si="24"/>
        <v>-6600001.8270232826</v>
      </c>
      <c r="AA49" s="19"/>
      <c r="AB49" s="19">
        <f t="shared" si="25"/>
        <v>-64681646.460618198</v>
      </c>
      <c r="AC49" s="13"/>
      <c r="AD49" s="19"/>
      <c r="AE49" s="19"/>
      <c r="AF49" s="19">
        <f>BA47/100*AF25</f>
        <v>6072933472.1950541</v>
      </c>
      <c r="AG49" s="33">
        <f t="shared" si="22"/>
        <v>1.2712549148875838E-3</v>
      </c>
      <c r="AH49" s="33">
        <f>(AF49-AF45)/AF45</f>
        <v>1.2326703692856971E-2</v>
      </c>
      <c r="AI49" s="33">
        <f t="shared" si="28"/>
        <v>-1.072006339080016E-2</v>
      </c>
      <c r="AU49" s="26">
        <v>11916465</v>
      </c>
      <c r="AW49" s="26">
        <f t="shared" si="26"/>
        <v>7.564897085016101E-3</v>
      </c>
      <c r="AX49" s="45">
        <v>6573.0498274272804</v>
      </c>
      <c r="AY49" s="33">
        <f t="shared" si="27"/>
        <v>1.167888750817789E-3</v>
      </c>
      <c r="AZ49" s="26">
        <f t="shared" si="20"/>
        <v>99.187451992509608</v>
      </c>
      <c r="BA49" s="26">
        <f t="shared" si="21"/>
        <v>106.62217025230822</v>
      </c>
      <c r="BC49" s="33">
        <f t="shared" si="23"/>
        <v>9.0400971951200733E-3</v>
      </c>
    </row>
    <row r="50" spans="1:55" s="34" customFormat="1">
      <c r="A50" s="26">
        <f t="shared" ref="A50:A81" si="29">A46+1</f>
        <v>2024</v>
      </c>
      <c r="B50" s="26">
        <f t="shared" ref="B50:B81" si="30">B46</f>
        <v>3</v>
      </c>
      <c r="C50" s="19"/>
      <c r="D50" s="43">
        <v>111944234.384086</v>
      </c>
      <c r="E50" s="19"/>
      <c r="F50" s="27">
        <v>20347189.7083988</v>
      </c>
      <c r="G50" s="43">
        <v>916289.74185982195</v>
      </c>
      <c r="H50" s="43">
        <v>5041155.8105318705</v>
      </c>
      <c r="I50" s="43">
        <v>28338.857995664501</v>
      </c>
      <c r="J50" s="43">
        <v>155912.03537727401</v>
      </c>
      <c r="K50" s="19"/>
      <c r="L50" s="43">
        <v>2444591.7447693902</v>
      </c>
      <c r="M50" s="27"/>
      <c r="N50" s="43">
        <v>886336.29088455101</v>
      </c>
      <c r="O50" s="19"/>
      <c r="P50" s="43">
        <v>17561358.945671398</v>
      </c>
      <c r="Q50" s="27"/>
      <c r="R50" s="43">
        <v>14541962.652272001</v>
      </c>
      <c r="S50" s="27"/>
      <c r="T50" s="43">
        <v>55602454.577586196</v>
      </c>
      <c r="U50" s="19"/>
      <c r="V50" s="43">
        <v>102461.485555785</v>
      </c>
      <c r="W50" s="27"/>
      <c r="X50" s="43">
        <v>257353.71125015401</v>
      </c>
      <c r="Y50" s="19"/>
      <c r="Z50" s="19">
        <f t="shared" si="24"/>
        <v>-9033693.606224956</v>
      </c>
      <c r="AA50" s="19"/>
      <c r="AB50" s="19">
        <f t="shared" si="25"/>
        <v>-73903138.752171203</v>
      </c>
      <c r="AC50" s="13"/>
      <c r="AD50" s="18"/>
      <c r="AE50" s="18"/>
      <c r="AF50" s="18">
        <f>BA48/100*AF25</f>
        <v>6074501311.4050512</v>
      </c>
      <c r="AG50" s="28">
        <f t="shared" si="22"/>
        <v>2.5816834931183323E-4</v>
      </c>
      <c r="AH50" s="28"/>
      <c r="AI50" s="28">
        <f t="shared" si="28"/>
        <v>-1.2770812643456282E-2</v>
      </c>
      <c r="AT50" s="26"/>
      <c r="AU50" s="26">
        <v>11911330</v>
      </c>
      <c r="AV50" s="26"/>
      <c r="AW50" s="26">
        <f t="shared" si="26"/>
        <v>-4.3091638334019356E-4</v>
      </c>
      <c r="AX50" s="45">
        <v>6581.72205934263</v>
      </c>
      <c r="AY50" s="33">
        <f t="shared" si="27"/>
        <v>1.319361961803952E-3</v>
      </c>
      <c r="AZ50" s="26">
        <f t="shared" si="20"/>
        <v>99.318316143756775</v>
      </c>
      <c r="BA50" s="26">
        <f t="shared" si="21"/>
        <v>106.71683762963313</v>
      </c>
      <c r="BB50" s="26"/>
      <c r="BC50" s="28">
        <f t="shared" si="23"/>
        <v>1.0591871399679863E-2</v>
      </c>
    </row>
    <row r="51" spans="1:55" s="26" customFormat="1">
      <c r="A51" s="26">
        <f t="shared" si="29"/>
        <v>2024</v>
      </c>
      <c r="B51" s="26">
        <f t="shared" si="30"/>
        <v>4</v>
      </c>
      <c r="C51" s="19"/>
      <c r="D51" s="43">
        <v>111936423.493</v>
      </c>
      <c r="E51" s="19"/>
      <c r="F51" s="27">
        <v>20345769.986484699</v>
      </c>
      <c r="G51" s="43">
        <v>990306.83413980203</v>
      </c>
      <c r="H51" s="43">
        <v>5448376.0136834802</v>
      </c>
      <c r="I51" s="43">
        <v>30628.046416694899</v>
      </c>
      <c r="J51" s="43">
        <v>168506.474650005</v>
      </c>
      <c r="K51" s="19"/>
      <c r="L51" s="43">
        <v>2490765.49128502</v>
      </c>
      <c r="M51" s="27"/>
      <c r="N51" s="43">
        <v>888836.06448324805</v>
      </c>
      <c r="O51" s="19"/>
      <c r="P51" s="43">
        <v>17814707.752629299</v>
      </c>
      <c r="Q51" s="27"/>
      <c r="R51" s="43">
        <v>17141396.745432399</v>
      </c>
      <c r="S51" s="27"/>
      <c r="T51" s="43">
        <v>65541616.130157098</v>
      </c>
      <c r="U51" s="19"/>
      <c r="V51" s="43">
        <v>110592.97719957501</v>
      </c>
      <c r="W51" s="27"/>
      <c r="X51" s="43">
        <v>277777.67388526199</v>
      </c>
      <c r="Y51" s="19"/>
      <c r="Z51" s="19">
        <f t="shared" si="24"/>
        <v>-6473381.8196209911</v>
      </c>
      <c r="AA51" s="19"/>
      <c r="AB51" s="19">
        <f t="shared" si="25"/>
        <v>-64209515.115472198</v>
      </c>
      <c r="AC51" s="13"/>
      <c r="AD51" s="19"/>
      <c r="AE51" s="19"/>
      <c r="AF51" s="19">
        <f>BA49/100*AF25</f>
        <v>6127602298.3822575</v>
      </c>
      <c r="AG51" s="33">
        <f t="shared" si="22"/>
        <v>8.7416207940407553E-3</v>
      </c>
      <c r="AH51" s="33"/>
      <c r="AI51" s="33">
        <f t="shared" si="28"/>
        <v>-1.055578402627317E-2</v>
      </c>
      <c r="AU51" s="26">
        <v>11995395</v>
      </c>
      <c r="AW51" s="26">
        <f t="shared" si="26"/>
        <v>7.0575661995763697E-3</v>
      </c>
      <c r="AX51" s="45">
        <v>6584.3217123967597</v>
      </c>
      <c r="AY51" s="33">
        <f t="shared" si="27"/>
        <v>3.9498067993307996E-4</v>
      </c>
      <c r="AZ51" s="26">
        <f t="shared" si="20"/>
        <v>99.357544959797039</v>
      </c>
      <c r="BA51" s="26">
        <f t="shared" si="21"/>
        <v>107.5124473490026</v>
      </c>
      <c r="BC51" s="33">
        <f t="shared" si="23"/>
        <v>9.0309749053456706E-3</v>
      </c>
    </row>
    <row r="52" spans="1:55" s="26" customFormat="1">
      <c r="A52" s="34">
        <f t="shared" si="29"/>
        <v>2025</v>
      </c>
      <c r="B52" s="34">
        <f t="shared" si="30"/>
        <v>1</v>
      </c>
      <c r="C52" s="18"/>
      <c r="D52" s="46">
        <v>112076470.171803</v>
      </c>
      <c r="E52" s="18"/>
      <c r="F52" s="38">
        <v>20371225.128121201</v>
      </c>
      <c r="G52" s="46">
        <v>1093874.9492433399</v>
      </c>
      <c r="H52" s="46">
        <v>6018177.2254489698</v>
      </c>
      <c r="I52" s="46">
        <v>33831.183997216198</v>
      </c>
      <c r="J52" s="46">
        <v>186129.192539657</v>
      </c>
      <c r="K52" s="18"/>
      <c r="L52" s="46">
        <v>2977069.09997488</v>
      </c>
      <c r="M52" s="38"/>
      <c r="N52" s="46">
        <v>892570.08693231305</v>
      </c>
      <c r="O52" s="18"/>
      <c r="P52" s="46">
        <v>20358682.9797111</v>
      </c>
      <c r="Q52" s="38"/>
      <c r="R52" s="46">
        <v>14625256.019728599</v>
      </c>
      <c r="S52" s="38"/>
      <c r="T52" s="46">
        <v>55920933.9872346</v>
      </c>
      <c r="U52" s="18"/>
      <c r="V52" s="46">
        <v>108164.232452232</v>
      </c>
      <c r="W52" s="38"/>
      <c r="X52" s="46">
        <v>271677.36730647698</v>
      </c>
      <c r="Y52" s="18"/>
      <c r="Z52" s="18">
        <f t="shared" si="24"/>
        <v>-9507444.0628475621</v>
      </c>
      <c r="AA52" s="18"/>
      <c r="AB52" s="18">
        <f t="shared" si="25"/>
        <v>-76514219.164279491</v>
      </c>
      <c r="AC52" s="13"/>
      <c r="AD52" s="19"/>
      <c r="AE52" s="19"/>
      <c r="AF52" s="19">
        <f>BA50/100*AF25</f>
        <v>6133042855.7963982</v>
      </c>
      <c r="AG52" s="33">
        <f t="shared" si="22"/>
        <v>8.8787704377894393E-4</v>
      </c>
      <c r="AH52" s="33"/>
      <c r="AI52" s="33">
        <f t="shared" si="28"/>
        <v>-1.2049995489975197E-2</v>
      </c>
      <c r="AT52" s="34"/>
      <c r="AU52" s="34">
        <v>12024207</v>
      </c>
      <c r="AV52" s="34"/>
      <c r="AW52" s="34">
        <f t="shared" si="26"/>
        <v>2.401921737466753E-3</v>
      </c>
      <c r="AX52" s="48">
        <v>6572.6572555218099</v>
      </c>
      <c r="AY52" s="28">
        <f t="shared" si="27"/>
        <v>-1.7715502650771618E-3</v>
      </c>
      <c r="AZ52" s="34">
        <f t="shared" si="20"/>
        <v>99.181528074686099</v>
      </c>
      <c r="BA52" s="34">
        <f t="shared" si="21"/>
        <v>107.57976264982591</v>
      </c>
      <c r="BB52" s="34"/>
      <c r="BC52" s="33">
        <f t="shared" si="23"/>
        <v>1.0575959181339731E-2</v>
      </c>
    </row>
    <row r="53" spans="1:55" s="26" customFormat="1">
      <c r="A53" s="26">
        <f t="shared" si="29"/>
        <v>2025</v>
      </c>
      <c r="B53" s="26">
        <f t="shared" si="30"/>
        <v>2</v>
      </c>
      <c r="C53" s="19"/>
      <c r="D53" s="43">
        <v>112287300.82371899</v>
      </c>
      <c r="E53" s="19"/>
      <c r="F53" s="27">
        <v>20409546.094756801</v>
      </c>
      <c r="G53" s="43">
        <v>1172661.60908069</v>
      </c>
      <c r="H53" s="43">
        <v>6451638.1820513103</v>
      </c>
      <c r="I53" s="43">
        <v>36267.884816928497</v>
      </c>
      <c r="J53" s="43">
        <v>199535.20150674201</v>
      </c>
      <c r="K53" s="19"/>
      <c r="L53" s="43">
        <v>2428419.8735615001</v>
      </c>
      <c r="M53" s="27"/>
      <c r="N53" s="43">
        <v>896955.73841576301</v>
      </c>
      <c r="O53" s="19"/>
      <c r="P53" s="43">
        <v>17535868.096168902</v>
      </c>
      <c r="Q53" s="27"/>
      <c r="R53" s="43">
        <v>17231286.5714375</v>
      </c>
      <c r="S53" s="27"/>
      <c r="T53" s="43">
        <v>65885317.670791499</v>
      </c>
      <c r="U53" s="19"/>
      <c r="V53" s="43">
        <v>112225.14544905499</v>
      </c>
      <c r="W53" s="27"/>
      <c r="X53" s="43">
        <v>281877.20996079198</v>
      </c>
      <c r="Y53" s="19"/>
      <c r="Z53" s="19">
        <f t="shared" si="24"/>
        <v>-6391409.9898475092</v>
      </c>
      <c r="AA53" s="19"/>
      <c r="AB53" s="19">
        <f t="shared" si="25"/>
        <v>-63937851.249096394</v>
      </c>
      <c r="AC53" s="13"/>
      <c r="AD53" s="19"/>
      <c r="AE53" s="19"/>
      <c r="AF53" s="19">
        <f>BA51/100*AF25</f>
        <v>6178766741.6776094</v>
      </c>
      <c r="AG53" s="33">
        <f t="shared" si="22"/>
        <v>7.4553344818057473E-3</v>
      </c>
      <c r="AH53" s="33">
        <f>(AF53-AF49)/AF49</f>
        <v>1.7427042460964437E-2</v>
      </c>
      <c r="AI53" s="33">
        <f t="shared" si="28"/>
        <v>-1.0391962959591924E-2</v>
      </c>
      <c r="AU53" s="26">
        <v>12111907</v>
      </c>
      <c r="AW53" s="26">
        <f t="shared" si="26"/>
        <v>7.2936202778278846E-3</v>
      </c>
      <c r="AX53" s="45">
        <v>6563.0833016607103</v>
      </c>
      <c r="AY53" s="33">
        <f t="shared" si="27"/>
        <v>-1.4566336702033869E-3</v>
      </c>
      <c r="AZ53" s="26">
        <f t="shared" si="20"/>
        <v>99.037056921430278</v>
      </c>
      <c r="BA53" s="26">
        <f t="shared" si="21"/>
        <v>108.20656134197138</v>
      </c>
      <c r="BC53" s="33">
        <f t="shared" si="23"/>
        <v>8.9935262740279097E-3</v>
      </c>
    </row>
    <row r="54" spans="1:55" s="34" customFormat="1">
      <c r="A54" s="26">
        <f t="shared" si="29"/>
        <v>2025</v>
      </c>
      <c r="B54" s="26">
        <f t="shared" si="30"/>
        <v>3</v>
      </c>
      <c r="C54" s="19"/>
      <c r="D54" s="43">
        <v>112644108.213789</v>
      </c>
      <c r="E54" s="19"/>
      <c r="F54" s="27">
        <v>20474400.061511401</v>
      </c>
      <c r="G54" s="43">
        <v>1243091.3776765601</v>
      </c>
      <c r="H54" s="43">
        <v>6839121.9887245595</v>
      </c>
      <c r="I54" s="43">
        <v>38446.125082780098</v>
      </c>
      <c r="J54" s="43">
        <v>211519.23676467701</v>
      </c>
      <c r="K54" s="19"/>
      <c r="L54" s="43">
        <v>2407625.4606805802</v>
      </c>
      <c r="M54" s="27"/>
      <c r="N54" s="43">
        <v>902578.88399273902</v>
      </c>
      <c r="O54" s="19"/>
      <c r="P54" s="43">
        <v>17458902.676745702</v>
      </c>
      <c r="Q54" s="27"/>
      <c r="R54" s="43">
        <v>14771250.725754701</v>
      </c>
      <c r="S54" s="27"/>
      <c r="T54" s="43">
        <v>56479157.399334803</v>
      </c>
      <c r="U54" s="19"/>
      <c r="V54" s="43">
        <v>111927.670023087</v>
      </c>
      <c r="W54" s="27"/>
      <c r="X54" s="43">
        <v>281130.03745530598</v>
      </c>
      <c r="Y54" s="19"/>
      <c r="Z54" s="19">
        <f t="shared" si="24"/>
        <v>-8901426.0104069319</v>
      </c>
      <c r="AA54" s="19"/>
      <c r="AB54" s="19">
        <f t="shared" si="25"/>
        <v>-73623853.491199896</v>
      </c>
      <c r="AC54" s="13"/>
      <c r="AD54" s="18"/>
      <c r="AE54" s="18"/>
      <c r="AF54" s="18">
        <f>BA52/100*AF25</f>
        <v>6182635368.54072</v>
      </c>
      <c r="AG54" s="28">
        <f t="shared" si="22"/>
        <v>6.2611634729880801E-4</v>
      </c>
      <c r="AH54" s="28"/>
      <c r="AI54" s="28">
        <f t="shared" si="28"/>
        <v>-1.2375664195499701E-2</v>
      </c>
      <c r="AT54" s="26"/>
      <c r="AU54" s="26">
        <v>12115257</v>
      </c>
      <c r="AV54" s="26"/>
      <c r="AW54" s="26">
        <f t="shared" si="26"/>
        <v>2.7658732848592711E-4</v>
      </c>
      <c r="AX54" s="45">
        <v>6591.8341760306203</v>
      </c>
      <c r="AY54" s="33">
        <f t="shared" si="27"/>
        <v>4.3806962441928646E-3</v>
      </c>
      <c r="AZ54" s="26">
        <f t="shared" si="20"/>
        <v>99.470908184721893</v>
      </c>
      <c r="BA54" s="26">
        <f t="shared" si="21"/>
        <v>108.71064109051211</v>
      </c>
      <c r="BB54" s="26"/>
      <c r="BC54" s="28">
        <f t="shared" si="23"/>
        <v>1.0607036483981576E-2</v>
      </c>
    </row>
    <row r="55" spans="1:55" s="26" customFormat="1">
      <c r="A55" s="26">
        <f t="shared" si="29"/>
        <v>2025</v>
      </c>
      <c r="B55" s="26">
        <f t="shared" si="30"/>
        <v>4</v>
      </c>
      <c r="C55" s="19"/>
      <c r="D55" s="43">
        <v>112989888.488819</v>
      </c>
      <c r="E55" s="19"/>
      <c r="F55" s="27">
        <v>20537249.7195771</v>
      </c>
      <c r="G55" s="43">
        <v>1334398.1523520199</v>
      </c>
      <c r="H55" s="43">
        <v>7341464.9231350599</v>
      </c>
      <c r="I55" s="43">
        <v>41270.045949031599</v>
      </c>
      <c r="J55" s="43">
        <v>227055.61617943601</v>
      </c>
      <c r="K55" s="19"/>
      <c r="L55" s="43">
        <v>2444822.80476976</v>
      </c>
      <c r="M55" s="27"/>
      <c r="N55" s="43">
        <v>908057.62815611099</v>
      </c>
      <c r="O55" s="19"/>
      <c r="P55" s="43">
        <v>17682062.3059492</v>
      </c>
      <c r="Q55" s="27"/>
      <c r="R55" s="43">
        <v>17274719.902998298</v>
      </c>
      <c r="S55" s="27"/>
      <c r="T55" s="43">
        <v>66051388.778455101</v>
      </c>
      <c r="U55" s="19"/>
      <c r="V55" s="43">
        <v>111047.97677611301</v>
      </c>
      <c r="W55" s="27"/>
      <c r="X55" s="43">
        <v>278920.50164150703</v>
      </c>
      <c r="Y55" s="19"/>
      <c r="Z55" s="19">
        <f t="shared" si="24"/>
        <v>-6504362.2727285605</v>
      </c>
      <c r="AA55" s="19"/>
      <c r="AB55" s="19">
        <f t="shared" si="25"/>
        <v>-64620562.016313106</v>
      </c>
      <c r="AC55" s="13"/>
      <c r="AD55" s="19"/>
      <c r="AE55" s="19"/>
      <c r="AF55" s="19">
        <f>BA53/100*AF25</f>
        <v>6218657643.2470474</v>
      </c>
      <c r="AG55" s="33">
        <f t="shared" si="22"/>
        <v>5.8263624747499432E-3</v>
      </c>
      <c r="AH55" s="33"/>
      <c r="AI55" s="33">
        <f t="shared" si="28"/>
        <v>-1.028161621319155E-2</v>
      </c>
      <c r="AU55" s="26">
        <v>12103826</v>
      </c>
      <c r="AW55" s="26">
        <f t="shared" si="26"/>
        <v>-9.4352104953283281E-4</v>
      </c>
      <c r="AX55" s="45">
        <v>6585.8279102227198</v>
      </c>
      <c r="AY55" s="33">
        <f t="shared" si="27"/>
        <v>-9.1116761245915636E-4</v>
      </c>
      <c r="AZ55" s="26">
        <f t="shared" si="20"/>
        <v>99.380273514802084</v>
      </c>
      <c r="BA55" s="26">
        <f t="shared" si="21"/>
        <v>108.50911015621472</v>
      </c>
      <c r="BC55" s="33">
        <f t="shared" si="23"/>
        <v>9.014993367597467E-3</v>
      </c>
    </row>
    <row r="56" spans="1:55" s="26" customFormat="1">
      <c r="A56" s="34">
        <f t="shared" si="29"/>
        <v>2026</v>
      </c>
      <c r="B56" s="34">
        <f t="shared" si="30"/>
        <v>1</v>
      </c>
      <c r="C56" s="18"/>
      <c r="D56" s="46">
        <v>112928266.384395</v>
      </c>
      <c r="E56" s="18"/>
      <c r="F56" s="38">
        <v>20526049.172663301</v>
      </c>
      <c r="G56" s="46">
        <v>1421874.05095746</v>
      </c>
      <c r="H56" s="46">
        <v>7822731.5076994998</v>
      </c>
      <c r="I56" s="46">
        <v>43975.486112086102</v>
      </c>
      <c r="J56" s="46">
        <v>241940.14972266401</v>
      </c>
      <c r="K56" s="18"/>
      <c r="L56" s="46">
        <v>2965092.3567683902</v>
      </c>
      <c r="M56" s="38"/>
      <c r="N56" s="46">
        <v>909628.03392306401</v>
      </c>
      <c r="O56" s="18"/>
      <c r="P56" s="46">
        <v>20390383.393712599</v>
      </c>
      <c r="Q56" s="38"/>
      <c r="R56" s="46">
        <v>14776787.960184701</v>
      </c>
      <c r="S56" s="38"/>
      <c r="T56" s="46">
        <v>56500329.495099097</v>
      </c>
      <c r="U56" s="18"/>
      <c r="V56" s="46">
        <v>109096.255607499</v>
      </c>
      <c r="W56" s="38"/>
      <c r="X56" s="46">
        <v>274018.34076277597</v>
      </c>
      <c r="Y56" s="18"/>
      <c r="Z56" s="18">
        <f t="shared" si="24"/>
        <v>-9514885.3475625552</v>
      </c>
      <c r="AA56" s="18"/>
      <c r="AB56" s="18">
        <f t="shared" si="25"/>
        <v>-76818320.283008501</v>
      </c>
      <c r="AC56" s="13"/>
      <c r="AD56" s="19"/>
      <c r="AE56" s="19"/>
      <c r="AF56" s="19">
        <f>BA54/100*AF25</f>
        <v>6247627230.138938</v>
      </c>
      <c r="AG56" s="33">
        <f t="shared" si="22"/>
        <v>4.6584952177499469E-3</v>
      </c>
      <c r="AH56" s="33"/>
      <c r="AI56" s="33">
        <f t="shared" si="28"/>
        <v>-1.1784290384041144E-2</v>
      </c>
      <c r="AT56" s="34"/>
      <c r="AU56" s="34">
        <v>12128416</v>
      </c>
      <c r="AV56" s="34"/>
      <c r="AW56" s="34">
        <f t="shared" si="26"/>
        <v>2.0315890198685936E-3</v>
      </c>
      <c r="AX56" s="48">
        <v>6593.8043424134003</v>
      </c>
      <c r="AY56" s="28">
        <f t="shared" si="27"/>
        <v>1.2111510199498594E-3</v>
      </c>
      <c r="AZ56" s="34">
        <f t="shared" ref="AZ56:AZ87" si="31">AZ55*((1+AY56))</f>
        <v>99.500638034432441</v>
      </c>
      <c r="BA56" s="34">
        <f t="shared" ref="BA56:BA87" si="32">BA55*(1+AW56)*(1+AY56)</f>
        <v>108.86124398570027</v>
      </c>
      <c r="BB56" s="34"/>
      <c r="BC56" s="33">
        <f t="shared" si="23"/>
        <v>1.0594212768157838E-2</v>
      </c>
    </row>
    <row r="57" spans="1:55" s="26" customFormat="1">
      <c r="A57" s="26">
        <f t="shared" si="29"/>
        <v>2026</v>
      </c>
      <c r="B57" s="26">
        <f t="shared" si="30"/>
        <v>2</v>
      </c>
      <c r="C57" s="19"/>
      <c r="D57" s="43">
        <v>112948038.23800901</v>
      </c>
      <c r="E57" s="19"/>
      <c r="F57" s="27">
        <v>20529642.941101499</v>
      </c>
      <c r="G57" s="43">
        <v>1501206.16665908</v>
      </c>
      <c r="H57" s="43">
        <v>8259193.4015315799</v>
      </c>
      <c r="I57" s="43">
        <v>46429.056700796602</v>
      </c>
      <c r="J57" s="43">
        <v>255438.97118138999</v>
      </c>
      <c r="K57" s="19"/>
      <c r="L57" s="43">
        <v>2456312.3842969602</v>
      </c>
      <c r="M57" s="27"/>
      <c r="N57" s="43">
        <v>911282.90245079994</v>
      </c>
      <c r="O57" s="19"/>
      <c r="P57" s="43">
        <v>17759426.2962946</v>
      </c>
      <c r="Q57" s="27"/>
      <c r="R57" s="43">
        <v>17234634.051401399</v>
      </c>
      <c r="S57" s="27"/>
      <c r="T57" s="43">
        <v>65898117.050565504</v>
      </c>
      <c r="U57" s="19"/>
      <c r="V57" s="43">
        <v>111092.730570944</v>
      </c>
      <c r="W57" s="27"/>
      <c r="X57" s="43">
        <v>279032.91027124599</v>
      </c>
      <c r="Y57" s="19"/>
      <c r="Z57" s="19">
        <f t="shared" si="24"/>
        <v>-6551511.4458769187</v>
      </c>
      <c r="AA57" s="19"/>
      <c r="AB57" s="19">
        <f t="shared" si="25"/>
        <v>-64809347.483738102</v>
      </c>
      <c r="AC57" s="13"/>
      <c r="AD57" s="19"/>
      <c r="AE57" s="19"/>
      <c r="AF57" s="19">
        <f>BA55/100*AF25</f>
        <v>6236045197.8723507</v>
      </c>
      <c r="AG57" s="33">
        <f t="shared" si="22"/>
        <v>-1.8538289561699235E-3</v>
      </c>
      <c r="AH57" s="33">
        <f>(AF57-AF53)/AF53</f>
        <v>9.2702085366617119E-3</v>
      </c>
      <c r="AI57" s="33">
        <f t="shared" si="28"/>
        <v>-1.0362426821146312E-2</v>
      </c>
      <c r="AU57" s="26">
        <v>12068720</v>
      </c>
      <c r="AW57" s="26">
        <f t="shared" si="26"/>
        <v>-4.9219947600741927E-3</v>
      </c>
      <c r="AX57" s="45">
        <v>6599.5727967687799</v>
      </c>
      <c r="AY57" s="33">
        <f t="shared" si="27"/>
        <v>8.7482946957875667E-4</v>
      </c>
      <c r="AZ57" s="26">
        <f t="shared" si="31"/>
        <v>99.587684124826865</v>
      </c>
      <c r="BA57" s="26">
        <f t="shared" si="32"/>
        <v>108.42019579127046</v>
      </c>
      <c r="BC57" s="33">
        <f t="shared" si="23"/>
        <v>9.0092626666197374E-3</v>
      </c>
    </row>
    <row r="58" spans="1:55" s="34" customFormat="1">
      <c r="A58" s="26">
        <f t="shared" si="29"/>
        <v>2026</v>
      </c>
      <c r="B58" s="26">
        <f t="shared" si="30"/>
        <v>3</v>
      </c>
      <c r="C58" s="19"/>
      <c r="D58" s="43">
        <v>112800904.084893</v>
      </c>
      <c r="E58" s="19"/>
      <c r="F58" s="27">
        <v>20502899.567112502</v>
      </c>
      <c r="G58" s="43">
        <v>1611334.97415803</v>
      </c>
      <c r="H58" s="43">
        <v>8865089.6071394105</v>
      </c>
      <c r="I58" s="43">
        <v>49835.102293547003</v>
      </c>
      <c r="J58" s="43">
        <v>274178.02908678498</v>
      </c>
      <c r="K58" s="19"/>
      <c r="L58" s="43">
        <v>2465238.5831072601</v>
      </c>
      <c r="M58" s="27"/>
      <c r="N58" s="43">
        <v>912544.633419786</v>
      </c>
      <c r="O58" s="19"/>
      <c r="P58" s="43">
        <v>17812686.055875201</v>
      </c>
      <c r="Q58" s="27"/>
      <c r="R58" s="43">
        <v>14757583.144881399</v>
      </c>
      <c r="S58" s="27"/>
      <c r="T58" s="43">
        <v>56426898.219273202</v>
      </c>
      <c r="U58" s="19"/>
      <c r="V58" s="43">
        <v>111537.784698381</v>
      </c>
      <c r="W58" s="27"/>
      <c r="X58" s="43">
        <v>280150.75792670198</v>
      </c>
      <c r="Y58" s="19"/>
      <c r="Z58" s="19">
        <f t="shared" si="24"/>
        <v>-9011561.854059767</v>
      </c>
      <c r="AA58" s="19"/>
      <c r="AB58" s="19">
        <f t="shared" si="25"/>
        <v>-74186691.921495005</v>
      </c>
      <c r="AC58" s="13"/>
      <c r="AD58" s="18"/>
      <c r="AE58" s="18"/>
      <c r="AF58" s="18">
        <f>BA56/100*AF25</f>
        <v>6256282415.4959259</v>
      </c>
      <c r="AG58" s="28">
        <f t="shared" ref="AG58:AG89" si="33">(AF58-AF57)/AF57</f>
        <v>3.2452006009321193E-3</v>
      </c>
      <c r="AH58" s="28"/>
      <c r="AI58" s="28">
        <f t="shared" si="28"/>
        <v>-1.2278588973659564E-2</v>
      </c>
      <c r="AT58" s="26"/>
      <c r="AU58" s="26">
        <v>12142397</v>
      </c>
      <c r="AV58" s="26"/>
      <c r="AW58" s="26">
        <f t="shared" si="26"/>
        <v>6.1047899031546017E-3</v>
      </c>
      <c r="AX58" s="45">
        <v>6605.0413030258997</v>
      </c>
      <c r="AY58" s="33">
        <f t="shared" si="27"/>
        <v>8.2861518851602158E-4</v>
      </c>
      <c r="AZ58" s="26">
        <f t="shared" si="31"/>
        <v>99.670203992481831</v>
      </c>
      <c r="BA58" s="26">
        <f t="shared" si="32"/>
        <v>109.17246537471581</v>
      </c>
      <c r="BB58" s="26"/>
      <c r="BC58" s="28">
        <f t="shared" si="23"/>
        <v>1.0620656056506811E-2</v>
      </c>
    </row>
    <row r="59" spans="1:55" s="26" customFormat="1">
      <c r="A59" s="26">
        <f t="shared" si="29"/>
        <v>2026</v>
      </c>
      <c r="B59" s="26">
        <f t="shared" si="30"/>
        <v>4</v>
      </c>
      <c r="C59" s="19"/>
      <c r="D59" s="43">
        <v>113037871.896457</v>
      </c>
      <c r="E59" s="19"/>
      <c r="F59" s="27">
        <v>20545971.271905702</v>
      </c>
      <c r="G59" s="43">
        <v>1686262.85088114</v>
      </c>
      <c r="H59" s="43">
        <v>9277320.6775723007</v>
      </c>
      <c r="I59" s="43">
        <v>52152.459305602402</v>
      </c>
      <c r="J59" s="43">
        <v>286927.44363625703</v>
      </c>
      <c r="K59" s="19"/>
      <c r="L59" s="43">
        <v>2410256.2952798302</v>
      </c>
      <c r="M59" s="27"/>
      <c r="N59" s="43">
        <v>916874.12063360203</v>
      </c>
      <c r="O59" s="19"/>
      <c r="P59" s="43">
        <v>17551202.264208999</v>
      </c>
      <c r="Q59" s="27"/>
      <c r="R59" s="43">
        <v>17440714.715812299</v>
      </c>
      <c r="S59" s="27"/>
      <c r="T59" s="43">
        <v>66686084.332301997</v>
      </c>
      <c r="U59" s="19"/>
      <c r="V59" s="43">
        <v>110954.339731428</v>
      </c>
      <c r="W59" s="27"/>
      <c r="X59" s="43">
        <v>278685.31238156802</v>
      </c>
      <c r="Y59" s="19"/>
      <c r="Z59" s="19">
        <f t="shared" si="24"/>
        <v>-6321432.6322754063</v>
      </c>
      <c r="AA59" s="19"/>
      <c r="AB59" s="19">
        <f t="shared" si="25"/>
        <v>-63902989.828364</v>
      </c>
      <c r="AC59" s="13"/>
      <c r="AD59" s="19"/>
      <c r="AE59" s="19"/>
      <c r="AF59" s="19">
        <f>BA57/100*AF25</f>
        <v>6230935267.4919958</v>
      </c>
      <c r="AG59" s="33">
        <f t="shared" si="33"/>
        <v>-4.0514711965605639E-3</v>
      </c>
      <c r="AH59" s="33"/>
      <c r="AI59" s="33">
        <f t="shared" si="28"/>
        <v>-1.0401223043009467E-2</v>
      </c>
      <c r="AU59" s="26">
        <v>12149196</v>
      </c>
      <c r="AW59" s="26">
        <f t="shared" si="26"/>
        <v>5.5993886544806603E-4</v>
      </c>
      <c r="AX59" s="45">
        <v>6614.81057479622</v>
      </c>
      <c r="AY59" s="33">
        <f t="shared" si="27"/>
        <v>1.47906293422341E-3</v>
      </c>
      <c r="AZ59" s="26">
        <f t="shared" si="31"/>
        <v>99.817622496853602</v>
      </c>
      <c r="BA59" s="26">
        <f t="shared" si="32"/>
        <v>109.39515864306816</v>
      </c>
      <c r="BC59" s="33">
        <f t="shared" si="23"/>
        <v>9.0540412805715682E-3</v>
      </c>
    </row>
    <row r="60" spans="1:55" s="26" customFormat="1">
      <c r="A60" s="34">
        <f t="shared" si="29"/>
        <v>2027</v>
      </c>
      <c r="B60" s="34">
        <f t="shared" si="30"/>
        <v>1</v>
      </c>
      <c r="C60" s="18"/>
      <c r="D60" s="46">
        <v>112663950.631438</v>
      </c>
      <c r="E60" s="18"/>
      <c r="F60" s="38">
        <v>20478006.655798301</v>
      </c>
      <c r="G60" s="46">
        <v>1782854.20493001</v>
      </c>
      <c r="H60" s="46">
        <v>9808737.8084923103</v>
      </c>
      <c r="I60" s="46">
        <v>55139.8207710309</v>
      </c>
      <c r="J60" s="46">
        <v>303363.02500491502</v>
      </c>
      <c r="K60" s="18"/>
      <c r="L60" s="46">
        <v>2979733.79337348</v>
      </c>
      <c r="M60" s="38"/>
      <c r="N60" s="46">
        <v>915156.06124401803</v>
      </c>
      <c r="O60" s="18"/>
      <c r="P60" s="46">
        <v>20496771.453147098</v>
      </c>
      <c r="Q60" s="38"/>
      <c r="R60" s="46">
        <v>14870887.260350799</v>
      </c>
      <c r="S60" s="38"/>
      <c r="T60" s="46">
        <v>56860126.325030603</v>
      </c>
      <c r="U60" s="18"/>
      <c r="V60" s="46">
        <v>112008.37846802401</v>
      </c>
      <c r="W60" s="38"/>
      <c r="X60" s="46">
        <v>281332.75380009698</v>
      </c>
      <c r="Y60" s="18"/>
      <c r="Z60" s="18">
        <f t="shared" si="24"/>
        <v>-9390000.8715969771</v>
      </c>
      <c r="AA60" s="18"/>
      <c r="AB60" s="18">
        <f t="shared" si="25"/>
        <v>-76300595.759554505</v>
      </c>
      <c r="AC60" s="13"/>
      <c r="AD60" s="19"/>
      <c r="AE60" s="19"/>
      <c r="AF60" s="19">
        <f>BA58/100*AF25</f>
        <v>6274168385.1223602</v>
      </c>
      <c r="AG60" s="33">
        <f t="shared" si="33"/>
        <v>6.9384636133069813E-3</v>
      </c>
      <c r="AH60" s="33"/>
      <c r="AI60" s="33">
        <f t="shared" si="28"/>
        <v>-1.1824147419666073E-2</v>
      </c>
      <c r="AT60" s="34"/>
      <c r="AU60" s="34">
        <v>12165653</v>
      </c>
      <c r="AV60" s="34"/>
      <c r="AW60" s="34">
        <f t="shared" si="26"/>
        <v>1.3545752327972979E-3</v>
      </c>
      <c r="AX60" s="48">
        <v>6627.2107177897997</v>
      </c>
      <c r="AY60" s="28">
        <f t="shared" si="27"/>
        <v>1.8746028859581859E-3</v>
      </c>
      <c r="AZ60" s="34">
        <f t="shared" si="31"/>
        <v>100.00474090005569</v>
      </c>
      <c r="BA60" s="34">
        <f t="shared" si="32"/>
        <v>109.7486928817586</v>
      </c>
      <c r="BB60" s="34"/>
      <c r="BC60" s="33">
        <f t="shared" si="23"/>
        <v>1.0626922649152071E-2</v>
      </c>
    </row>
    <row r="61" spans="1:55" s="26" customFormat="1">
      <c r="A61" s="26">
        <f t="shared" si="29"/>
        <v>2027</v>
      </c>
      <c r="B61" s="26">
        <f t="shared" si="30"/>
        <v>2</v>
      </c>
      <c r="C61" s="19"/>
      <c r="D61" s="43">
        <v>113036306.46541101</v>
      </c>
      <c r="E61" s="19"/>
      <c r="F61" s="27">
        <v>20545686.736282699</v>
      </c>
      <c r="G61" s="43">
        <v>1874947.45085163</v>
      </c>
      <c r="H61" s="43">
        <v>10315407.6756527</v>
      </c>
      <c r="I61" s="43">
        <v>57988.065490256296</v>
      </c>
      <c r="J61" s="43">
        <v>319033.22708203999</v>
      </c>
      <c r="K61" s="19"/>
      <c r="L61" s="43">
        <v>2398919.8717085598</v>
      </c>
      <c r="M61" s="27"/>
      <c r="N61" s="43">
        <v>920228.76680209104</v>
      </c>
      <c r="O61" s="19"/>
      <c r="P61" s="43">
        <v>17510833.781845</v>
      </c>
      <c r="Q61" s="27"/>
      <c r="R61" s="43">
        <v>17418594.838199701</v>
      </c>
      <c r="S61" s="27"/>
      <c r="T61" s="43">
        <v>66601507.063082799</v>
      </c>
      <c r="U61" s="19"/>
      <c r="V61" s="43">
        <v>111556.97997184</v>
      </c>
      <c r="W61" s="27"/>
      <c r="X61" s="43">
        <v>280198.97091948002</v>
      </c>
      <c r="Y61" s="19"/>
      <c r="Z61" s="19">
        <f t="shared" si="24"/>
        <v>-6334683.5566218086</v>
      </c>
      <c r="AA61" s="19"/>
      <c r="AB61" s="19">
        <f t="shared" si="25"/>
        <v>-63945633.184173211</v>
      </c>
      <c r="AC61" s="13"/>
      <c r="AD61" s="19"/>
      <c r="AE61" s="19"/>
      <c r="AF61" s="19">
        <f>BA59/100*AF25</f>
        <v>6286966621.9220886</v>
      </c>
      <c r="AG61" s="33">
        <f t="shared" si="33"/>
        <v>2.0398299844926458E-3</v>
      </c>
      <c r="AH61" s="33">
        <f>(AF61-AF57)/AF57</f>
        <v>8.1656598748052044E-3</v>
      </c>
      <c r="AI61" s="33">
        <f t="shared" si="28"/>
        <v>-1.0164359646119324E-2</v>
      </c>
      <c r="AU61" s="26">
        <v>12131879</v>
      </c>
      <c r="AW61" s="26">
        <f t="shared" si="26"/>
        <v>-2.7761765028149333E-3</v>
      </c>
      <c r="AX61" s="45">
        <v>6623.8591868857902</v>
      </c>
      <c r="AY61" s="33">
        <f t="shared" si="27"/>
        <v>-5.0572270095664007E-4</v>
      </c>
      <c r="AZ61" s="26">
        <f t="shared" si="31"/>
        <v>99.954166232379251</v>
      </c>
      <c r="BA61" s="26">
        <f t="shared" si="32"/>
        <v>109.38866281844869</v>
      </c>
      <c r="BC61" s="33">
        <f t="shared" si="23"/>
        <v>9.0423385166513853E-3</v>
      </c>
    </row>
    <row r="62" spans="1:55" s="34" customFormat="1">
      <c r="A62" s="26">
        <f t="shared" si="29"/>
        <v>2027</v>
      </c>
      <c r="B62" s="26">
        <f t="shared" si="30"/>
        <v>3</v>
      </c>
      <c r="C62" s="19"/>
      <c r="D62" s="43">
        <v>113191306.510703</v>
      </c>
      <c r="E62" s="19"/>
      <c r="F62" s="27">
        <v>20573859.829284899</v>
      </c>
      <c r="G62" s="43">
        <v>2011915.22387687</v>
      </c>
      <c r="H62" s="43">
        <v>11068963.9508112</v>
      </c>
      <c r="I62" s="43">
        <v>62224.182181759301</v>
      </c>
      <c r="J62" s="43">
        <v>342339.09126220201</v>
      </c>
      <c r="K62" s="19"/>
      <c r="L62" s="43">
        <v>2387327.0501033701</v>
      </c>
      <c r="M62" s="27"/>
      <c r="N62" s="43">
        <v>923625.846334178</v>
      </c>
      <c r="O62" s="19"/>
      <c r="P62" s="43">
        <v>17469368.304710802</v>
      </c>
      <c r="Q62" s="27"/>
      <c r="R62" s="43">
        <v>14858005.068909099</v>
      </c>
      <c r="S62" s="27"/>
      <c r="T62" s="43">
        <v>56810870.149531797</v>
      </c>
      <c r="U62" s="19"/>
      <c r="V62" s="43">
        <v>114600.464328175</v>
      </c>
      <c r="W62" s="27"/>
      <c r="X62" s="43">
        <v>287843.32616170601</v>
      </c>
      <c r="Y62" s="19"/>
      <c r="Z62" s="19">
        <f t="shared" si="24"/>
        <v>-8912207.1924851723</v>
      </c>
      <c r="AA62" s="19"/>
      <c r="AB62" s="19">
        <f t="shared" si="25"/>
        <v>-73849804.665882006</v>
      </c>
      <c r="AC62" s="13"/>
      <c r="AD62" s="18"/>
      <c r="AE62" s="18"/>
      <c r="AF62" s="18">
        <f>BA60/100*AF25</f>
        <v>6307284321.4064465</v>
      </c>
      <c r="AG62" s="28">
        <f t="shared" si="33"/>
        <v>3.231717409396105E-3</v>
      </c>
      <c r="AH62" s="28"/>
      <c r="AI62" s="28">
        <f t="shared" si="28"/>
        <v>-1.2097218370289103E-2</v>
      </c>
      <c r="AT62" s="26"/>
      <c r="AU62" s="26">
        <v>12209227</v>
      </c>
      <c r="AV62" s="26"/>
      <c r="AW62" s="26">
        <f t="shared" si="26"/>
        <v>6.3755993609893409E-3</v>
      </c>
      <c r="AX62" s="45">
        <v>6602.03495846028</v>
      </c>
      <c r="AY62" s="33">
        <f t="shared" si="27"/>
        <v>-3.294790515583242E-3</v>
      </c>
      <c r="AZ62" s="26">
        <f t="shared" si="31"/>
        <v>99.624838193483782</v>
      </c>
      <c r="BA62" s="26">
        <f t="shared" si="32"/>
        <v>109.72337053128371</v>
      </c>
      <c r="BB62" s="26"/>
      <c r="BC62" s="28">
        <f t="shared" si="23"/>
        <v>1.0599185283250424E-2</v>
      </c>
    </row>
    <row r="63" spans="1:55" s="26" customFormat="1">
      <c r="A63" s="26">
        <f t="shared" si="29"/>
        <v>2027</v>
      </c>
      <c r="B63" s="26">
        <f t="shared" si="30"/>
        <v>4</v>
      </c>
      <c r="C63" s="19"/>
      <c r="D63" s="43">
        <v>113106646.763642</v>
      </c>
      <c r="E63" s="19"/>
      <c r="F63" s="27">
        <v>20558471.918120101</v>
      </c>
      <c r="G63" s="43">
        <v>2104226.6521442002</v>
      </c>
      <c r="H63" s="43">
        <v>11576834.192863399</v>
      </c>
      <c r="I63" s="43">
        <v>65079.174808583201</v>
      </c>
      <c r="J63" s="43">
        <v>358046.41833597998</v>
      </c>
      <c r="K63" s="19"/>
      <c r="L63" s="43">
        <v>2361918.2664188901</v>
      </c>
      <c r="M63" s="27"/>
      <c r="N63" s="43">
        <v>924939.18021063099</v>
      </c>
      <c r="O63" s="19"/>
      <c r="P63" s="43">
        <v>17344747.580875799</v>
      </c>
      <c r="Q63" s="27"/>
      <c r="R63" s="43">
        <v>17599648.152490899</v>
      </c>
      <c r="S63" s="27"/>
      <c r="T63" s="43">
        <v>67293780.102473795</v>
      </c>
      <c r="U63" s="19"/>
      <c r="V63" s="43">
        <v>114611.59383999</v>
      </c>
      <c r="W63" s="27"/>
      <c r="X63" s="43">
        <v>287871.28028665797</v>
      </c>
      <c r="Y63" s="19"/>
      <c r="Z63" s="19">
        <f t="shared" si="24"/>
        <v>-6131069.6184187308</v>
      </c>
      <c r="AA63" s="19"/>
      <c r="AB63" s="19">
        <f t="shared" si="25"/>
        <v>-63157614.242044002</v>
      </c>
      <c r="AC63" s="13"/>
      <c r="AD63" s="19"/>
      <c r="AE63" s="19"/>
      <c r="AF63" s="19">
        <f>BA61/100*AF25</f>
        <v>6286593305.2865915</v>
      </c>
      <c r="AG63" s="33">
        <f t="shared" si="33"/>
        <v>-3.2804952282920212E-3</v>
      </c>
      <c r="AH63" s="33"/>
      <c r="AI63" s="33">
        <f t="shared" si="28"/>
        <v>-1.0171746457719691E-2</v>
      </c>
      <c r="AU63" s="26">
        <v>12251395</v>
      </c>
      <c r="AW63" s="26">
        <f t="shared" si="26"/>
        <v>3.4537813081860136E-3</v>
      </c>
      <c r="AX63" s="45">
        <v>6610.9189622856102</v>
      </c>
      <c r="AY63" s="33">
        <f t="shared" si="27"/>
        <v>1.345646286520437E-3</v>
      </c>
      <c r="AZ63" s="26">
        <f t="shared" si="31"/>
        <v>99.758897987044051</v>
      </c>
      <c r="BA63" s="26">
        <f t="shared" si="32"/>
        <v>110.25048985042059</v>
      </c>
      <c r="BC63" s="33">
        <f t="shared" si="23"/>
        <v>8.9664917860221953E-3</v>
      </c>
    </row>
    <row r="64" spans="1:55" s="26" customFormat="1">
      <c r="A64" s="34">
        <f t="shared" si="29"/>
        <v>2028</v>
      </c>
      <c r="B64" s="34">
        <f t="shared" si="30"/>
        <v>1</v>
      </c>
      <c r="C64" s="18"/>
      <c r="D64" s="46">
        <v>113151965.629153</v>
      </c>
      <c r="E64" s="18"/>
      <c r="F64" s="38">
        <v>20566709.158376399</v>
      </c>
      <c r="G64" s="46">
        <v>2214091.6112250802</v>
      </c>
      <c r="H64" s="46">
        <v>12181278.7823229</v>
      </c>
      <c r="I64" s="46">
        <v>68477.060140981295</v>
      </c>
      <c r="J64" s="46">
        <v>376740.58089658199</v>
      </c>
      <c r="K64" s="18"/>
      <c r="L64" s="46">
        <v>2915838.4572971701</v>
      </c>
      <c r="M64" s="38"/>
      <c r="N64" s="46">
        <v>927875.11198069202</v>
      </c>
      <c r="O64" s="18"/>
      <c r="P64" s="46">
        <v>20235194.714927901</v>
      </c>
      <c r="Q64" s="38"/>
      <c r="R64" s="46">
        <v>15028930.6769216</v>
      </c>
      <c r="S64" s="38"/>
      <c r="T64" s="46">
        <v>57464419.026180603</v>
      </c>
      <c r="U64" s="18"/>
      <c r="V64" s="46">
        <v>109157.509553475</v>
      </c>
      <c r="W64" s="38"/>
      <c r="X64" s="46">
        <v>274172.19301506499</v>
      </c>
      <c r="Y64" s="18"/>
      <c r="Z64" s="18">
        <f t="shared" si="24"/>
        <v>-9272334.5411791857</v>
      </c>
      <c r="AA64" s="18"/>
      <c r="AB64" s="18">
        <f t="shared" si="25"/>
        <v>-75922741.3179003</v>
      </c>
      <c r="AC64" s="13"/>
      <c r="AD64" s="19"/>
      <c r="AE64" s="19"/>
      <c r="AF64" s="19">
        <f>BA62/100*AF25</f>
        <v>6305829039.708436</v>
      </c>
      <c r="AG64" s="33">
        <f t="shared" si="33"/>
        <v>3.0598025811004121E-3</v>
      </c>
      <c r="AH64" s="33"/>
      <c r="AI64" s="33">
        <f t="shared" si="28"/>
        <v>-1.171135535087336E-2</v>
      </c>
      <c r="AT64" s="34"/>
      <c r="AU64" s="34">
        <v>12245202</v>
      </c>
      <c r="AV64" s="34"/>
      <c r="AW64" s="34">
        <f t="shared" si="26"/>
        <v>-5.0549345605133134E-4</v>
      </c>
      <c r="AX64" s="48">
        <v>6625.4349161062801</v>
      </c>
      <c r="AY64" s="28">
        <f t="shared" si="27"/>
        <v>2.1957543124460346E-3</v>
      </c>
      <c r="AZ64" s="34">
        <f t="shared" si="31"/>
        <v>99.977944017503958</v>
      </c>
      <c r="BA64" s="34">
        <f t="shared" si="32"/>
        <v>110.43671956644657</v>
      </c>
      <c r="BB64" s="34"/>
      <c r="BC64" s="33">
        <f t="shared" si="23"/>
        <v>1.0533444997991047E-2</v>
      </c>
    </row>
    <row r="65" spans="1:55" s="26" customFormat="1">
      <c r="A65" s="26">
        <f t="shared" si="29"/>
        <v>2028</v>
      </c>
      <c r="B65" s="26">
        <f t="shared" si="30"/>
        <v>2</v>
      </c>
      <c r="C65" s="19"/>
      <c r="D65" s="43">
        <v>113552101.786652</v>
      </c>
      <c r="E65" s="19"/>
      <c r="F65" s="27">
        <v>20639438.641503599</v>
      </c>
      <c r="G65" s="43">
        <v>2272123.0411757999</v>
      </c>
      <c r="H65" s="43">
        <v>12500550.587871799</v>
      </c>
      <c r="I65" s="43">
        <v>70271.846634303205</v>
      </c>
      <c r="J65" s="43">
        <v>386614.96663521201</v>
      </c>
      <c r="K65" s="19"/>
      <c r="L65" s="43">
        <v>2383061.23465162</v>
      </c>
      <c r="M65" s="27"/>
      <c r="N65" s="43">
        <v>933441.78327307105</v>
      </c>
      <c r="O65" s="19"/>
      <c r="P65" s="43">
        <v>17501237.356920902</v>
      </c>
      <c r="Q65" s="27"/>
      <c r="R65" s="43">
        <v>17661216.710643701</v>
      </c>
      <c r="S65" s="27"/>
      <c r="T65" s="43">
        <v>67529192.820822701</v>
      </c>
      <c r="U65" s="19"/>
      <c r="V65" s="43">
        <v>111985.079153806</v>
      </c>
      <c r="W65" s="27"/>
      <c r="X65" s="43">
        <v>281274.23264016001</v>
      </c>
      <c r="Y65" s="19"/>
      <c r="Z65" s="19">
        <f t="shared" si="24"/>
        <v>-6182739.8696307819</v>
      </c>
      <c r="AA65" s="19"/>
      <c r="AB65" s="19">
        <f t="shared" si="25"/>
        <v>-63524146.322750196</v>
      </c>
      <c r="AC65" s="13"/>
      <c r="AD65" s="19"/>
      <c r="AE65" s="19"/>
      <c r="AF65" s="19">
        <f>BA63/100*AF25</f>
        <v>6336122716.3783207</v>
      </c>
      <c r="AG65" s="33">
        <f t="shared" si="33"/>
        <v>4.8040751626982547E-3</v>
      </c>
      <c r="AH65" s="33">
        <f>(AF65-AF61)/AF61</f>
        <v>7.818729987340664E-3</v>
      </c>
      <c r="AI65" s="33">
        <f t="shared" si="28"/>
        <v>-9.9678647445995815E-3</v>
      </c>
      <c r="AU65" s="26">
        <v>12293383</v>
      </c>
      <c r="AW65" s="26">
        <f t="shared" si="26"/>
        <v>3.9346839684637298E-3</v>
      </c>
      <c r="AX65" s="45">
        <v>6607.4886034457004</v>
      </c>
      <c r="AY65" s="33">
        <f t="shared" si="27"/>
        <v>-2.7086995627943768E-3</v>
      </c>
      <c r="AZ65" s="26">
        <f t="shared" si="31"/>
        <v>99.707133804254667</v>
      </c>
      <c r="BA65" s="26">
        <f t="shared" si="32"/>
        <v>110.57093624150305</v>
      </c>
      <c r="BC65" s="33">
        <f t="shared" si="23"/>
        <v>8.9869189712752495E-3</v>
      </c>
    </row>
    <row r="66" spans="1:55" s="34" customFormat="1">
      <c r="A66" s="26">
        <f t="shared" si="29"/>
        <v>2028</v>
      </c>
      <c r="B66" s="26">
        <f t="shared" si="30"/>
        <v>3</v>
      </c>
      <c r="C66" s="19"/>
      <c r="D66" s="43">
        <v>113796652.82993799</v>
      </c>
      <c r="E66" s="19"/>
      <c r="F66" s="27">
        <v>20683888.688426401</v>
      </c>
      <c r="G66" s="43">
        <v>2364142.7139808401</v>
      </c>
      <c r="H66" s="43">
        <v>13006815.6774524</v>
      </c>
      <c r="I66" s="43">
        <v>73117.815896315005</v>
      </c>
      <c r="J66" s="43">
        <v>402272.64981811598</v>
      </c>
      <c r="K66" s="19"/>
      <c r="L66" s="43">
        <v>2357855.4347609198</v>
      </c>
      <c r="M66" s="27"/>
      <c r="N66" s="43">
        <v>937561.19671249005</v>
      </c>
      <c r="O66" s="19"/>
      <c r="P66" s="43">
        <v>17393108.138785001</v>
      </c>
      <c r="Q66" s="27"/>
      <c r="R66" s="43">
        <v>15165084.1267973</v>
      </c>
      <c r="S66" s="27"/>
      <c r="T66" s="43">
        <v>57985013.542431302</v>
      </c>
      <c r="U66" s="19"/>
      <c r="V66" s="43">
        <v>112334.093499318</v>
      </c>
      <c r="W66" s="27"/>
      <c r="X66" s="43">
        <v>282150.856052458</v>
      </c>
      <c r="Y66" s="19"/>
      <c r="Z66" s="19">
        <f t="shared" si="24"/>
        <v>-8701887.0996031947</v>
      </c>
      <c r="AA66" s="19"/>
      <c r="AB66" s="19">
        <f t="shared" si="25"/>
        <v>-73204747.426291689</v>
      </c>
      <c r="AC66" s="13"/>
      <c r="AD66" s="18"/>
      <c r="AE66" s="18"/>
      <c r="AF66" s="18">
        <f>BA64/100*AF25</f>
        <v>6346825383.8746529</v>
      </c>
      <c r="AG66" s="28">
        <f t="shared" si="33"/>
        <v>1.6891509169585232E-3</v>
      </c>
      <c r="AH66" s="28"/>
      <c r="AI66" s="28">
        <f t="shared" si="28"/>
        <v>-1.1962317651088499E-2</v>
      </c>
      <c r="AT66" s="26"/>
      <c r="AU66" s="26">
        <v>12428593</v>
      </c>
      <c r="AV66" s="26"/>
      <c r="AW66" s="26">
        <f t="shared" si="26"/>
        <v>1.0998599815852154E-2</v>
      </c>
      <c r="AX66" s="45">
        <v>6595.3345597913303</v>
      </c>
      <c r="AY66" s="33">
        <f t="shared" si="27"/>
        <v>-1.8394346753821005E-3</v>
      </c>
      <c r="AZ66" s="26">
        <f t="shared" si="31"/>
        <v>99.523729044952162</v>
      </c>
      <c r="BA66" s="26">
        <f t="shared" si="32"/>
        <v>111.58143672289971</v>
      </c>
      <c r="BB66" s="26"/>
      <c r="BC66" s="28">
        <f t="shared" si="23"/>
        <v>1.0532004786758014E-2</v>
      </c>
    </row>
    <row r="67" spans="1:55" s="26" customFormat="1">
      <c r="A67" s="26">
        <f t="shared" si="29"/>
        <v>2028</v>
      </c>
      <c r="B67" s="26">
        <f t="shared" si="30"/>
        <v>4</v>
      </c>
      <c r="C67" s="19"/>
      <c r="D67" s="43">
        <v>114226806.59898099</v>
      </c>
      <c r="E67" s="19"/>
      <c r="F67" s="27">
        <v>20762074.227777101</v>
      </c>
      <c r="G67" s="43">
        <v>2449284.56888799</v>
      </c>
      <c r="H67" s="43">
        <v>13475241.042243</v>
      </c>
      <c r="I67" s="43">
        <v>75751.069140865497</v>
      </c>
      <c r="J67" s="43">
        <v>416760.03223431902</v>
      </c>
      <c r="K67" s="19"/>
      <c r="L67" s="43">
        <v>2279278.6339966902</v>
      </c>
      <c r="M67" s="27"/>
      <c r="N67" s="43">
        <v>943567.00789498899</v>
      </c>
      <c r="O67" s="19"/>
      <c r="P67" s="43">
        <v>17018414.9472064</v>
      </c>
      <c r="Q67" s="27"/>
      <c r="R67" s="43">
        <v>17733290.960539401</v>
      </c>
      <c r="S67" s="27"/>
      <c r="T67" s="43">
        <v>67804774.962096393</v>
      </c>
      <c r="U67" s="19"/>
      <c r="V67" s="43">
        <v>109176.046718485</v>
      </c>
      <c r="W67" s="27"/>
      <c r="X67" s="43">
        <v>274218.753029157</v>
      </c>
      <c r="Y67" s="19"/>
      <c r="Z67" s="19">
        <f t="shared" si="24"/>
        <v>-6142452.8624108937</v>
      </c>
      <c r="AA67" s="19"/>
      <c r="AB67" s="19">
        <f t="shared" si="25"/>
        <v>-63440446.584091</v>
      </c>
      <c r="AC67" s="13"/>
      <c r="AD67" s="19"/>
      <c r="AE67" s="19"/>
      <c r="AF67" s="19">
        <f>BA65/100*AF25</f>
        <v>6354538849.1381273</v>
      </c>
      <c r="AG67" s="33">
        <f t="shared" si="33"/>
        <v>1.2153265289245275E-3</v>
      </c>
      <c r="AH67" s="33"/>
      <c r="AI67" s="33">
        <f t="shared" si="28"/>
        <v>-9.996657165982397E-3</v>
      </c>
      <c r="AU67" s="26">
        <v>12401648</v>
      </c>
      <c r="AW67" s="26">
        <f t="shared" si="26"/>
        <v>-2.1679847429230325E-3</v>
      </c>
      <c r="AX67" s="45">
        <v>6593.7456464348497</v>
      </c>
      <c r="AY67" s="33">
        <f t="shared" si="27"/>
        <v>-2.4091474694361227E-4</v>
      </c>
      <c r="AZ67" s="26">
        <f t="shared" si="31"/>
        <v>99.499752310954406</v>
      </c>
      <c r="BA67" s="26">
        <f t="shared" si="32"/>
        <v>111.31270653582746</v>
      </c>
      <c r="BC67" s="33">
        <f t="shared" si="23"/>
        <v>8.9882922225570094E-3</v>
      </c>
    </row>
    <row r="68" spans="1:55" s="26" customFormat="1">
      <c r="A68" s="34">
        <f t="shared" si="29"/>
        <v>2029</v>
      </c>
      <c r="B68" s="34">
        <f t="shared" si="30"/>
        <v>1</v>
      </c>
      <c r="C68" s="18"/>
      <c r="D68" s="46">
        <v>114165786.53713401</v>
      </c>
      <c r="E68" s="18"/>
      <c r="F68" s="38">
        <v>20750983.109228101</v>
      </c>
      <c r="G68" s="46">
        <v>2508411.9845753</v>
      </c>
      <c r="H68" s="46">
        <v>13800542.6379466</v>
      </c>
      <c r="I68" s="46">
        <v>77579.752100267404</v>
      </c>
      <c r="J68" s="46">
        <v>426820.90632824798</v>
      </c>
      <c r="K68" s="18"/>
      <c r="L68" s="46">
        <v>2806488.5003367299</v>
      </c>
      <c r="M68" s="38"/>
      <c r="N68" s="46">
        <v>944997.36102532595</v>
      </c>
      <c r="O68" s="18"/>
      <c r="P68" s="46">
        <v>19761978.830795798</v>
      </c>
      <c r="Q68" s="38"/>
      <c r="R68" s="46">
        <v>14981602.335891301</v>
      </c>
      <c r="S68" s="38"/>
      <c r="T68" s="46">
        <v>57283455.0122234</v>
      </c>
      <c r="U68" s="18"/>
      <c r="V68" s="46">
        <v>115833.163170495</v>
      </c>
      <c r="W68" s="38"/>
      <c r="X68" s="46">
        <v>290939.510256676</v>
      </c>
      <c r="Y68" s="18"/>
      <c r="Z68" s="18">
        <f t="shared" si="24"/>
        <v>-9405033.4715283625</v>
      </c>
      <c r="AA68" s="18"/>
      <c r="AB68" s="18">
        <f t="shared" si="25"/>
        <v>-76644310.355706409</v>
      </c>
      <c r="AC68" s="13"/>
      <c r="AD68" s="19"/>
      <c r="AE68" s="19"/>
      <c r="AF68" s="19">
        <f>BA66/100*AF25</f>
        <v>6412612559.8651743</v>
      </c>
      <c r="AG68" s="33">
        <f t="shared" si="33"/>
        <v>9.1389339345881188E-3</v>
      </c>
      <c r="AH68" s="33"/>
      <c r="AI68" s="33">
        <f t="shared" si="28"/>
        <v>-1.1415744634949663E-2</v>
      </c>
      <c r="AT68" s="34"/>
      <c r="AU68" s="34">
        <v>12376175</v>
      </c>
      <c r="AV68" s="34"/>
      <c r="AW68" s="34">
        <f t="shared" si="26"/>
        <v>-2.0540012101617463E-3</v>
      </c>
      <c r="AX68" s="48">
        <v>6598.4815005925202</v>
      </c>
      <c r="AY68" s="28">
        <f t="shared" si="27"/>
        <v>7.1823428012135818E-4</v>
      </c>
      <c r="AZ68" s="34">
        <f t="shared" si="31"/>
        <v>99.57121644392771</v>
      </c>
      <c r="BA68" s="34">
        <f t="shared" si="32"/>
        <v>111.16385448901907</v>
      </c>
      <c r="BB68" s="34"/>
      <c r="BC68" s="33">
        <f t="shared" si="23"/>
        <v>1.0607002622927566E-2</v>
      </c>
    </row>
    <row r="69" spans="1:55" s="26" customFormat="1">
      <c r="A69" s="26">
        <f t="shared" si="29"/>
        <v>2029</v>
      </c>
      <c r="B69" s="26">
        <f t="shared" si="30"/>
        <v>2</v>
      </c>
      <c r="C69" s="19"/>
      <c r="D69" s="43">
        <v>114243457.057567</v>
      </c>
      <c r="E69" s="19"/>
      <c r="F69" s="27">
        <v>20765100.645720199</v>
      </c>
      <c r="G69" s="43">
        <v>2584709.8434691499</v>
      </c>
      <c r="H69" s="43">
        <v>14220310.9460728</v>
      </c>
      <c r="I69" s="43">
        <v>79939.479694921494</v>
      </c>
      <c r="J69" s="43">
        <v>439803.43132183503</v>
      </c>
      <c r="K69" s="19"/>
      <c r="L69" s="43">
        <v>2320747.3006622498</v>
      </c>
      <c r="M69" s="27"/>
      <c r="N69" s="43">
        <v>948088.74454538198</v>
      </c>
      <c r="O69" s="19"/>
      <c r="P69" s="43">
        <v>17258473.316590101</v>
      </c>
      <c r="Q69" s="27"/>
      <c r="R69" s="43">
        <v>17545419.8174752</v>
      </c>
      <c r="S69" s="27"/>
      <c r="T69" s="43">
        <v>67086433.3634791</v>
      </c>
      <c r="U69" s="19"/>
      <c r="V69" s="43">
        <v>112980.79747674899</v>
      </c>
      <c r="W69" s="27"/>
      <c r="X69" s="43">
        <v>283775.189993835</v>
      </c>
      <c r="Y69" s="19"/>
      <c r="Z69" s="19">
        <f t="shared" si="24"/>
        <v>-6375536.07597588</v>
      </c>
      <c r="AA69" s="19"/>
      <c r="AB69" s="19">
        <f t="shared" si="25"/>
        <v>-64415497.010678001</v>
      </c>
      <c r="AC69" s="13"/>
      <c r="AD69" s="19"/>
      <c r="AE69" s="19"/>
      <c r="AF69" s="19">
        <f>BA67/100*AF25</f>
        <v>6397168570.0453091</v>
      </c>
      <c r="AG69" s="33">
        <f t="shared" si="33"/>
        <v>-2.4083771903708989E-3</v>
      </c>
      <c r="AH69" s="33">
        <f>(AF69-AF65)/AF65</f>
        <v>9.6345756544755998E-3</v>
      </c>
      <c r="AI69" s="33">
        <f t="shared" si="28"/>
        <v>-9.916957149003449E-3</v>
      </c>
      <c r="AU69" s="26">
        <v>12358805</v>
      </c>
      <c r="AW69" s="26">
        <f t="shared" si="26"/>
        <v>-1.4035031017256947E-3</v>
      </c>
      <c r="AX69" s="45">
        <v>6587.3628678375198</v>
      </c>
      <c r="AY69" s="33">
        <f t="shared" si="27"/>
        <v>-1.6850290106901033E-3</v>
      </c>
      <c r="AZ69" s="26">
        <f t="shared" si="31"/>
        <v>99.403436055589992</v>
      </c>
      <c r="BA69" s="26">
        <f t="shared" si="32"/>
        <v>110.82078425091859</v>
      </c>
      <c r="BC69" s="33">
        <f t="shared" si="23"/>
        <v>8.9597329837419661E-3</v>
      </c>
    </row>
    <row r="70" spans="1:55" s="34" customFormat="1">
      <c r="A70" s="26">
        <f t="shared" si="29"/>
        <v>2029</v>
      </c>
      <c r="B70" s="26">
        <f t="shared" si="30"/>
        <v>3</v>
      </c>
      <c r="C70" s="19"/>
      <c r="D70" s="43">
        <v>114135566.828904</v>
      </c>
      <c r="E70" s="19"/>
      <c r="F70" s="27">
        <v>20745490.3195397</v>
      </c>
      <c r="G70" s="43">
        <v>2699359.5921315202</v>
      </c>
      <c r="H70" s="43">
        <v>14851080.036068499</v>
      </c>
      <c r="I70" s="43">
        <v>83485.348210253302</v>
      </c>
      <c r="J70" s="43">
        <v>459311.75369283999</v>
      </c>
      <c r="K70" s="19"/>
      <c r="L70" s="43">
        <v>2249663.5330434698</v>
      </c>
      <c r="M70" s="27"/>
      <c r="N70" s="43">
        <v>949690.981215343</v>
      </c>
      <c r="O70" s="19"/>
      <c r="P70" s="43">
        <v>16898434.341920201</v>
      </c>
      <c r="Q70" s="27"/>
      <c r="R70" s="43">
        <v>15046442.2393998</v>
      </c>
      <c r="S70" s="27"/>
      <c r="T70" s="43">
        <v>57531376.003072903</v>
      </c>
      <c r="U70" s="19"/>
      <c r="V70" s="43">
        <v>114772.557145741</v>
      </c>
      <c r="W70" s="27"/>
      <c r="X70" s="43">
        <v>288275.57370369602</v>
      </c>
      <c r="Y70" s="19"/>
      <c r="Z70" s="19">
        <f t="shared" si="24"/>
        <v>-8783630.0372529719</v>
      </c>
      <c r="AA70" s="19"/>
      <c r="AB70" s="19">
        <f t="shared" si="25"/>
        <v>-73502625.167751297</v>
      </c>
      <c r="AC70" s="13"/>
      <c r="AD70" s="18"/>
      <c r="AE70" s="18"/>
      <c r="AF70" s="18">
        <f>BA68/100*AF25</f>
        <v>6388614006.3745108</v>
      </c>
      <c r="AG70" s="28">
        <f t="shared" si="33"/>
        <v>-1.3372421841211092E-3</v>
      </c>
      <c r="AH70" s="28"/>
      <c r="AI70" s="28">
        <f t="shared" si="28"/>
        <v>-1.1997016924051335E-2</v>
      </c>
      <c r="AT70" s="26"/>
      <c r="AU70" s="26">
        <v>12385010</v>
      </c>
      <c r="AV70" s="26"/>
      <c r="AW70" s="26">
        <f t="shared" si="26"/>
        <v>2.1203506326056606E-3</v>
      </c>
      <c r="AX70" s="45">
        <v>6607.2595851698798</v>
      </c>
      <c r="AY70" s="33">
        <f t="shared" si="27"/>
        <v>3.0204374241329063E-3</v>
      </c>
      <c r="AZ70" s="26">
        <f t="shared" si="31"/>
        <v>99.7036779139397</v>
      </c>
      <c r="BA70" s="26">
        <f t="shared" si="32"/>
        <v>111.39120015415796</v>
      </c>
      <c r="BB70" s="26"/>
      <c r="BC70" s="28">
        <f t="shared" si="23"/>
        <v>1.0527990975744262E-2</v>
      </c>
    </row>
    <row r="71" spans="1:55" s="26" customFormat="1">
      <c r="A71" s="26">
        <f t="shared" si="29"/>
        <v>2029</v>
      </c>
      <c r="B71" s="26">
        <f t="shared" si="30"/>
        <v>4</v>
      </c>
      <c r="C71" s="19"/>
      <c r="D71" s="43">
        <v>114210917.12237599</v>
      </c>
      <c r="E71" s="19"/>
      <c r="F71" s="27">
        <v>20759186.127316698</v>
      </c>
      <c r="G71" s="43">
        <v>2804574.2228439599</v>
      </c>
      <c r="H71" s="43">
        <v>15429939.8909135</v>
      </c>
      <c r="I71" s="43">
        <v>86739.4089539368</v>
      </c>
      <c r="J71" s="43">
        <v>477214.63580144901</v>
      </c>
      <c r="K71" s="19"/>
      <c r="L71" s="43">
        <v>2242025.2885891199</v>
      </c>
      <c r="M71" s="27"/>
      <c r="N71" s="43">
        <v>952543.51363418601</v>
      </c>
      <c r="O71" s="19"/>
      <c r="P71" s="43">
        <v>16874493.246871199</v>
      </c>
      <c r="Q71" s="27"/>
      <c r="R71" s="43">
        <v>17683084.462464701</v>
      </c>
      <c r="S71" s="27"/>
      <c r="T71" s="43">
        <v>67612806.065225497</v>
      </c>
      <c r="U71" s="19"/>
      <c r="V71" s="43">
        <v>114123.171358236</v>
      </c>
      <c r="W71" s="27"/>
      <c r="X71" s="43">
        <v>286644.50382860098</v>
      </c>
      <c r="Y71" s="19"/>
      <c r="Z71" s="19">
        <f t="shared" si="24"/>
        <v>-6156547.295717068</v>
      </c>
      <c r="AA71" s="19"/>
      <c r="AB71" s="19">
        <f t="shared" si="25"/>
        <v>-63472604.304021701</v>
      </c>
      <c r="AC71" s="13"/>
      <c r="AD71" s="19"/>
      <c r="AE71" s="19"/>
      <c r="AF71" s="19">
        <f>BA69/100*AF25</f>
        <v>6368897675.5727987</v>
      </c>
      <c r="AG71" s="33">
        <f t="shared" si="33"/>
        <v>-3.0861671689726804E-3</v>
      </c>
      <c r="AH71" s="33"/>
      <c r="AI71" s="33">
        <f t="shared" si="28"/>
        <v>-1.0114073155506408E-2</v>
      </c>
      <c r="AU71" s="26">
        <v>12426545</v>
      </c>
      <c r="AW71" s="26">
        <f t="shared" si="26"/>
        <v>3.3536509054090387E-3</v>
      </c>
      <c r="AX71" s="45">
        <v>6603.7604594879504</v>
      </c>
      <c r="AY71" s="33">
        <f t="shared" si="27"/>
        <v>-5.2958804430557776E-4</v>
      </c>
      <c r="AZ71" s="26">
        <f t="shared" si="31"/>
        <v>99.650876038143181</v>
      </c>
      <c r="BA71" s="26">
        <f t="shared" si="32"/>
        <v>111.70557806884459</v>
      </c>
      <c r="BC71" s="33">
        <f t="shared" si="23"/>
        <v>8.9854807289815927E-3</v>
      </c>
    </row>
    <row r="72" spans="1:55" s="26" customFormat="1">
      <c r="A72" s="34">
        <f t="shared" si="29"/>
        <v>2030</v>
      </c>
      <c r="B72" s="34">
        <f t="shared" si="30"/>
        <v>1</v>
      </c>
      <c r="C72" s="18"/>
      <c r="D72" s="46">
        <v>113926245.291576</v>
      </c>
      <c r="E72" s="18"/>
      <c r="F72" s="38">
        <v>20707443.652344301</v>
      </c>
      <c r="G72" s="46">
        <v>2875245.0068217102</v>
      </c>
      <c r="H72" s="46">
        <v>15818749.693106901</v>
      </c>
      <c r="I72" s="46">
        <v>88925.103303764903</v>
      </c>
      <c r="J72" s="46">
        <v>489239.68123011303</v>
      </c>
      <c r="K72" s="18"/>
      <c r="L72" s="46">
        <v>2760764.1074328702</v>
      </c>
      <c r="M72" s="38"/>
      <c r="N72" s="46">
        <v>951669.05750140594</v>
      </c>
      <c r="O72" s="18"/>
      <c r="P72" s="46">
        <v>19561420.4441958</v>
      </c>
      <c r="Q72" s="38"/>
      <c r="R72" s="46">
        <v>15136166.4261749</v>
      </c>
      <c r="S72" s="38"/>
      <c r="T72" s="46">
        <v>57874444.207755499</v>
      </c>
      <c r="U72" s="18"/>
      <c r="V72" s="46">
        <v>111189.416117247</v>
      </c>
      <c r="W72" s="38"/>
      <c r="X72" s="46">
        <v>279275.756488343</v>
      </c>
      <c r="Y72" s="18"/>
      <c r="Z72" s="18">
        <f t="shared" si="24"/>
        <v>-9172520.9749864303</v>
      </c>
      <c r="AA72" s="18"/>
      <c r="AB72" s="18">
        <f t="shared" si="25"/>
        <v>-75613221.528016299</v>
      </c>
      <c r="AC72" s="13"/>
      <c r="AD72" s="19"/>
      <c r="AE72" s="19"/>
      <c r="AF72" s="19">
        <f>BA70/100*AF25</f>
        <v>6401679617.5596495</v>
      </c>
      <c r="AG72" s="33">
        <f t="shared" si="33"/>
        <v>5.1471924431416511E-3</v>
      </c>
      <c r="AH72" s="33"/>
      <c r="AI72" s="33">
        <f t="shared" si="28"/>
        <v>-1.1481771903444748E-2</v>
      </c>
      <c r="AT72" s="34"/>
      <c r="AU72" s="34">
        <v>12437126</v>
      </c>
      <c r="AV72" s="34"/>
      <c r="AW72" s="34">
        <f t="shared" si="26"/>
        <v>8.5148365857122793E-4</v>
      </c>
      <c r="AX72" s="48">
        <v>6617.7965487583497</v>
      </c>
      <c r="AY72" s="28">
        <f t="shared" si="27"/>
        <v>2.1254691711648883E-3</v>
      </c>
      <c r="AZ72" s="34">
        <f t="shared" si="31"/>
        <v>99.862680903041834</v>
      </c>
      <c r="BA72" s="34">
        <f t="shared" si="32"/>
        <v>112.03832247058226</v>
      </c>
      <c r="BB72" s="34"/>
      <c r="BC72" s="33">
        <f t="shared" si="23"/>
        <v>1.0551711255459246E-2</v>
      </c>
    </row>
    <row r="73" spans="1:55" s="26" customFormat="1">
      <c r="A73" s="26">
        <f t="shared" si="29"/>
        <v>2030</v>
      </c>
      <c r="B73" s="26">
        <f t="shared" si="30"/>
        <v>2</v>
      </c>
      <c r="C73" s="19"/>
      <c r="D73" s="43">
        <v>114484644.84349</v>
      </c>
      <c r="E73" s="19"/>
      <c r="F73" s="27">
        <v>20808939.380805802</v>
      </c>
      <c r="G73" s="43">
        <v>2954445.1983143101</v>
      </c>
      <c r="H73" s="43">
        <v>16254485.778864801</v>
      </c>
      <c r="I73" s="43">
        <v>91374.5937622981</v>
      </c>
      <c r="J73" s="43">
        <v>502716.05501643597</v>
      </c>
      <c r="K73" s="19"/>
      <c r="L73" s="43">
        <v>2245376.1384602999</v>
      </c>
      <c r="M73" s="27"/>
      <c r="N73" s="43">
        <v>958798.30722524598</v>
      </c>
      <c r="O73" s="19"/>
      <c r="P73" s="43">
        <v>16926292.851657599</v>
      </c>
      <c r="Q73" s="27"/>
      <c r="R73" s="43">
        <v>17853392.938166499</v>
      </c>
      <c r="S73" s="27"/>
      <c r="T73" s="43">
        <v>68263995.282996505</v>
      </c>
      <c r="U73" s="19"/>
      <c r="V73" s="43">
        <v>111464.753781933</v>
      </c>
      <c r="W73" s="27"/>
      <c r="X73" s="43">
        <v>279967.32531998202</v>
      </c>
      <c r="Y73" s="19"/>
      <c r="Z73" s="19">
        <f t="shared" si="24"/>
        <v>-6048256.134542916</v>
      </c>
      <c r="AA73" s="19"/>
      <c r="AB73" s="19">
        <f t="shared" si="25"/>
        <v>-63146942.412151098</v>
      </c>
      <c r="AC73" s="13"/>
      <c r="AD73" s="19"/>
      <c r="AE73" s="19"/>
      <c r="AF73" s="19">
        <f>BA71/100*AF25</f>
        <v>6419746993.4912767</v>
      </c>
      <c r="AG73" s="33">
        <f t="shared" si="33"/>
        <v>2.8222868076791764E-3</v>
      </c>
      <c r="AH73" s="33">
        <f>(AF73-AF69)/AF69</f>
        <v>3.5294401263225987E-3</v>
      </c>
      <c r="AI73" s="33">
        <f t="shared" si="28"/>
        <v>-9.8870881311014323E-3</v>
      </c>
      <c r="AU73" s="26">
        <v>12429301</v>
      </c>
      <c r="AW73" s="26">
        <f t="shared" si="26"/>
        <v>-6.2916464784549099E-4</v>
      </c>
      <c r="AX73" s="45">
        <v>6618.7521234181004</v>
      </c>
      <c r="AY73" s="33">
        <f t="shared" si="27"/>
        <v>1.4439468676775765E-4</v>
      </c>
      <c r="AZ73" s="26">
        <f t="shared" si="31"/>
        <v>99.877100543570634</v>
      </c>
      <c r="BA73" s="26">
        <f t="shared" si="32"/>
        <v>111.98399947889786</v>
      </c>
      <c r="BC73" s="33">
        <f t="shared" ref="BC73:BC104" si="34">T78/AF80</f>
        <v>8.9704005551450236E-3</v>
      </c>
    </row>
    <row r="74" spans="1:55" s="34" customFormat="1">
      <c r="A74" s="26">
        <f t="shared" si="29"/>
        <v>2030</v>
      </c>
      <c r="B74" s="26">
        <f t="shared" si="30"/>
        <v>3</v>
      </c>
      <c r="C74" s="19"/>
      <c r="D74" s="43">
        <v>114136831.45004401</v>
      </c>
      <c r="E74" s="19"/>
      <c r="F74" s="27">
        <v>20745720.179401699</v>
      </c>
      <c r="G74" s="43">
        <v>3026171.3759643398</v>
      </c>
      <c r="H74" s="43">
        <v>16649102.045651499</v>
      </c>
      <c r="I74" s="43">
        <v>93592.929153535093</v>
      </c>
      <c r="J74" s="43">
        <v>514920.68182426703</v>
      </c>
      <c r="K74" s="19"/>
      <c r="L74" s="43">
        <v>2288701.5494532199</v>
      </c>
      <c r="M74" s="27"/>
      <c r="N74" s="43">
        <v>956773.97927071503</v>
      </c>
      <c r="O74" s="19"/>
      <c r="P74" s="43">
        <v>17139971.360127602</v>
      </c>
      <c r="Q74" s="27"/>
      <c r="R74" s="43">
        <v>15075216.1479389</v>
      </c>
      <c r="S74" s="27"/>
      <c r="T74" s="43">
        <v>57641395.536255702</v>
      </c>
      <c r="U74" s="19"/>
      <c r="V74" s="43">
        <v>116508.67579075199</v>
      </c>
      <c r="W74" s="27"/>
      <c r="X74" s="43">
        <v>292636.20320306899</v>
      </c>
      <c r="Y74" s="19"/>
      <c r="Z74" s="19">
        <f t="shared" si="24"/>
        <v>-8799470.8843959831</v>
      </c>
      <c r="AA74" s="19"/>
      <c r="AB74" s="19">
        <f t="shared" si="25"/>
        <v>-73635407.273915902</v>
      </c>
      <c r="AC74" s="13"/>
      <c r="AD74" s="18"/>
      <c r="AE74" s="18"/>
      <c r="AF74" s="18">
        <f>BA72/100*AF25</f>
        <v>6438869895.9423962</v>
      </c>
      <c r="AG74" s="28">
        <f t="shared" si="33"/>
        <v>2.9787626320020655E-3</v>
      </c>
      <c r="AH74" s="28"/>
      <c r="AI74" s="28">
        <f t="shared" si="28"/>
        <v>-1.1743244195020267E-2</v>
      </c>
      <c r="AT74" s="26"/>
      <c r="AU74" s="26">
        <v>12543919</v>
      </c>
      <c r="AV74" s="26"/>
      <c r="AW74" s="26">
        <f t="shared" si="26"/>
        <v>9.2215966127137793E-3</v>
      </c>
      <c r="AX74" s="45">
        <v>6555.8645881919101</v>
      </c>
      <c r="AY74" s="33">
        <f t="shared" si="27"/>
        <v>-9.5014187045447864E-3</v>
      </c>
      <c r="AZ74" s="26">
        <f t="shared" si="31"/>
        <v>98.928126392310247</v>
      </c>
      <c r="BA74" s="26">
        <f t="shared" si="32"/>
        <v>111.94285203978906</v>
      </c>
      <c r="BB74" s="26"/>
      <c r="BC74" s="28">
        <f t="shared" si="34"/>
        <v>1.0557301406323572E-2</v>
      </c>
    </row>
    <row r="75" spans="1:55" s="26" customFormat="1">
      <c r="A75" s="26">
        <f t="shared" si="29"/>
        <v>2030</v>
      </c>
      <c r="B75" s="26">
        <f t="shared" si="30"/>
        <v>4</v>
      </c>
      <c r="C75" s="19"/>
      <c r="D75" s="43">
        <v>114512199.94044299</v>
      </c>
      <c r="E75" s="19"/>
      <c r="F75" s="27">
        <v>20813947.845853001</v>
      </c>
      <c r="G75" s="43">
        <v>3108667.13567875</v>
      </c>
      <c r="H75" s="43">
        <v>17102969.3754161</v>
      </c>
      <c r="I75" s="43">
        <v>96144.344402435207</v>
      </c>
      <c r="J75" s="43">
        <v>528957.81573451497</v>
      </c>
      <c r="K75" s="19"/>
      <c r="L75" s="43">
        <v>2244700.2672046698</v>
      </c>
      <c r="M75" s="27"/>
      <c r="N75" s="43">
        <v>961058.18353437597</v>
      </c>
      <c r="O75" s="19"/>
      <c r="P75" s="43">
        <v>16935218.9251807</v>
      </c>
      <c r="Q75" s="27"/>
      <c r="R75" s="43">
        <v>17859345.576372199</v>
      </c>
      <c r="S75" s="27"/>
      <c r="T75" s="43">
        <v>68286755.711100906</v>
      </c>
      <c r="U75" s="19"/>
      <c r="V75" s="43">
        <v>116032.76753520301</v>
      </c>
      <c r="W75" s="27"/>
      <c r="X75" s="43">
        <v>291440.85887328698</v>
      </c>
      <c r="Y75" s="19"/>
      <c r="Z75" s="19">
        <f t="shared" si="24"/>
        <v>-6044327.9526846465</v>
      </c>
      <c r="AA75" s="19"/>
      <c r="AB75" s="19">
        <f t="shared" si="25"/>
        <v>-63160663.154522792</v>
      </c>
      <c r="AC75" s="13"/>
      <c r="AD75" s="19"/>
      <c r="AE75" s="19"/>
      <c r="AF75" s="19">
        <f>BA73/100*AF25</f>
        <v>6435747940.2748966</v>
      </c>
      <c r="AG75" s="33">
        <f t="shared" si="33"/>
        <v>-4.8486080910982768E-4</v>
      </c>
      <c r="AH75" s="33"/>
      <c r="AI75" s="33">
        <f t="shared" si="28"/>
        <v>-9.8119042259218504E-3</v>
      </c>
      <c r="AU75" s="26">
        <v>12562951</v>
      </c>
      <c r="AW75" s="26">
        <f t="shared" si="26"/>
        <v>1.5172291849142202E-3</v>
      </c>
      <c r="AX75" s="45">
        <v>6599.6834589331002</v>
      </c>
      <c r="AY75" s="33">
        <f t="shared" si="27"/>
        <v>6.683919436059488E-3</v>
      </c>
      <c r="AZ75" s="26">
        <f t="shared" si="31"/>
        <v>99.589354019076765</v>
      </c>
      <c r="BA75" s="26">
        <f t="shared" si="32"/>
        <v>112.86204722309887</v>
      </c>
      <c r="BC75" s="33">
        <f t="shared" si="34"/>
        <v>8.9096179837084462E-3</v>
      </c>
    </row>
    <row r="76" spans="1:55" s="26" customFormat="1">
      <c r="A76" s="34">
        <f t="shared" si="29"/>
        <v>2031</v>
      </c>
      <c r="B76" s="34">
        <f t="shared" si="30"/>
        <v>1</v>
      </c>
      <c r="C76" s="18"/>
      <c r="D76" s="46">
        <v>114633044.007091</v>
      </c>
      <c r="E76" s="18"/>
      <c r="F76" s="38">
        <v>20835912.685424499</v>
      </c>
      <c r="G76" s="46">
        <v>3198289.3396850098</v>
      </c>
      <c r="H76" s="46">
        <v>17596044.299033299</v>
      </c>
      <c r="I76" s="46">
        <v>98916.165144897095</v>
      </c>
      <c r="J76" s="46">
        <v>544207.55564020504</v>
      </c>
      <c r="K76" s="18"/>
      <c r="L76" s="46">
        <v>2754395.1045268201</v>
      </c>
      <c r="M76" s="38"/>
      <c r="N76" s="46">
        <v>963970.71674705297</v>
      </c>
      <c r="O76" s="18"/>
      <c r="P76" s="46">
        <v>19596051.757432599</v>
      </c>
      <c r="Q76" s="38"/>
      <c r="R76" s="46">
        <v>15272863.8978258</v>
      </c>
      <c r="S76" s="38"/>
      <c r="T76" s="46">
        <v>58397118.838414699</v>
      </c>
      <c r="U76" s="18"/>
      <c r="V76" s="46">
        <v>119129.933112617</v>
      </c>
      <c r="W76" s="38"/>
      <c r="X76" s="46">
        <v>299220.04586613801</v>
      </c>
      <c r="Y76" s="18"/>
      <c r="Z76" s="18">
        <f t="shared" si="24"/>
        <v>-9162284.6757599544</v>
      </c>
      <c r="AA76" s="18"/>
      <c r="AB76" s="18">
        <f t="shared" si="25"/>
        <v>-75831976.926108897</v>
      </c>
      <c r="AC76" s="13"/>
      <c r="AD76" s="19"/>
      <c r="AE76" s="19"/>
      <c r="AF76" s="19">
        <f>BA74/100*AF25</f>
        <v>6433383186.8482981</v>
      </c>
      <c r="AG76" s="33">
        <f t="shared" si="33"/>
        <v>-3.6744034237262886E-4</v>
      </c>
      <c r="AH76" s="33"/>
      <c r="AI76" s="33">
        <f t="shared" si="28"/>
        <v>-1.1445829532499795E-2</v>
      </c>
      <c r="AT76" s="34"/>
      <c r="AU76" s="34">
        <v>12554205</v>
      </c>
      <c r="AV76" s="34"/>
      <c r="AW76" s="34">
        <f t="shared" si="26"/>
        <v>-6.9617401198173898E-4</v>
      </c>
      <c r="AX76" s="48">
        <v>6617.3588032187199</v>
      </c>
      <c r="AY76" s="28">
        <f t="shared" si="27"/>
        <v>2.6782109165697987E-3</v>
      </c>
      <c r="AZ76" s="34">
        <f t="shared" si="31"/>
        <v>99.856075314184778</v>
      </c>
      <c r="BA76" s="34">
        <f t="shared" si="32"/>
        <v>113.08553353444069</v>
      </c>
      <c r="BB76" s="34"/>
      <c r="BC76" s="33">
        <f t="shared" si="34"/>
        <v>1.0462812841271759E-2</v>
      </c>
    </row>
    <row r="77" spans="1:55" s="26" customFormat="1">
      <c r="A77" s="26">
        <f t="shared" si="29"/>
        <v>2031</v>
      </c>
      <c r="B77" s="26">
        <f t="shared" si="30"/>
        <v>2</v>
      </c>
      <c r="C77" s="19"/>
      <c r="D77" s="43">
        <v>114441339.054784</v>
      </c>
      <c r="E77" s="19"/>
      <c r="F77" s="27">
        <v>20801068.041088101</v>
      </c>
      <c r="G77" s="43">
        <v>3308603.3484774102</v>
      </c>
      <c r="H77" s="43">
        <v>18202959.427514501</v>
      </c>
      <c r="I77" s="43">
        <v>102327.938612703</v>
      </c>
      <c r="J77" s="43">
        <v>562978.12662415998</v>
      </c>
      <c r="K77" s="19"/>
      <c r="L77" s="43">
        <v>2279061.98004336</v>
      </c>
      <c r="M77" s="27"/>
      <c r="N77" s="43">
        <v>964180.31778837403</v>
      </c>
      <c r="O77" s="19"/>
      <c r="P77" s="43">
        <v>17130699.077936299</v>
      </c>
      <c r="Q77" s="27"/>
      <c r="R77" s="43">
        <v>18016385.584419999</v>
      </c>
      <c r="S77" s="27"/>
      <c r="T77" s="43">
        <v>68887211.792796299</v>
      </c>
      <c r="U77" s="19"/>
      <c r="V77" s="43">
        <v>118585.75633186899</v>
      </c>
      <c r="W77" s="27"/>
      <c r="X77" s="43">
        <v>297853.23068341799</v>
      </c>
      <c r="Y77" s="19"/>
      <c r="Z77" s="19">
        <f t="shared" si="24"/>
        <v>-5909338.9981679656</v>
      </c>
      <c r="AA77" s="19"/>
      <c r="AB77" s="19">
        <f t="shared" si="25"/>
        <v>-62684826.339924</v>
      </c>
      <c r="AC77" s="13"/>
      <c r="AD77" s="19"/>
      <c r="AE77" s="19"/>
      <c r="AF77" s="19">
        <f>BA75/100*AF25</f>
        <v>6486209559.6803513</v>
      </c>
      <c r="AG77" s="33">
        <f t="shared" si="33"/>
        <v>8.2112896586116028E-3</v>
      </c>
      <c r="AH77" s="33">
        <f>(AF77-AF73)/AF73</f>
        <v>1.0352832635999244E-2</v>
      </c>
      <c r="AI77" s="33">
        <f t="shared" si="28"/>
        <v>-9.737684632815876E-3</v>
      </c>
      <c r="AU77" s="26">
        <v>12602541</v>
      </c>
      <c r="AW77" s="26">
        <f t="shared" si="26"/>
        <v>3.8501840618342621E-3</v>
      </c>
      <c r="AX77" s="45">
        <v>6621.88120802709</v>
      </c>
      <c r="AY77" s="33">
        <f t="shared" si="27"/>
        <v>6.834153841212843E-4</v>
      </c>
      <c r="AZ77" s="26">
        <f t="shared" si="31"/>
        <v>99.924318492252468</v>
      </c>
      <c r="BA77" s="26">
        <f t="shared" si="32"/>
        <v>113.59851560575748</v>
      </c>
      <c r="BC77" s="33">
        <f t="shared" si="34"/>
        <v>8.8989156529378517E-3</v>
      </c>
    </row>
    <row r="78" spans="1:55" s="34" customFormat="1">
      <c r="A78" s="26">
        <f t="shared" si="29"/>
        <v>2031</v>
      </c>
      <c r="B78" s="26">
        <f t="shared" si="30"/>
        <v>3</v>
      </c>
      <c r="C78" s="19"/>
      <c r="D78" s="43">
        <v>114490036.71951</v>
      </c>
      <c r="E78" s="19"/>
      <c r="F78" s="27">
        <v>20809919.418097299</v>
      </c>
      <c r="G78" s="43">
        <v>3436049.7454160401</v>
      </c>
      <c r="H78" s="43">
        <v>18904131.9007046</v>
      </c>
      <c r="I78" s="43">
        <v>106269.579755135</v>
      </c>
      <c r="J78" s="43">
        <v>584663.87321766804</v>
      </c>
      <c r="K78" s="19"/>
      <c r="L78" s="43">
        <v>2208695.08996177</v>
      </c>
      <c r="M78" s="27"/>
      <c r="N78" s="43">
        <v>966754.88075430703</v>
      </c>
      <c r="O78" s="19"/>
      <c r="P78" s="43">
        <v>16779729.436612502</v>
      </c>
      <c r="Q78" s="27"/>
      <c r="R78" s="43">
        <v>15324078.697016399</v>
      </c>
      <c r="S78" s="27"/>
      <c r="T78" s="43">
        <v>58592943.061993703</v>
      </c>
      <c r="U78" s="19"/>
      <c r="V78" s="43">
        <v>116177.999894901</v>
      </c>
      <c r="W78" s="27"/>
      <c r="X78" s="43">
        <v>291805.64068919799</v>
      </c>
      <c r="Y78" s="19"/>
      <c r="Z78" s="19">
        <f t="shared" ref="Z78:Z109" si="35">R78+V78-N78-L78-F78</f>
        <v>-8545112.691902075</v>
      </c>
      <c r="AA78" s="19"/>
      <c r="AB78" s="19">
        <f t="shared" ref="AB78:AB109" si="36">T78-P78-D78</f>
        <v>-72676823.094128802</v>
      </c>
      <c r="AC78" s="13"/>
      <c r="AD78" s="18"/>
      <c r="AE78" s="18"/>
      <c r="AF78" s="18">
        <f>BA76/100*AF25</f>
        <v>6499053372.8553638</v>
      </c>
      <c r="AG78" s="28">
        <f t="shared" si="33"/>
        <v>1.9801724037490933E-3</v>
      </c>
      <c r="AH78" s="28"/>
      <c r="AI78" s="28">
        <f t="shared" si="28"/>
        <v>-1.1668157280079708E-2</v>
      </c>
      <c r="AT78" s="26"/>
      <c r="AU78" s="26">
        <v>12616117</v>
      </c>
      <c r="AV78" s="26"/>
      <c r="AW78" s="26">
        <f t="shared" si="26"/>
        <v>1.077243073440507E-3</v>
      </c>
      <c r="AX78" s="45">
        <v>6618.0731726209397</v>
      </c>
      <c r="AY78" s="33">
        <f t="shared" si="27"/>
        <v>-5.7506851701510616E-4</v>
      </c>
      <c r="AZ78" s="26">
        <f t="shared" si="31"/>
        <v>99.866855162603386</v>
      </c>
      <c r="BA78" s="26">
        <f t="shared" si="32"/>
        <v>113.65549151695964</v>
      </c>
      <c r="BB78" s="26"/>
      <c r="BC78" s="28">
        <f t="shared" si="34"/>
        <v>1.04575750002361E-2</v>
      </c>
    </row>
    <row r="79" spans="1:55" s="26" customFormat="1">
      <c r="A79" s="26">
        <f t="shared" si="29"/>
        <v>2031</v>
      </c>
      <c r="B79" s="26">
        <f t="shared" si="30"/>
        <v>4</v>
      </c>
      <c r="C79" s="19"/>
      <c r="D79" s="43">
        <v>114355739.98301201</v>
      </c>
      <c r="E79" s="19"/>
      <c r="F79" s="27">
        <v>20785509.396538101</v>
      </c>
      <c r="G79" s="43">
        <v>3545199.2693633102</v>
      </c>
      <c r="H79" s="43">
        <v>19504640.377146501</v>
      </c>
      <c r="I79" s="43">
        <v>109645.33822773201</v>
      </c>
      <c r="J79" s="43">
        <v>603236.30032412196</v>
      </c>
      <c r="K79" s="19"/>
      <c r="L79" s="43">
        <v>2193748.7378123198</v>
      </c>
      <c r="M79" s="27"/>
      <c r="N79" s="43">
        <v>966935.64262415899</v>
      </c>
      <c r="O79" s="19"/>
      <c r="P79" s="43">
        <v>16703167.242731599</v>
      </c>
      <c r="Q79" s="27"/>
      <c r="R79" s="43">
        <v>17909272.678087</v>
      </c>
      <c r="S79" s="27"/>
      <c r="T79" s="43">
        <v>68477656.311774403</v>
      </c>
      <c r="U79" s="19"/>
      <c r="V79" s="43">
        <v>115427.67276086099</v>
      </c>
      <c r="W79" s="27"/>
      <c r="X79" s="43">
        <v>289921.035253804</v>
      </c>
      <c r="Y79" s="19"/>
      <c r="Z79" s="19">
        <f t="shared" si="35"/>
        <v>-5921493.4261267167</v>
      </c>
      <c r="AA79" s="19"/>
      <c r="AB79" s="19">
        <f t="shared" si="36"/>
        <v>-62581250.913969204</v>
      </c>
      <c r="AC79" s="13"/>
      <c r="AD79" s="19"/>
      <c r="AE79" s="19"/>
      <c r="AF79" s="19">
        <f>BA77/100*AF25</f>
        <v>6528534578.4225683</v>
      </c>
      <c r="AG79" s="33">
        <f t="shared" si="33"/>
        <v>4.5362307209752747E-3</v>
      </c>
      <c r="AH79" s="33"/>
      <c r="AI79" s="33">
        <f t="shared" si="28"/>
        <v>-9.6016687339151655E-3</v>
      </c>
      <c r="AU79" s="26">
        <v>12530362</v>
      </c>
      <c r="AW79" s="26">
        <f t="shared" ref="AW79:AW115" si="37">(AU79-AU78)/AU78</f>
        <v>-6.7972578250502912E-3</v>
      </c>
      <c r="AX79" s="45">
        <v>6616.9239813787899</v>
      </c>
      <c r="AY79" s="33">
        <f t="shared" ref="AY79:AY110" si="38">(AX79-AX78)/AX78</f>
        <v>-1.7364438442656914E-4</v>
      </c>
      <c r="AZ79" s="26">
        <f t="shared" si="31"/>
        <v>99.849513844014055</v>
      </c>
      <c r="BA79" s="26">
        <f t="shared" si="32"/>
        <v>112.86334434824377</v>
      </c>
      <c r="BC79" s="33">
        <f t="shared" si="34"/>
        <v>8.8668375953771424E-3</v>
      </c>
    </row>
    <row r="80" spans="1:55" s="26" customFormat="1">
      <c r="A80" s="34">
        <f t="shared" si="29"/>
        <v>2032</v>
      </c>
      <c r="B80" s="34">
        <f t="shared" si="30"/>
        <v>1</v>
      </c>
      <c r="C80" s="18"/>
      <c r="D80" s="46">
        <v>114166599.39700399</v>
      </c>
      <c r="E80" s="18"/>
      <c r="F80" s="38">
        <v>20751130.856131598</v>
      </c>
      <c r="G80" s="46">
        <v>3589003.1807705499</v>
      </c>
      <c r="H80" s="46">
        <v>19745636.573465802</v>
      </c>
      <c r="I80" s="46">
        <v>111000.098374348</v>
      </c>
      <c r="J80" s="46">
        <v>610689.790931936</v>
      </c>
      <c r="K80" s="18"/>
      <c r="L80" s="46">
        <v>2743949.35063679</v>
      </c>
      <c r="M80" s="38"/>
      <c r="N80" s="46">
        <v>967022.88721061102</v>
      </c>
      <c r="O80" s="18"/>
      <c r="P80" s="46">
        <v>19558640.832194801</v>
      </c>
      <c r="Q80" s="38"/>
      <c r="R80" s="46">
        <v>15111070.9767459</v>
      </c>
      <c r="S80" s="38"/>
      <c r="T80" s="46">
        <v>57778489.581798203</v>
      </c>
      <c r="U80" s="18"/>
      <c r="V80" s="46">
        <v>117635.861865339</v>
      </c>
      <c r="W80" s="38"/>
      <c r="X80" s="46">
        <v>295467.36964566901</v>
      </c>
      <c r="Y80" s="18"/>
      <c r="Z80" s="18">
        <f t="shared" si="35"/>
        <v>-9233396.2553677596</v>
      </c>
      <c r="AA80" s="18"/>
      <c r="AB80" s="18">
        <f t="shared" si="36"/>
        <v>-75946750.647400588</v>
      </c>
      <c r="AC80" s="13"/>
      <c r="AD80" s="19"/>
      <c r="AE80" s="19"/>
      <c r="AF80" s="19">
        <f>BA78/100*AF25</f>
        <v>6531808998.026001</v>
      </c>
      <c r="AG80" s="33">
        <f t="shared" si="33"/>
        <v>5.0155506784859891E-4</v>
      </c>
      <c r="AH80" s="33"/>
      <c r="AI80" s="33">
        <f t="shared" ref="AI80:AI111" si="39">AB78/AF80</f>
        <v>-1.1126599555512524E-2</v>
      </c>
      <c r="AT80" s="34"/>
      <c r="AU80" s="34">
        <v>12574253</v>
      </c>
      <c r="AV80" s="34"/>
      <c r="AW80" s="34">
        <f t="shared" si="37"/>
        <v>3.5027719071484128E-3</v>
      </c>
      <c r="AX80" s="48">
        <v>6592.47820710626</v>
      </c>
      <c r="AY80" s="28">
        <f t="shared" si="38"/>
        <v>-3.6944317845156874E-3</v>
      </c>
      <c r="AZ80" s="34">
        <f t="shared" si="31"/>
        <v>99.480626626400294</v>
      </c>
      <c r="BA80" s="34">
        <f t="shared" si="32"/>
        <v>112.84025243697255</v>
      </c>
      <c r="BB80" s="34"/>
      <c r="BC80" s="33">
        <f t="shared" si="34"/>
        <v>1.0449031100164126E-2</v>
      </c>
    </row>
    <row r="81" spans="1:55" s="26" customFormat="1">
      <c r="A81" s="26">
        <f t="shared" si="29"/>
        <v>2032</v>
      </c>
      <c r="B81" s="26">
        <f t="shared" si="30"/>
        <v>2</v>
      </c>
      <c r="C81" s="19"/>
      <c r="D81" s="43">
        <v>114006547.32992899</v>
      </c>
      <c r="E81" s="19"/>
      <c r="F81" s="27">
        <v>20722039.4983682</v>
      </c>
      <c r="G81" s="43">
        <v>3655076.9134642901</v>
      </c>
      <c r="H81" s="43">
        <v>20109154.7558439</v>
      </c>
      <c r="I81" s="43">
        <v>113043.61588033799</v>
      </c>
      <c r="J81" s="43">
        <v>621932.62131475704</v>
      </c>
      <c r="K81" s="19"/>
      <c r="L81" s="43">
        <v>2206906.5165174198</v>
      </c>
      <c r="M81" s="27"/>
      <c r="N81" s="43">
        <v>966906.91856158501</v>
      </c>
      <c r="O81" s="19"/>
      <c r="P81" s="43">
        <v>16771284.9876645</v>
      </c>
      <c r="Q81" s="27"/>
      <c r="R81" s="43">
        <v>17741844.500291701</v>
      </c>
      <c r="S81" s="27"/>
      <c r="T81" s="43">
        <v>67837480.162689194</v>
      </c>
      <c r="U81" s="19"/>
      <c r="V81" s="43">
        <v>120126.89189374</v>
      </c>
      <c r="W81" s="27"/>
      <c r="X81" s="43">
        <v>301724.11889312702</v>
      </c>
      <c r="Y81" s="19"/>
      <c r="Z81" s="19">
        <f t="shared" si="35"/>
        <v>-6033881.5412617624</v>
      </c>
      <c r="AA81" s="19"/>
      <c r="AB81" s="19">
        <f t="shared" si="36"/>
        <v>-62940352.154904298</v>
      </c>
      <c r="AC81" s="13"/>
      <c r="AD81" s="19"/>
      <c r="AE81" s="19"/>
      <c r="AF81" s="19">
        <f>BA79/100*AF25</f>
        <v>6486284105.7808504</v>
      </c>
      <c r="AG81" s="33">
        <f t="shared" si="33"/>
        <v>-6.9697219038261518E-3</v>
      </c>
      <c r="AH81" s="33">
        <f>(AF81-AF77)/AF77</f>
        <v>1.1493014496871555E-5</v>
      </c>
      <c r="AI81" s="33">
        <f t="shared" si="39"/>
        <v>-9.6482438779075599E-3</v>
      </c>
      <c r="AU81" s="26">
        <v>12600871</v>
      </c>
      <c r="AW81" s="26">
        <f t="shared" si="37"/>
        <v>2.1168653119990506E-3</v>
      </c>
      <c r="AX81" s="45">
        <v>6577.2519921356798</v>
      </c>
      <c r="AY81" s="33">
        <f t="shared" si="38"/>
        <v>-2.3096344792110798E-3</v>
      </c>
      <c r="AZ81" s="26">
        <f t="shared" si="31"/>
        <v>99.250862741130433</v>
      </c>
      <c r="BA81" s="26">
        <f t="shared" si="32"/>
        <v>112.81794861859996</v>
      </c>
      <c r="BC81" s="33">
        <f t="shared" si="34"/>
        <v>8.8968027552649553E-3</v>
      </c>
    </row>
    <row r="82" spans="1:55" s="34" customFormat="1">
      <c r="A82" s="26">
        <f t="shared" ref="A82:A113" si="40">A78+1</f>
        <v>2032</v>
      </c>
      <c r="B82" s="26">
        <f t="shared" ref="B82:B113" si="41">B78</f>
        <v>3</v>
      </c>
      <c r="C82" s="19"/>
      <c r="D82" s="43">
        <v>114702622.57123201</v>
      </c>
      <c r="E82" s="19"/>
      <c r="F82" s="27">
        <v>20848559.4130744</v>
      </c>
      <c r="G82" s="43">
        <v>3727939.6689152201</v>
      </c>
      <c r="H82" s="43">
        <v>20510024.138346501</v>
      </c>
      <c r="I82" s="43">
        <v>115297.103162327</v>
      </c>
      <c r="J82" s="43">
        <v>634330.64345402003</v>
      </c>
      <c r="K82" s="19"/>
      <c r="L82" s="43">
        <v>2162002.43447555</v>
      </c>
      <c r="M82" s="27"/>
      <c r="N82" s="43">
        <v>975220.86721194198</v>
      </c>
      <c r="O82" s="19"/>
      <c r="P82" s="43">
        <v>16584018.384947</v>
      </c>
      <c r="Q82" s="27"/>
      <c r="R82" s="43">
        <v>15062851.6971971</v>
      </c>
      <c r="S82" s="27"/>
      <c r="T82" s="43">
        <v>57594118.987196401</v>
      </c>
      <c r="U82" s="19"/>
      <c r="V82" s="43">
        <v>115243.468956759</v>
      </c>
      <c r="W82" s="27"/>
      <c r="X82" s="43">
        <v>289458.36840533098</v>
      </c>
      <c r="Y82" s="19"/>
      <c r="Z82" s="19">
        <f t="shared" si="35"/>
        <v>-8807687.548608033</v>
      </c>
      <c r="AA82" s="19"/>
      <c r="AB82" s="19">
        <f t="shared" si="36"/>
        <v>-73692521.968982607</v>
      </c>
      <c r="AC82" s="13"/>
      <c r="AD82" s="18"/>
      <c r="AE82" s="18"/>
      <c r="AF82" s="18">
        <f>BA80/100*AF25</f>
        <v>6484957007.9714117</v>
      </c>
      <c r="AG82" s="28">
        <f t="shared" si="33"/>
        <v>-2.046006292348403E-4</v>
      </c>
      <c r="AH82" s="28"/>
      <c r="AI82" s="28">
        <f t="shared" si="39"/>
        <v>-1.1711218833686275E-2</v>
      </c>
      <c r="AT82" s="26"/>
      <c r="AU82" s="26">
        <v>12589313</v>
      </c>
      <c r="AV82" s="26"/>
      <c r="AW82" s="26">
        <f t="shared" si="37"/>
        <v>-9.1723818139238149E-4</v>
      </c>
      <c r="AX82" s="45">
        <v>6571.4742956159798</v>
      </c>
      <c r="AY82" s="33">
        <f t="shared" si="38"/>
        <v>-8.7843624155015403E-4</v>
      </c>
      <c r="AZ82" s="26">
        <f t="shared" si="31"/>
        <v>99.163677186293498</v>
      </c>
      <c r="BA82" s="26">
        <f t="shared" si="32"/>
        <v>112.61545521521593</v>
      </c>
      <c r="BB82" s="26"/>
      <c r="BC82" s="28">
        <f t="shared" si="34"/>
        <v>1.0484068813998704E-2</v>
      </c>
    </row>
    <row r="83" spans="1:55" s="26" customFormat="1">
      <c r="A83" s="26">
        <f t="shared" si="40"/>
        <v>2032</v>
      </c>
      <c r="B83" s="26">
        <f t="shared" si="41"/>
        <v>4</v>
      </c>
      <c r="C83" s="19"/>
      <c r="D83" s="43">
        <v>114804218.20034701</v>
      </c>
      <c r="E83" s="19"/>
      <c r="F83" s="27">
        <v>20867025.6212763</v>
      </c>
      <c r="G83" s="43">
        <v>3819393.5898238299</v>
      </c>
      <c r="H83" s="43">
        <v>21013176.627916601</v>
      </c>
      <c r="I83" s="43">
        <v>118125.57494300501</v>
      </c>
      <c r="J83" s="43">
        <v>649892.060657216</v>
      </c>
      <c r="K83" s="19"/>
      <c r="L83" s="43">
        <v>2150265.43264336</v>
      </c>
      <c r="M83" s="27"/>
      <c r="N83" s="43">
        <v>978393.27434836002</v>
      </c>
      <c r="O83" s="19"/>
      <c r="P83" s="43">
        <v>16540568.6746976</v>
      </c>
      <c r="Q83" s="27"/>
      <c r="R83" s="43">
        <v>17774841.214922201</v>
      </c>
      <c r="S83" s="27"/>
      <c r="T83" s="43">
        <v>67963645.960960194</v>
      </c>
      <c r="U83" s="19"/>
      <c r="V83" s="43">
        <v>116130.01727819</v>
      </c>
      <c r="W83" s="27"/>
      <c r="X83" s="43">
        <v>291685.12218979199</v>
      </c>
      <c r="Y83" s="19"/>
      <c r="Z83" s="19">
        <f t="shared" si="35"/>
        <v>-6104713.0960676279</v>
      </c>
      <c r="AA83" s="19"/>
      <c r="AB83" s="19">
        <f t="shared" si="36"/>
        <v>-63381140.914084412</v>
      </c>
      <c r="AC83" s="13"/>
      <c r="AD83" s="19"/>
      <c r="AE83" s="19"/>
      <c r="AF83" s="19">
        <f>BA81/100*AF25</f>
        <v>6483675202.0543184</v>
      </c>
      <c r="AG83" s="33">
        <f t="shared" si="33"/>
        <v>-1.9765835232487446E-4</v>
      </c>
      <c r="AH83" s="33"/>
      <c r="AI83" s="33">
        <f t="shared" si="39"/>
        <v>-9.7075115877121639E-3</v>
      </c>
      <c r="AU83" s="26">
        <v>12620135</v>
      </c>
      <c r="AW83" s="26">
        <f t="shared" si="37"/>
        <v>2.4482670341105985E-3</v>
      </c>
      <c r="AX83" s="45">
        <v>6582.7214186935798</v>
      </c>
      <c r="AY83" s="33">
        <f t="shared" si="38"/>
        <v>1.7115068204867343E-3</v>
      </c>
      <c r="AZ83" s="26">
        <f t="shared" si="31"/>
        <v>99.333396496142385</v>
      </c>
      <c r="BA83" s="26">
        <f t="shared" si="32"/>
        <v>113.0843819256215</v>
      </c>
      <c r="BC83" s="33">
        <f t="shared" si="34"/>
        <v>8.904837491850932E-3</v>
      </c>
    </row>
    <row r="84" spans="1:55" s="26" customFormat="1">
      <c r="A84" s="34">
        <f t="shared" si="40"/>
        <v>2033</v>
      </c>
      <c r="B84" s="34">
        <f t="shared" si="41"/>
        <v>1</v>
      </c>
      <c r="C84" s="18"/>
      <c r="D84" s="46">
        <v>114352887.56114</v>
      </c>
      <c r="E84" s="18"/>
      <c r="F84" s="38">
        <v>20784990.935098201</v>
      </c>
      <c r="G84" s="46">
        <v>3861112.0839267299</v>
      </c>
      <c r="H84" s="46">
        <v>21242699.473525099</v>
      </c>
      <c r="I84" s="46">
        <v>119415.837647218</v>
      </c>
      <c r="J84" s="46">
        <v>656990.70536675095</v>
      </c>
      <c r="K84" s="18"/>
      <c r="L84" s="46">
        <v>2668658.3204276501</v>
      </c>
      <c r="M84" s="38"/>
      <c r="N84" s="46">
        <v>974840.44783407496</v>
      </c>
      <c r="O84" s="18"/>
      <c r="P84" s="46">
        <v>19210965.230518099</v>
      </c>
      <c r="Q84" s="38"/>
      <c r="R84" s="46">
        <v>15118964.2235926</v>
      </c>
      <c r="S84" s="38"/>
      <c r="T84" s="46">
        <v>57808670.095237598</v>
      </c>
      <c r="U84" s="18"/>
      <c r="V84" s="46">
        <v>119442.434662352</v>
      </c>
      <c r="W84" s="38"/>
      <c r="X84" s="46">
        <v>300004.95966237597</v>
      </c>
      <c r="Y84" s="18"/>
      <c r="Z84" s="18">
        <f t="shared" si="35"/>
        <v>-9190083.0451049749</v>
      </c>
      <c r="AA84" s="18"/>
      <c r="AB84" s="18">
        <f t="shared" si="36"/>
        <v>-75755182.696420506</v>
      </c>
      <c r="AC84" s="13"/>
      <c r="AD84" s="19"/>
      <c r="AE84" s="19"/>
      <c r="AF84" s="19">
        <f>BA82/100*AF25</f>
        <v>6472037856.4530516</v>
      </c>
      <c r="AG84" s="33">
        <f t="shared" si="33"/>
        <v>-1.7948686876818921E-3</v>
      </c>
      <c r="AH84" s="33"/>
      <c r="AI84" s="33">
        <f t="shared" si="39"/>
        <v>-1.1386293406103344E-2</v>
      </c>
      <c r="AT84" s="34"/>
      <c r="AU84" s="34">
        <v>12676563</v>
      </c>
      <c r="AV84" s="34"/>
      <c r="AW84" s="34">
        <f t="shared" si="37"/>
        <v>4.4712675419082285E-3</v>
      </c>
      <c r="AX84" s="48">
        <v>6574.2543307985998</v>
      </c>
      <c r="AY84" s="28">
        <f t="shared" si="38"/>
        <v>-1.2862594900241826E-3</v>
      </c>
      <c r="AZ84" s="34">
        <f t="shared" si="31"/>
        <v>99.205627972222885</v>
      </c>
      <c r="BA84" s="34">
        <f t="shared" si="32"/>
        <v>113.44390622053392</v>
      </c>
      <c r="BB84" s="34"/>
      <c r="BC84" s="33">
        <f t="shared" si="34"/>
        <v>1.049295093408012E-2</v>
      </c>
    </row>
    <row r="85" spans="1:55" s="26" customFormat="1">
      <c r="A85" s="26">
        <f t="shared" si="40"/>
        <v>2033</v>
      </c>
      <c r="B85" s="26">
        <f t="shared" si="41"/>
        <v>2</v>
      </c>
      <c r="C85" s="19"/>
      <c r="D85" s="43">
        <v>114557529.22212499</v>
      </c>
      <c r="E85" s="19"/>
      <c r="F85" s="27">
        <v>20822186.979371499</v>
      </c>
      <c r="G85" s="43">
        <v>3945586.7067766502</v>
      </c>
      <c r="H85" s="43">
        <v>21707453.924402099</v>
      </c>
      <c r="I85" s="43">
        <v>122028.45484876299</v>
      </c>
      <c r="J85" s="43">
        <v>671364.55436295702</v>
      </c>
      <c r="K85" s="19"/>
      <c r="L85" s="43">
        <v>2139037.30624951</v>
      </c>
      <c r="M85" s="27"/>
      <c r="N85" s="43">
        <v>978434.58673963696</v>
      </c>
      <c r="O85" s="19"/>
      <c r="P85" s="43">
        <v>16482533.1620513</v>
      </c>
      <c r="Q85" s="27"/>
      <c r="R85" s="43">
        <v>17777694.920117401</v>
      </c>
      <c r="S85" s="27"/>
      <c r="T85" s="43">
        <v>67974557.350109503</v>
      </c>
      <c r="U85" s="19"/>
      <c r="V85" s="43">
        <v>121401.445368335</v>
      </c>
      <c r="W85" s="27"/>
      <c r="X85" s="43">
        <v>304925.42975734599</v>
      </c>
      <c r="Y85" s="19"/>
      <c r="Z85" s="19">
        <f t="shared" si="35"/>
        <v>-6040562.5068749115</v>
      </c>
      <c r="AA85" s="19"/>
      <c r="AB85" s="19">
        <f t="shared" si="36"/>
        <v>-63065505.034066789</v>
      </c>
      <c r="AC85" s="13"/>
      <c r="AD85" s="19"/>
      <c r="AE85" s="19"/>
      <c r="AF85" s="19">
        <f>BA83/100*AF25</f>
        <v>6498987189.6138239</v>
      </c>
      <c r="AG85" s="33">
        <f t="shared" si="33"/>
        <v>4.1639640803247235E-3</v>
      </c>
      <c r="AH85" s="33">
        <f>(AF85-AF81)/AF81</f>
        <v>1.958453195359105E-3</v>
      </c>
      <c r="AI85" s="33">
        <f t="shared" si="39"/>
        <v>-9.7524643555807009E-3</v>
      </c>
      <c r="AU85" s="26">
        <v>12640153</v>
      </c>
      <c r="AW85" s="26">
        <f t="shared" si="37"/>
        <v>-2.8722296414256765E-3</v>
      </c>
      <c r="AX85" s="45">
        <v>6578.7264957657799</v>
      </c>
      <c r="AY85" s="33">
        <f t="shared" si="38"/>
        <v>6.8025432880337855E-4</v>
      </c>
      <c r="AZ85" s="26">
        <f t="shared" si="31"/>
        <v>99.273113030092645</v>
      </c>
      <c r="BA85" s="26">
        <f t="shared" si="32"/>
        <v>113.19501832673529</v>
      </c>
      <c r="BC85" s="33">
        <f t="shared" si="34"/>
        <v>8.8616241917384483E-3</v>
      </c>
    </row>
    <row r="86" spans="1:55" s="34" customFormat="1">
      <c r="A86" s="26">
        <f t="shared" si="40"/>
        <v>2033</v>
      </c>
      <c r="B86" s="26">
        <f t="shared" si="41"/>
        <v>3</v>
      </c>
      <c r="C86" s="19"/>
      <c r="D86" s="43">
        <v>114473465.833165</v>
      </c>
      <c r="E86" s="19"/>
      <c r="F86" s="27">
        <v>20806907.463350799</v>
      </c>
      <c r="G86" s="43">
        <v>4045460.9440272399</v>
      </c>
      <c r="H86" s="43">
        <v>22256932.510090899</v>
      </c>
      <c r="I86" s="43">
        <v>125117.348784348</v>
      </c>
      <c r="J86" s="43">
        <v>688358.73742549098</v>
      </c>
      <c r="K86" s="19"/>
      <c r="L86" s="43">
        <v>2153258.0537397098</v>
      </c>
      <c r="M86" s="27"/>
      <c r="N86" s="43">
        <v>978845.96084267995</v>
      </c>
      <c r="O86" s="19"/>
      <c r="P86" s="43">
        <v>16558587.9473205</v>
      </c>
      <c r="Q86" s="27"/>
      <c r="R86" s="43">
        <v>15213572.816555301</v>
      </c>
      <c r="S86" s="27"/>
      <c r="T86" s="43">
        <v>58170414.250318401</v>
      </c>
      <c r="U86" s="19"/>
      <c r="V86" s="43">
        <v>121383.56147096</v>
      </c>
      <c r="W86" s="27"/>
      <c r="X86" s="43">
        <v>304880.51056321099</v>
      </c>
      <c r="Y86" s="19"/>
      <c r="Z86" s="19">
        <f t="shared" si="35"/>
        <v>-8604055.0999069288</v>
      </c>
      <c r="AA86" s="19"/>
      <c r="AB86" s="19">
        <f t="shared" si="36"/>
        <v>-72861639.530167103</v>
      </c>
      <c r="AC86" s="13"/>
      <c r="AD86" s="18"/>
      <c r="AE86" s="18"/>
      <c r="AF86" s="18">
        <f>BA84/100*AF25</f>
        <v>6519649139.0997181</v>
      </c>
      <c r="AG86" s="28">
        <f t="shared" si="33"/>
        <v>3.1792568415759496E-3</v>
      </c>
      <c r="AH86" s="28"/>
      <c r="AI86" s="28">
        <f t="shared" si="39"/>
        <v>-1.1619518332988292E-2</v>
      </c>
      <c r="AT86" s="26"/>
      <c r="AU86" s="26">
        <v>12653046</v>
      </c>
      <c r="AV86" s="26"/>
      <c r="AW86" s="26">
        <f t="shared" si="37"/>
        <v>1.0200034762237451E-3</v>
      </c>
      <c r="AX86" s="45">
        <v>6605.3662525422997</v>
      </c>
      <c r="AY86" s="33">
        <f t="shared" si="38"/>
        <v>4.0493789783882569E-3</v>
      </c>
      <c r="AZ86" s="26">
        <f t="shared" si="31"/>
        <v>99.675107487115852</v>
      </c>
      <c r="BA86" s="26">
        <f t="shared" si="32"/>
        <v>113.76931470510195</v>
      </c>
      <c r="BB86" s="26"/>
      <c r="BC86" s="28">
        <f t="shared" si="34"/>
        <v>1.043497422393291E-2</v>
      </c>
    </row>
    <row r="87" spans="1:55" s="26" customFormat="1">
      <c r="A87" s="26">
        <f t="shared" si="40"/>
        <v>2033</v>
      </c>
      <c r="B87" s="26">
        <f t="shared" si="41"/>
        <v>4</v>
      </c>
      <c r="C87" s="19"/>
      <c r="D87" s="43">
        <v>114762311.216832</v>
      </c>
      <c r="E87" s="19"/>
      <c r="F87" s="27">
        <v>20859408.530960102</v>
      </c>
      <c r="G87" s="43">
        <v>4110088.5844296501</v>
      </c>
      <c r="H87" s="43">
        <v>22612494.7193483</v>
      </c>
      <c r="I87" s="43">
        <v>127116.141786483</v>
      </c>
      <c r="J87" s="43">
        <v>699355.50678396097</v>
      </c>
      <c r="K87" s="19"/>
      <c r="L87" s="43">
        <v>2180933.9194755899</v>
      </c>
      <c r="M87" s="27"/>
      <c r="N87" s="43">
        <v>982675.54280762002</v>
      </c>
      <c r="O87" s="19"/>
      <c r="P87" s="43">
        <v>16723267.376251301</v>
      </c>
      <c r="Q87" s="27"/>
      <c r="R87" s="43">
        <v>17798053.469707798</v>
      </c>
      <c r="S87" s="27"/>
      <c r="T87" s="43">
        <v>68052400.028978601</v>
      </c>
      <c r="U87" s="19"/>
      <c r="V87" s="43">
        <v>118119.916482053</v>
      </c>
      <c r="W87" s="27"/>
      <c r="X87" s="43">
        <v>296683.17528603598</v>
      </c>
      <c r="Y87" s="19"/>
      <c r="Z87" s="19">
        <f t="shared" si="35"/>
        <v>-6106844.6070534587</v>
      </c>
      <c r="AA87" s="19"/>
      <c r="AB87" s="19">
        <f t="shared" si="36"/>
        <v>-63433178.564104699</v>
      </c>
      <c r="AC87" s="13"/>
      <c r="AD87" s="19"/>
      <c r="AE87" s="19"/>
      <c r="AF87" s="19">
        <f>BA85/100*AF25</f>
        <v>6505345490.7452431</v>
      </c>
      <c r="AG87" s="33">
        <f t="shared" si="33"/>
        <v>-2.1939291592691715E-3</v>
      </c>
      <c r="AH87" s="33"/>
      <c r="AI87" s="33">
        <f t="shared" si="39"/>
        <v>-9.6944128676618672E-3</v>
      </c>
      <c r="AU87" s="26">
        <v>12549551</v>
      </c>
      <c r="AW87" s="26">
        <f t="shared" si="37"/>
        <v>-8.1794533901164979E-3</v>
      </c>
      <c r="AX87" s="45">
        <v>6611.6398925817102</v>
      </c>
      <c r="AY87" s="33">
        <f t="shared" si="38"/>
        <v>9.4977928544021952E-4</v>
      </c>
      <c r="AZ87" s="26">
        <f t="shared" si="31"/>
        <v>99.769776839481153</v>
      </c>
      <c r="BA87" s="26">
        <f t="shared" si="32"/>
        <v>112.94591579979571</v>
      </c>
      <c r="BC87" s="33">
        <f t="shared" si="34"/>
        <v>8.8566486163440036E-3</v>
      </c>
    </row>
    <row r="88" spans="1:55" s="26" customFormat="1">
      <c r="A88" s="34">
        <f t="shared" si="40"/>
        <v>2034</v>
      </c>
      <c r="B88" s="34">
        <f t="shared" si="41"/>
        <v>1</v>
      </c>
      <c r="C88" s="18"/>
      <c r="D88" s="46">
        <v>114395552.394519</v>
      </c>
      <c r="E88" s="18"/>
      <c r="F88" s="38">
        <v>20792745.773598101</v>
      </c>
      <c r="G88" s="46">
        <v>4176428.7025454701</v>
      </c>
      <c r="H88" s="46">
        <v>22977478.475722302</v>
      </c>
      <c r="I88" s="46">
        <v>129167.89801687001</v>
      </c>
      <c r="J88" s="46">
        <v>710643.664197593</v>
      </c>
      <c r="K88" s="18"/>
      <c r="L88" s="46">
        <v>2700567.1352847498</v>
      </c>
      <c r="M88" s="38"/>
      <c r="N88" s="46">
        <v>981400.85199497605</v>
      </c>
      <c r="O88" s="18"/>
      <c r="P88" s="46">
        <v>19412633.6305608</v>
      </c>
      <c r="Q88" s="38"/>
      <c r="R88" s="46">
        <v>15120300.569676301</v>
      </c>
      <c r="S88" s="38"/>
      <c r="T88" s="46">
        <v>57813779.730312198</v>
      </c>
      <c r="U88" s="18"/>
      <c r="V88" s="46">
        <v>117278.30154959401</v>
      </c>
      <c r="W88" s="38"/>
      <c r="X88" s="46">
        <v>294569.281220017</v>
      </c>
      <c r="Y88" s="18"/>
      <c r="Z88" s="18">
        <f t="shared" si="35"/>
        <v>-9237134.8896519318</v>
      </c>
      <c r="AA88" s="18"/>
      <c r="AB88" s="18">
        <f t="shared" si="36"/>
        <v>-75994406.294767603</v>
      </c>
      <c r="AC88" s="13"/>
      <c r="AD88" s="19"/>
      <c r="AE88" s="19"/>
      <c r="AF88" s="19">
        <f>BA86/100*AF25</f>
        <v>6538350444.5902519</v>
      </c>
      <c r="AG88" s="33">
        <f t="shared" si="33"/>
        <v>5.0735128352464871E-3</v>
      </c>
      <c r="AH88" s="33"/>
      <c r="AI88" s="33">
        <f t="shared" si="39"/>
        <v>-1.114373421058394E-2</v>
      </c>
      <c r="AT88" s="34"/>
      <c r="AU88" s="34">
        <v>12573535</v>
      </c>
      <c r="AV88" s="34"/>
      <c r="AW88" s="34">
        <f t="shared" si="37"/>
        <v>1.9111440720070384E-3</v>
      </c>
      <c r="AX88" s="48">
        <v>6600.4229551758399</v>
      </c>
      <c r="AY88" s="28">
        <f t="shared" si="38"/>
        <v>-1.6965439116633976E-3</v>
      </c>
      <c r="AZ88" s="34">
        <f t="shared" ref="AZ88:AZ119" si="42">AZ87*((1+AY88))</f>
        <v>99.60051303201611</v>
      </c>
      <c r="BA88" s="34">
        <f t="shared" ref="BA88:BA115" si="43">BA87*(1+AW88)*(1+AY88)</f>
        <v>112.96978780239397</v>
      </c>
      <c r="BB88" s="34"/>
      <c r="BC88" s="33">
        <f t="shared" si="34"/>
        <v>1.0455750272813775E-2</v>
      </c>
    </row>
    <row r="89" spans="1:55" s="26" customFormat="1">
      <c r="A89" s="26">
        <f t="shared" si="40"/>
        <v>2034</v>
      </c>
      <c r="B89" s="26">
        <f t="shared" si="41"/>
        <v>2</v>
      </c>
      <c r="C89" s="19"/>
      <c r="D89" s="43">
        <v>114561834.684376</v>
      </c>
      <c r="E89" s="19"/>
      <c r="F89" s="27">
        <v>20822969.548100401</v>
      </c>
      <c r="G89" s="43">
        <v>4217505.3346313396</v>
      </c>
      <c r="H89" s="43">
        <v>23203469.985892899</v>
      </c>
      <c r="I89" s="43">
        <v>130438.309318495</v>
      </c>
      <c r="J89" s="43">
        <v>717633.09234720306</v>
      </c>
      <c r="K89" s="19"/>
      <c r="L89" s="43">
        <v>2214671.10879798</v>
      </c>
      <c r="M89" s="27"/>
      <c r="N89" s="43">
        <v>984505.53151494602</v>
      </c>
      <c r="O89" s="19"/>
      <c r="P89" s="43">
        <v>16908397.869958799</v>
      </c>
      <c r="Q89" s="27"/>
      <c r="R89" s="43">
        <v>17837632.169034801</v>
      </c>
      <c r="S89" s="27"/>
      <c r="T89" s="43">
        <v>68203732.616208702</v>
      </c>
      <c r="U89" s="19"/>
      <c r="V89" s="43">
        <v>118908.780355544</v>
      </c>
      <c r="W89" s="27"/>
      <c r="X89" s="43">
        <v>298664.57390048</v>
      </c>
      <c r="Y89" s="19"/>
      <c r="Z89" s="19">
        <f t="shared" si="35"/>
        <v>-6065605.2390229832</v>
      </c>
      <c r="AA89" s="19"/>
      <c r="AB89" s="19">
        <f t="shared" si="36"/>
        <v>-63266499.938126102</v>
      </c>
      <c r="AC89" s="13"/>
      <c r="AD89" s="19"/>
      <c r="AE89" s="19"/>
      <c r="AF89" s="19">
        <f>BA87/100*AF25</f>
        <v>6491029507.3714695</v>
      </c>
      <c r="AG89" s="33">
        <f t="shared" si="33"/>
        <v>-7.2374427800723298E-3</v>
      </c>
      <c r="AH89" s="33">
        <f>(AF89-AF85)/AF85</f>
        <v>-1.2244495965574055E-3</v>
      </c>
      <c r="AI89" s="33">
        <f t="shared" si="39"/>
        <v>-9.7724372523753707E-3</v>
      </c>
      <c r="AU89" s="26">
        <v>12571440</v>
      </c>
      <c r="AW89" s="26">
        <f t="shared" si="37"/>
        <v>-1.6661980898768724E-4</v>
      </c>
      <c r="AX89" s="45">
        <v>6609.2057187253004</v>
      </c>
      <c r="AY89" s="33">
        <f t="shared" si="38"/>
        <v>1.3306364772538264E-3</v>
      </c>
      <c r="AZ89" s="26">
        <f t="shared" si="42"/>
        <v>99.733045107809701</v>
      </c>
      <c r="BA89" s="26">
        <f t="shared" si="43"/>
        <v>113.10126147183009</v>
      </c>
      <c r="BC89" s="33">
        <f t="shared" si="34"/>
        <v>8.8587658005013954E-3</v>
      </c>
    </row>
    <row r="90" spans="1:55" s="34" customFormat="1">
      <c r="A90" s="26">
        <f t="shared" si="40"/>
        <v>2034</v>
      </c>
      <c r="B90" s="26">
        <f t="shared" si="41"/>
        <v>3</v>
      </c>
      <c r="C90" s="19"/>
      <c r="D90" s="43">
        <v>114507740.086228</v>
      </c>
      <c r="E90" s="19"/>
      <c r="F90" s="27">
        <v>20813137.2145571</v>
      </c>
      <c r="G90" s="43">
        <v>4328075.5808297396</v>
      </c>
      <c r="H90" s="43">
        <v>23811794.856979702</v>
      </c>
      <c r="I90" s="43">
        <v>133858.00765452901</v>
      </c>
      <c r="J90" s="43">
        <v>736447.26361793396</v>
      </c>
      <c r="K90" s="19"/>
      <c r="L90" s="43">
        <v>2138297.8659259798</v>
      </c>
      <c r="M90" s="27"/>
      <c r="N90" s="43">
        <v>985178.57009973796</v>
      </c>
      <c r="O90" s="19"/>
      <c r="P90" s="43">
        <v>16515799.6093479</v>
      </c>
      <c r="Q90" s="27"/>
      <c r="R90" s="43">
        <v>15046210.393451899</v>
      </c>
      <c r="S90" s="27"/>
      <c r="T90" s="43">
        <v>57530489.519996598</v>
      </c>
      <c r="U90" s="19"/>
      <c r="V90" s="43">
        <v>121024.84928390601</v>
      </c>
      <c r="W90" s="27"/>
      <c r="X90" s="43">
        <v>303979.52896892501</v>
      </c>
      <c r="Y90" s="19"/>
      <c r="Z90" s="19">
        <f t="shared" si="35"/>
        <v>-8769378.4078470133</v>
      </c>
      <c r="AA90" s="19"/>
      <c r="AB90" s="19">
        <f t="shared" si="36"/>
        <v>-73493050.175579309</v>
      </c>
      <c r="AC90" s="13"/>
      <c r="AD90" s="18"/>
      <c r="AE90" s="18"/>
      <c r="AF90" s="18">
        <f>BA88/100*AF25</f>
        <v>6492401437.220973</v>
      </c>
      <c r="AG90" s="28">
        <f t="shared" ref="AG90:AG121" si="44">(AF90-AF89)/AF89</f>
        <v>2.1135782050374282E-4</v>
      </c>
      <c r="AH90" s="28"/>
      <c r="AI90" s="28">
        <f t="shared" si="39"/>
        <v>-1.1705130532916719E-2</v>
      </c>
      <c r="AT90" s="26"/>
      <c r="AU90" s="26">
        <v>12591732</v>
      </c>
      <c r="AV90" s="26"/>
      <c r="AW90" s="26">
        <f t="shared" si="37"/>
        <v>1.6141348962410034E-3</v>
      </c>
      <c r="AX90" s="45">
        <v>6590.5713375470996</v>
      </c>
      <c r="AY90" s="33">
        <f t="shared" si="38"/>
        <v>-2.8194584903607368E-3</v>
      </c>
      <c r="AZ90" s="26">
        <f t="shared" si="42"/>
        <v>99.451851927010964</v>
      </c>
      <c r="BA90" s="26">
        <f t="shared" si="43"/>
        <v>112.96442313055765</v>
      </c>
      <c r="BB90" s="26"/>
      <c r="BC90" s="28">
        <f t="shared" si="34"/>
        <v>1.0431973053419728E-2</v>
      </c>
    </row>
    <row r="91" spans="1:55" s="26" customFormat="1">
      <c r="A91" s="26">
        <f t="shared" si="40"/>
        <v>2034</v>
      </c>
      <c r="B91" s="26">
        <f t="shared" si="41"/>
        <v>4</v>
      </c>
      <c r="C91" s="19"/>
      <c r="D91" s="43">
        <v>114327119.244008</v>
      </c>
      <c r="E91" s="19"/>
      <c r="F91" s="27">
        <v>20780307.238434002</v>
      </c>
      <c r="G91" s="43">
        <v>4443070.3620388098</v>
      </c>
      <c r="H91" s="43">
        <v>24444462.214246299</v>
      </c>
      <c r="I91" s="43">
        <v>137414.547279552</v>
      </c>
      <c r="J91" s="43">
        <v>756014.29528597195</v>
      </c>
      <c r="K91" s="19"/>
      <c r="L91" s="43">
        <v>2136854.2036513998</v>
      </c>
      <c r="M91" s="27"/>
      <c r="N91" s="43">
        <v>985194.01055377699</v>
      </c>
      <c r="O91" s="19"/>
      <c r="P91" s="43">
        <v>16508393.387764599</v>
      </c>
      <c r="Q91" s="27"/>
      <c r="R91" s="43">
        <v>17740921.578294799</v>
      </c>
      <c r="S91" s="27"/>
      <c r="T91" s="43">
        <v>67833951.290442795</v>
      </c>
      <c r="U91" s="19"/>
      <c r="V91" s="43">
        <v>120538.65381790001</v>
      </c>
      <c r="W91" s="27"/>
      <c r="X91" s="43">
        <v>302758.34613235999</v>
      </c>
      <c r="Y91" s="19"/>
      <c r="Z91" s="19">
        <f t="shared" si="35"/>
        <v>-6040895.220526481</v>
      </c>
      <c r="AA91" s="19"/>
      <c r="AB91" s="19">
        <f t="shared" si="36"/>
        <v>-63001561.341329813</v>
      </c>
      <c r="AC91" s="13"/>
      <c r="AD91" s="19"/>
      <c r="AE91" s="19"/>
      <c r="AF91" s="19">
        <f>BA89/100*AF25</f>
        <v>6499957261.2780819</v>
      </c>
      <c r="AG91" s="33">
        <f t="shared" si="44"/>
        <v>1.1637949578704881E-3</v>
      </c>
      <c r="AH91" s="33"/>
      <c r="AI91" s="33">
        <f t="shared" si="39"/>
        <v>-9.7333716815371889E-3</v>
      </c>
      <c r="AU91" s="26">
        <v>12592071</v>
      </c>
      <c r="AW91" s="26">
        <f t="shared" si="37"/>
        <v>2.6922428145707039E-5</v>
      </c>
      <c r="AX91" s="45">
        <v>6599.0644003298803</v>
      </c>
      <c r="AY91" s="33">
        <f t="shared" si="38"/>
        <v>1.2886686673725773E-3</v>
      </c>
      <c r="AZ91" s="26">
        <f t="shared" si="42"/>
        <v>99.580012412501475</v>
      </c>
      <c r="BA91" s="26">
        <f t="shared" si="43"/>
        <v>113.11304203893638</v>
      </c>
      <c r="BC91" s="33">
        <f t="shared" si="34"/>
        <v>8.8425104821630175E-3</v>
      </c>
    </row>
    <row r="92" spans="1:55" s="26" customFormat="1">
      <c r="A92" s="34">
        <f t="shared" si="40"/>
        <v>2035</v>
      </c>
      <c r="B92" s="34">
        <f t="shared" si="41"/>
        <v>1</v>
      </c>
      <c r="C92" s="18"/>
      <c r="D92" s="46">
        <v>114166215.153634</v>
      </c>
      <c r="E92" s="18"/>
      <c r="F92" s="38">
        <v>20751061.015350599</v>
      </c>
      <c r="G92" s="46">
        <v>4549337.8494194997</v>
      </c>
      <c r="H92" s="46">
        <v>25029114.575837102</v>
      </c>
      <c r="I92" s="46">
        <v>140701.17060060101</v>
      </c>
      <c r="J92" s="46">
        <v>774096.32708773599</v>
      </c>
      <c r="K92" s="18"/>
      <c r="L92" s="46">
        <v>2595649.9547576201</v>
      </c>
      <c r="M92" s="38"/>
      <c r="N92" s="46">
        <v>985790.43052915903</v>
      </c>
      <c r="O92" s="18"/>
      <c r="P92" s="46">
        <v>18892368.048010301</v>
      </c>
      <c r="Q92" s="38"/>
      <c r="R92" s="46">
        <v>15048791.833501101</v>
      </c>
      <c r="S92" s="38"/>
      <c r="T92" s="46">
        <v>57540359.879762501</v>
      </c>
      <c r="U92" s="18"/>
      <c r="V92" s="46">
        <v>122730.349306328</v>
      </c>
      <c r="W92" s="38"/>
      <c r="X92" s="46">
        <v>308263.25331594801</v>
      </c>
      <c r="Y92" s="18"/>
      <c r="Z92" s="18">
        <f t="shared" si="35"/>
        <v>-9160979.2178299483</v>
      </c>
      <c r="AA92" s="18"/>
      <c r="AB92" s="18">
        <f t="shared" si="36"/>
        <v>-75518223.321881801</v>
      </c>
      <c r="AC92" s="13"/>
      <c r="AD92" s="19"/>
      <c r="AE92" s="19"/>
      <c r="AF92" s="19">
        <f>BA90/100*AF25</f>
        <v>6492093128.2136021</v>
      </c>
      <c r="AG92" s="33">
        <f t="shared" si="44"/>
        <v>-1.2098745804573967E-3</v>
      </c>
      <c r="AH92" s="33"/>
      <c r="AI92" s="33">
        <f t="shared" si="39"/>
        <v>-1.1320393704179971E-2</v>
      </c>
      <c r="AT92" s="34"/>
      <c r="AU92" s="34">
        <v>12567556</v>
      </c>
      <c r="AV92" s="34"/>
      <c r="AW92" s="34">
        <f t="shared" si="37"/>
        <v>-1.9468600518532655E-3</v>
      </c>
      <c r="AX92" s="48">
        <v>6608.0926886274101</v>
      </c>
      <c r="AY92" s="28">
        <f t="shared" si="38"/>
        <v>1.3681164101199683E-3</v>
      </c>
      <c r="AZ92" s="34">
        <f t="shared" si="42"/>
        <v>99.71624946160297</v>
      </c>
      <c r="BA92" s="34">
        <f t="shared" si="43"/>
        <v>113.04727730494432</v>
      </c>
      <c r="BB92" s="34"/>
      <c r="BC92" s="33">
        <f t="shared" si="34"/>
        <v>1.0461921003882772E-2</v>
      </c>
    </row>
    <row r="93" spans="1:55" s="26" customFormat="1">
      <c r="A93" s="26">
        <f t="shared" si="40"/>
        <v>2035</v>
      </c>
      <c r="B93" s="26">
        <f t="shared" si="41"/>
        <v>2</v>
      </c>
      <c r="C93" s="19"/>
      <c r="D93" s="43">
        <v>114413864.64714</v>
      </c>
      <c r="E93" s="19"/>
      <c r="F93" s="27">
        <v>20796074.242278099</v>
      </c>
      <c r="G93" s="43">
        <v>4639429.3991694301</v>
      </c>
      <c r="H93" s="43">
        <v>25524771.7012567</v>
      </c>
      <c r="I93" s="43">
        <v>143487.50719080601</v>
      </c>
      <c r="J93" s="43">
        <v>789425.92890483805</v>
      </c>
      <c r="K93" s="19"/>
      <c r="L93" s="43">
        <v>2085555.0307921499</v>
      </c>
      <c r="M93" s="27"/>
      <c r="N93" s="43">
        <v>989670.88394166494</v>
      </c>
      <c r="O93" s="19"/>
      <c r="P93" s="43">
        <v>16266832.172421001</v>
      </c>
      <c r="Q93" s="27"/>
      <c r="R93" s="43">
        <v>17760606.8683661</v>
      </c>
      <c r="S93" s="27"/>
      <c r="T93" s="43">
        <v>67909219.703188196</v>
      </c>
      <c r="U93" s="19"/>
      <c r="V93" s="43">
        <v>120340.336867256</v>
      </c>
      <c r="W93" s="27"/>
      <c r="X93" s="43">
        <v>302260.23112870601</v>
      </c>
      <c r="Y93" s="19"/>
      <c r="Z93" s="19">
        <f t="shared" si="35"/>
        <v>-5990352.9517785609</v>
      </c>
      <c r="AA93" s="19"/>
      <c r="AB93" s="19">
        <f t="shared" si="36"/>
        <v>-62771477.116372801</v>
      </c>
      <c r="AC93" s="13"/>
      <c r="AD93" s="19"/>
      <c r="AE93" s="19"/>
      <c r="AF93" s="19">
        <f>BA91/100*AF25</f>
        <v>6500634293.3616161</v>
      </c>
      <c r="AG93" s="33">
        <f t="shared" si="44"/>
        <v>1.3156257896079042E-3</v>
      </c>
      <c r="AH93" s="33">
        <f>(AF93-AF89)/AF89</f>
        <v>1.4797014832915276E-3</v>
      </c>
      <c r="AI93" s="33">
        <f t="shared" si="39"/>
        <v>-9.6916021572950786E-3</v>
      </c>
      <c r="AU93" s="26">
        <v>12584268</v>
      </c>
      <c r="AW93" s="26">
        <f t="shared" si="37"/>
        <v>1.3297732669741039E-3</v>
      </c>
      <c r="AX93" s="45">
        <v>6597.3477351600304</v>
      </c>
      <c r="AY93" s="33">
        <f t="shared" si="38"/>
        <v>-1.6260294722971788E-3</v>
      </c>
      <c r="AZ93" s="26">
        <f t="shared" si="42"/>
        <v>99.554107901111465</v>
      </c>
      <c r="BA93" s="26">
        <f t="shared" si="43"/>
        <v>113.01354191101332</v>
      </c>
      <c r="BC93" s="33">
        <f t="shared" si="34"/>
        <v>8.8766085245641415E-3</v>
      </c>
    </row>
    <row r="94" spans="1:55" s="34" customFormat="1">
      <c r="A94" s="26">
        <f t="shared" si="40"/>
        <v>2035</v>
      </c>
      <c r="B94" s="26">
        <f t="shared" si="41"/>
        <v>3</v>
      </c>
      <c r="C94" s="19"/>
      <c r="D94" s="43">
        <v>114156518.330182</v>
      </c>
      <c r="E94" s="19"/>
      <c r="F94" s="27">
        <v>20749298.502904799</v>
      </c>
      <c r="G94" s="43">
        <v>4721285.8338708403</v>
      </c>
      <c r="H94" s="43">
        <v>25975121.653430998</v>
      </c>
      <c r="I94" s="43">
        <v>146019.14950115999</v>
      </c>
      <c r="J94" s="43">
        <v>803354.27794116503</v>
      </c>
      <c r="K94" s="19"/>
      <c r="L94" s="43">
        <v>2104897.5191726498</v>
      </c>
      <c r="M94" s="27"/>
      <c r="N94" s="43">
        <v>989118.10490174603</v>
      </c>
      <c r="O94" s="19"/>
      <c r="P94" s="43">
        <v>16364159.2093962</v>
      </c>
      <c r="Q94" s="27"/>
      <c r="R94" s="43">
        <v>15021844.0067559</v>
      </c>
      <c r="S94" s="27"/>
      <c r="T94" s="43">
        <v>57437322.528588399</v>
      </c>
      <c r="U94" s="19"/>
      <c r="V94" s="43">
        <v>118497.42651187</v>
      </c>
      <c r="W94" s="27"/>
      <c r="X94" s="43">
        <v>297631.37164177501</v>
      </c>
      <c r="Y94" s="19"/>
      <c r="Z94" s="19">
        <f t="shared" si="35"/>
        <v>-8702972.6937114242</v>
      </c>
      <c r="AA94" s="19"/>
      <c r="AB94" s="19">
        <f t="shared" si="36"/>
        <v>-73083355.0109898</v>
      </c>
      <c r="AC94" s="13"/>
      <c r="AD94" s="18"/>
      <c r="AE94" s="18"/>
      <c r="AF94" s="18">
        <f>BA92/100*AF25</f>
        <v>6496854777.9549351</v>
      </c>
      <c r="AG94" s="28">
        <f t="shared" si="44"/>
        <v>-5.8140717291859734E-4</v>
      </c>
      <c r="AH94" s="28"/>
      <c r="AI94" s="28">
        <f t="shared" si="39"/>
        <v>-1.1623812737531014E-2</v>
      </c>
      <c r="AT94" s="26"/>
      <c r="AU94" s="26">
        <v>12576692</v>
      </c>
      <c r="AV94" s="26"/>
      <c r="AW94" s="26">
        <f t="shared" si="37"/>
        <v>-6.0202150812427074E-4</v>
      </c>
      <c r="AX94" s="45">
        <v>6589.8926056157397</v>
      </c>
      <c r="AY94" s="33">
        <f t="shared" si="38"/>
        <v>-1.1300191900692419E-3</v>
      </c>
      <c r="AZ94" s="26">
        <f t="shared" si="42"/>
        <v>99.44160984873298</v>
      </c>
      <c r="BA94" s="26">
        <f t="shared" si="43"/>
        <v>112.81787473962079</v>
      </c>
      <c r="BB94" s="26"/>
      <c r="BC94" s="28">
        <f t="shared" si="34"/>
        <v>1.0483307493569084E-2</v>
      </c>
    </row>
    <row r="95" spans="1:55" s="26" customFormat="1">
      <c r="A95" s="26">
        <f t="shared" si="40"/>
        <v>2035</v>
      </c>
      <c r="B95" s="26">
        <f t="shared" si="41"/>
        <v>4</v>
      </c>
      <c r="C95" s="19"/>
      <c r="D95" s="43">
        <v>114497317.44295301</v>
      </c>
      <c r="E95" s="19"/>
      <c r="F95" s="27">
        <v>20811242.775766701</v>
      </c>
      <c r="G95" s="43">
        <v>4809390.9094732096</v>
      </c>
      <c r="H95" s="43">
        <v>26459849.784195401</v>
      </c>
      <c r="I95" s="43">
        <v>148744.04874659301</v>
      </c>
      <c r="J95" s="43">
        <v>818345.86961428495</v>
      </c>
      <c r="K95" s="19"/>
      <c r="L95" s="43">
        <v>2123953.4133690498</v>
      </c>
      <c r="M95" s="27"/>
      <c r="N95" s="43">
        <v>994031.974261589</v>
      </c>
      <c r="O95" s="19"/>
      <c r="P95" s="43">
        <v>16490074.994361199</v>
      </c>
      <c r="Q95" s="27"/>
      <c r="R95" s="43">
        <v>17750296.4915682</v>
      </c>
      <c r="S95" s="27"/>
      <c r="T95" s="43">
        <v>67869797.083883405</v>
      </c>
      <c r="U95" s="19"/>
      <c r="V95" s="43">
        <v>122272.63572830999</v>
      </c>
      <c r="W95" s="27"/>
      <c r="X95" s="43">
        <v>307113.60877045302</v>
      </c>
      <c r="Y95" s="19"/>
      <c r="Z95" s="19">
        <f t="shared" si="35"/>
        <v>-6056659.036100829</v>
      </c>
      <c r="AA95" s="19"/>
      <c r="AB95" s="19">
        <f t="shared" si="36"/>
        <v>-63117595.3534308</v>
      </c>
      <c r="AC95" s="13"/>
      <c r="AD95" s="19"/>
      <c r="AE95" s="19"/>
      <c r="AF95" s="19">
        <f>BA93/100*AF25</f>
        <v>6494915996.5842381</v>
      </c>
      <c r="AG95" s="33">
        <f t="shared" si="44"/>
        <v>-2.984184558466161E-4</v>
      </c>
      <c r="AH95" s="33"/>
      <c r="AI95" s="33">
        <f t="shared" si="39"/>
        <v>-9.6647096204762542E-3</v>
      </c>
      <c r="AU95" s="26">
        <v>12631964</v>
      </c>
      <c r="AW95" s="26">
        <f t="shared" si="37"/>
        <v>4.3947963423132249E-3</v>
      </c>
      <c r="AX95" s="45">
        <v>6583.5935446151598</v>
      </c>
      <c r="AY95" s="33">
        <f t="shared" si="38"/>
        <v>-9.5586701901819577E-4</v>
      </c>
      <c r="AZ95" s="26">
        <f t="shared" si="42"/>
        <v>99.346556893560503</v>
      </c>
      <c r="BA95" s="26">
        <f t="shared" si="43"/>
        <v>113.20537350731462</v>
      </c>
      <c r="BC95" s="33">
        <f t="shared" si="34"/>
        <v>8.8841788473365251E-3</v>
      </c>
    </row>
    <row r="96" spans="1:55" s="26" customFormat="1">
      <c r="A96" s="34">
        <f t="shared" si="40"/>
        <v>2036</v>
      </c>
      <c r="B96" s="34">
        <f t="shared" si="41"/>
        <v>1</v>
      </c>
      <c r="C96" s="18"/>
      <c r="D96" s="46">
        <v>114611176.299126</v>
      </c>
      <c r="E96" s="18"/>
      <c r="F96" s="38">
        <v>20831937.970649</v>
      </c>
      <c r="G96" s="46">
        <v>4873242.2266455302</v>
      </c>
      <c r="H96" s="46">
        <v>26811140.8920932</v>
      </c>
      <c r="I96" s="46">
        <v>150718.83175192299</v>
      </c>
      <c r="J96" s="46">
        <v>829210.54305442597</v>
      </c>
      <c r="K96" s="18"/>
      <c r="L96" s="46">
        <v>2660757.1155296899</v>
      </c>
      <c r="M96" s="38"/>
      <c r="N96" s="46">
        <v>996389.69974466006</v>
      </c>
      <c r="O96" s="18"/>
      <c r="P96" s="46">
        <v>19288523.466696601</v>
      </c>
      <c r="Q96" s="38"/>
      <c r="R96" s="46">
        <v>15132224.3661159</v>
      </c>
      <c r="S96" s="38"/>
      <c r="T96" s="46">
        <v>57859371.399454899</v>
      </c>
      <c r="U96" s="18"/>
      <c r="V96" s="46">
        <v>122010.14412752099</v>
      </c>
      <c r="W96" s="38"/>
      <c r="X96" s="46">
        <v>306454.30554769997</v>
      </c>
      <c r="Y96" s="18"/>
      <c r="Z96" s="18">
        <f t="shared" si="35"/>
        <v>-9234850.2756799292</v>
      </c>
      <c r="AA96" s="18"/>
      <c r="AB96" s="18">
        <f t="shared" si="36"/>
        <v>-76040328.366367698</v>
      </c>
      <c r="AC96" s="13"/>
      <c r="AD96" s="19"/>
      <c r="AE96" s="19"/>
      <c r="AF96" s="19">
        <f>BA94/100*AF25</f>
        <v>6483670956.2112503</v>
      </c>
      <c r="AG96" s="33">
        <f t="shared" si="44"/>
        <v>-1.7313604023364833E-3</v>
      </c>
      <c r="AH96" s="33"/>
      <c r="AI96" s="33">
        <f t="shared" si="39"/>
        <v>-1.1271909926424805E-2</v>
      </c>
      <c r="AT96" s="34"/>
      <c r="AU96" s="34">
        <v>12670695</v>
      </c>
      <c r="AV96" s="34"/>
      <c r="AW96" s="34">
        <f t="shared" si="37"/>
        <v>3.0661107013921192E-3</v>
      </c>
      <c r="AX96" s="48">
        <v>6601.1786529388501</v>
      </c>
      <c r="AY96" s="28">
        <f t="shared" si="38"/>
        <v>2.6710501194402367E-3</v>
      </c>
      <c r="AZ96" s="34">
        <f t="shared" si="42"/>
        <v>99.61191652621703</v>
      </c>
      <c r="BA96" s="34">
        <f t="shared" si="43"/>
        <v>113.85577806295828</v>
      </c>
      <c r="BB96" s="34"/>
      <c r="BC96" s="33">
        <f t="shared" si="34"/>
        <v>1.0473086500410374E-2</v>
      </c>
    </row>
    <row r="97" spans="1:55" s="26" customFormat="1">
      <c r="A97" s="26">
        <f t="shared" si="40"/>
        <v>2036</v>
      </c>
      <c r="B97" s="26">
        <f t="shared" si="41"/>
        <v>2</v>
      </c>
      <c r="C97" s="19"/>
      <c r="D97" s="43">
        <v>114859788.004429</v>
      </c>
      <c r="E97" s="19"/>
      <c r="F97" s="27">
        <v>20877126.090960599</v>
      </c>
      <c r="G97" s="43">
        <v>4908544.6375821503</v>
      </c>
      <c r="H97" s="43">
        <v>27005364.341171298</v>
      </c>
      <c r="I97" s="43">
        <v>151810.658894294</v>
      </c>
      <c r="J97" s="43">
        <v>835217.45385066303</v>
      </c>
      <c r="K97" s="19"/>
      <c r="L97" s="43">
        <v>2121557.61368187</v>
      </c>
      <c r="M97" s="27"/>
      <c r="N97" s="43">
        <v>1000235.45261481</v>
      </c>
      <c r="O97" s="19"/>
      <c r="P97" s="43">
        <v>16511772.8859728</v>
      </c>
      <c r="Q97" s="27"/>
      <c r="R97" s="43">
        <v>17883603.8201406</v>
      </c>
      <c r="S97" s="27"/>
      <c r="T97" s="43">
        <v>68379509.208652794</v>
      </c>
      <c r="U97" s="19"/>
      <c r="V97" s="43">
        <v>118658.113649274</v>
      </c>
      <c r="W97" s="27"/>
      <c r="X97" s="43">
        <v>298034.97140354599</v>
      </c>
      <c r="Y97" s="19"/>
      <c r="Z97" s="19">
        <f t="shared" si="35"/>
        <v>-5996657.223467404</v>
      </c>
      <c r="AA97" s="19"/>
      <c r="AB97" s="19">
        <f t="shared" si="36"/>
        <v>-62992051.681749001</v>
      </c>
      <c r="AC97" s="13"/>
      <c r="AD97" s="19"/>
      <c r="AE97" s="19"/>
      <c r="AF97" s="19">
        <f>BA95/100*AF25</f>
        <v>6505940605.5151625</v>
      </c>
      <c r="AG97" s="33">
        <f t="shared" si="44"/>
        <v>3.4347284824160001E-3</v>
      </c>
      <c r="AH97" s="33">
        <f>(AF97-AF93)/AF93</f>
        <v>8.1627606077842082E-4</v>
      </c>
      <c r="AI97" s="33">
        <f t="shared" si="39"/>
        <v>-9.7015326730657929E-3</v>
      </c>
      <c r="AU97" s="26">
        <v>12640360</v>
      </c>
      <c r="AW97" s="26">
        <f t="shared" si="37"/>
        <v>-2.3941070320136347E-3</v>
      </c>
      <c r="AX97" s="45">
        <v>6609.6565884517604</v>
      </c>
      <c r="AY97" s="33">
        <f t="shared" si="38"/>
        <v>1.2843063274974313E-3</v>
      </c>
      <c r="AZ97" s="26">
        <f t="shared" si="42"/>
        <v>99.739848740905799</v>
      </c>
      <c r="BA97" s="26">
        <f t="shared" si="43"/>
        <v>113.72907076028326</v>
      </c>
      <c r="BC97" s="33">
        <f t="shared" si="34"/>
        <v>8.8751582430219387E-3</v>
      </c>
    </row>
    <row r="98" spans="1:55" s="34" customFormat="1">
      <c r="A98" s="26">
        <f t="shared" si="40"/>
        <v>2036</v>
      </c>
      <c r="B98" s="26">
        <f t="shared" si="41"/>
        <v>3</v>
      </c>
      <c r="C98" s="19"/>
      <c r="D98" s="43">
        <v>114940929.15676799</v>
      </c>
      <c r="E98" s="19"/>
      <c r="F98" s="27">
        <v>20891874.455884099</v>
      </c>
      <c r="G98" s="43">
        <v>5008482.2999332398</v>
      </c>
      <c r="H98" s="43">
        <v>27555191.873049598</v>
      </c>
      <c r="I98" s="43">
        <v>154901.51443092499</v>
      </c>
      <c r="J98" s="43">
        <v>852222.42906339199</v>
      </c>
      <c r="K98" s="19"/>
      <c r="L98" s="43">
        <v>2126599.0822570901</v>
      </c>
      <c r="M98" s="27"/>
      <c r="N98" s="43">
        <v>1001273.28389924</v>
      </c>
      <c r="O98" s="19"/>
      <c r="P98" s="43">
        <v>16543642.9318929</v>
      </c>
      <c r="Q98" s="27"/>
      <c r="R98" s="43">
        <v>15274990.313476499</v>
      </c>
      <c r="S98" s="27"/>
      <c r="T98" s="43">
        <v>58405249.372955397</v>
      </c>
      <c r="U98" s="19"/>
      <c r="V98" s="43">
        <v>120859.01684698999</v>
      </c>
      <c r="W98" s="27"/>
      <c r="X98" s="43">
        <v>303563.00569820998</v>
      </c>
      <c r="Y98" s="19"/>
      <c r="Z98" s="19">
        <f t="shared" si="35"/>
        <v>-8623897.49171694</v>
      </c>
      <c r="AA98" s="19"/>
      <c r="AB98" s="19">
        <f t="shared" si="36"/>
        <v>-73079322.715705499</v>
      </c>
      <c r="AC98" s="13"/>
      <c r="AD98" s="18"/>
      <c r="AE98" s="18"/>
      <c r="AF98" s="18">
        <f>BA96/100*AF25</f>
        <v>6543319514.9915819</v>
      </c>
      <c r="AG98" s="28">
        <f t="shared" si="44"/>
        <v>5.7453505561875107E-3</v>
      </c>
      <c r="AH98" s="28"/>
      <c r="AI98" s="28">
        <f t="shared" si="39"/>
        <v>-1.16210630081795E-2</v>
      </c>
      <c r="AT98" s="26"/>
      <c r="AU98" s="26">
        <v>12724796</v>
      </c>
      <c r="AV98" s="26"/>
      <c r="AW98" s="26">
        <f t="shared" si="37"/>
        <v>6.679873041590588E-3</v>
      </c>
      <c r="AX98" s="45">
        <v>6609.6396479578498</v>
      </c>
      <c r="AY98" s="33">
        <f t="shared" si="38"/>
        <v>-2.5629915388073862E-6</v>
      </c>
      <c r="AZ98" s="26">
        <f t="shared" si="42"/>
        <v>99.739593108517397</v>
      </c>
      <c r="BA98" s="26">
        <f t="shared" si="43"/>
        <v>114.48847308036018</v>
      </c>
      <c r="BB98" s="26"/>
      <c r="BC98" s="28">
        <f t="shared" si="34"/>
        <v>1.0470563236201779E-2</v>
      </c>
    </row>
    <row r="99" spans="1:55" s="26" customFormat="1">
      <c r="A99" s="26">
        <f t="shared" si="40"/>
        <v>2036</v>
      </c>
      <c r="B99" s="26">
        <f t="shared" si="41"/>
        <v>4</v>
      </c>
      <c r="C99" s="19"/>
      <c r="D99" s="43">
        <v>115002195.503278</v>
      </c>
      <c r="E99" s="19"/>
      <c r="F99" s="27">
        <v>20903010.339586001</v>
      </c>
      <c r="G99" s="43">
        <v>5136590.8549210699</v>
      </c>
      <c r="H99" s="43">
        <v>28260007.344458099</v>
      </c>
      <c r="I99" s="43">
        <v>158863.63468828201</v>
      </c>
      <c r="J99" s="43">
        <v>874020.84570490103</v>
      </c>
      <c r="K99" s="19"/>
      <c r="L99" s="43">
        <v>2113511.7215500199</v>
      </c>
      <c r="M99" s="27"/>
      <c r="N99" s="43">
        <v>1003204.11162038</v>
      </c>
      <c r="O99" s="19"/>
      <c r="P99" s="43">
        <v>16486355.3994046</v>
      </c>
      <c r="Q99" s="27"/>
      <c r="R99" s="43">
        <v>18044381.0637438</v>
      </c>
      <c r="S99" s="27"/>
      <c r="T99" s="43">
        <v>68994254.934406906</v>
      </c>
      <c r="U99" s="19"/>
      <c r="V99" s="43">
        <v>120441.556560503</v>
      </c>
      <c r="W99" s="27"/>
      <c r="X99" s="43">
        <v>302514.465815695</v>
      </c>
      <c r="Y99" s="19"/>
      <c r="Z99" s="19">
        <f t="shared" si="35"/>
        <v>-5854903.5524521004</v>
      </c>
      <c r="AA99" s="19"/>
      <c r="AB99" s="19">
        <f t="shared" si="36"/>
        <v>-62494295.968275696</v>
      </c>
      <c r="AC99" s="13"/>
      <c r="AD99" s="19"/>
      <c r="AE99" s="19"/>
      <c r="AF99" s="19">
        <f>BA97/100*AF25</f>
        <v>6536037615.2022991</v>
      </c>
      <c r="AG99" s="33">
        <f t="shared" si="44"/>
        <v>-1.112875471325989E-3</v>
      </c>
      <c r="AH99" s="33"/>
      <c r="AI99" s="33">
        <f t="shared" si="39"/>
        <v>-9.637651340199534E-3</v>
      </c>
      <c r="AU99" s="26">
        <v>12712715</v>
      </c>
      <c r="AW99" s="26">
        <f t="shared" si="37"/>
        <v>-9.4940618301464323E-4</v>
      </c>
      <c r="AX99" s="45">
        <v>6617.5935504212002</v>
      </c>
      <c r="AY99" s="33">
        <f t="shared" si="38"/>
        <v>1.2033791381967306E-3</v>
      </c>
      <c r="AZ99" s="26">
        <f t="shared" si="42"/>
        <v>99.859617654116406</v>
      </c>
      <c r="BA99" s="26">
        <f t="shared" si="43"/>
        <v>114.51741925362658</v>
      </c>
      <c r="BC99" s="33">
        <f t="shared" si="34"/>
        <v>8.8175904829393779E-3</v>
      </c>
    </row>
    <row r="100" spans="1:55" s="26" customFormat="1">
      <c r="A100" s="34">
        <f t="shared" si="40"/>
        <v>2037</v>
      </c>
      <c r="B100" s="34">
        <f t="shared" si="41"/>
        <v>1</v>
      </c>
      <c r="C100" s="18"/>
      <c r="D100" s="46">
        <v>115720092.63146199</v>
      </c>
      <c r="E100" s="18"/>
      <c r="F100" s="38">
        <v>21033496.640543301</v>
      </c>
      <c r="G100" s="46">
        <v>5215265.8865815504</v>
      </c>
      <c r="H100" s="46">
        <v>28692854.155766901</v>
      </c>
      <c r="I100" s="46">
        <v>161296.88309014999</v>
      </c>
      <c r="J100" s="46">
        <v>887407.86048763001</v>
      </c>
      <c r="K100" s="18"/>
      <c r="L100" s="46">
        <v>2634085.2509063901</v>
      </c>
      <c r="M100" s="38"/>
      <c r="N100" s="46">
        <v>1011640.26733221</v>
      </c>
      <c r="O100" s="18"/>
      <c r="P100" s="46">
        <v>19234027.1575954</v>
      </c>
      <c r="Q100" s="38"/>
      <c r="R100" s="46">
        <v>15333558.039498599</v>
      </c>
      <c r="S100" s="38"/>
      <c r="T100" s="46">
        <v>58629188.149565302</v>
      </c>
      <c r="U100" s="18"/>
      <c r="V100" s="46">
        <v>120946.946573843</v>
      </c>
      <c r="W100" s="38"/>
      <c r="X100" s="46">
        <v>303783.85982122098</v>
      </c>
      <c r="Y100" s="18"/>
      <c r="Z100" s="18">
        <f t="shared" si="35"/>
        <v>-9224717.1727094576</v>
      </c>
      <c r="AA100" s="18"/>
      <c r="AB100" s="18">
        <f t="shared" si="36"/>
        <v>-76324931.639492095</v>
      </c>
      <c r="AC100" s="13"/>
      <c r="AD100" s="19"/>
      <c r="AE100" s="19"/>
      <c r="AF100" s="19">
        <f>BA98/100*AF25</f>
        <v>6579680652.9578485</v>
      </c>
      <c r="AG100" s="33">
        <f t="shared" si="44"/>
        <v>6.6772929295937991E-3</v>
      </c>
      <c r="AH100" s="33"/>
      <c r="AI100" s="33">
        <f t="shared" si="39"/>
        <v>-1.1106819095065536E-2</v>
      </c>
      <c r="AT100" s="34"/>
      <c r="AU100" s="34">
        <v>12736242</v>
      </c>
      <c r="AV100" s="34"/>
      <c r="AW100" s="34">
        <f t="shared" si="37"/>
        <v>1.8506668323800227E-3</v>
      </c>
      <c r="AX100" s="48">
        <v>6623.3709834391302</v>
      </c>
      <c r="AY100" s="28">
        <f t="shared" si="38"/>
        <v>8.7304138187245636E-4</v>
      </c>
      <c r="AZ100" s="34">
        <f t="shared" si="42"/>
        <v>99.946799232706411</v>
      </c>
      <c r="BA100" s="34">
        <f t="shared" si="43"/>
        <v>114.82951631591658</v>
      </c>
      <c r="BB100" s="34"/>
      <c r="BC100" s="33">
        <f t="shared" si="34"/>
        <v>1.0434084608431746E-2</v>
      </c>
    </row>
    <row r="101" spans="1:55" s="26" customFormat="1">
      <c r="A101" s="26">
        <f t="shared" si="40"/>
        <v>2037</v>
      </c>
      <c r="B101" s="26">
        <f t="shared" si="41"/>
        <v>2</v>
      </c>
      <c r="C101" s="19"/>
      <c r="D101" s="43">
        <v>116248243.666471</v>
      </c>
      <c r="E101" s="19"/>
      <c r="F101" s="27">
        <v>21129494.342998698</v>
      </c>
      <c r="G101" s="43">
        <v>5294088.0644751796</v>
      </c>
      <c r="H101" s="43">
        <v>29126510.522235401</v>
      </c>
      <c r="I101" s="43">
        <v>163734.68240645001</v>
      </c>
      <c r="J101" s="43">
        <v>900819.91305883205</v>
      </c>
      <c r="K101" s="19"/>
      <c r="L101" s="43">
        <v>2152034.2168697198</v>
      </c>
      <c r="M101" s="27"/>
      <c r="N101" s="43">
        <v>1018365.26874645</v>
      </c>
      <c r="O101" s="19"/>
      <c r="P101" s="43">
        <v>16769661.023989899</v>
      </c>
      <c r="Q101" s="27"/>
      <c r="R101" s="43">
        <v>17950633.991354499</v>
      </c>
      <c r="S101" s="27"/>
      <c r="T101" s="43">
        <v>68635804.877908096</v>
      </c>
      <c r="U101" s="19"/>
      <c r="V101" s="43">
        <v>117970.333926286</v>
      </c>
      <c r="W101" s="27"/>
      <c r="X101" s="43">
        <v>296307.46703179699</v>
      </c>
      <c r="Y101" s="19"/>
      <c r="Z101" s="19">
        <f t="shared" si="35"/>
        <v>-6231289.5033340827</v>
      </c>
      <c r="AA101" s="19"/>
      <c r="AB101" s="19">
        <f t="shared" si="36"/>
        <v>-64382099.81255281</v>
      </c>
      <c r="AC101" s="13"/>
      <c r="AD101" s="19"/>
      <c r="AE101" s="19"/>
      <c r="AF101" s="19">
        <f>BA99/100*AF25</f>
        <v>6581344196.6412773</v>
      </c>
      <c r="AG101" s="33">
        <f t="shared" si="44"/>
        <v>2.5283045958787227E-4</v>
      </c>
      <c r="AH101" s="33">
        <f>(AF101-AF97)/AF97</f>
        <v>1.1589959960930835E-2</v>
      </c>
      <c r="AI101" s="33">
        <f t="shared" si="39"/>
        <v>-9.4956735434334263E-3</v>
      </c>
      <c r="AU101" s="26">
        <v>12686950</v>
      </c>
      <c r="AW101" s="26">
        <f t="shared" si="37"/>
        <v>-3.8702154057688289E-3</v>
      </c>
      <c r="AX101" s="45">
        <v>6603.0199278724904</v>
      </c>
      <c r="AY101" s="33">
        <f t="shared" si="38"/>
        <v>-3.0726129666487031E-3</v>
      </c>
      <c r="AZ101" s="26">
        <f t="shared" si="42"/>
        <v>99.639701401408956</v>
      </c>
      <c r="BA101" s="26">
        <f t="shared" si="43"/>
        <v>114.03364020722559</v>
      </c>
      <c r="BC101" s="33">
        <f t="shared" si="34"/>
        <v>8.8391231969758236E-3</v>
      </c>
    </row>
    <row r="102" spans="1:55" s="34" customFormat="1">
      <c r="A102" s="26">
        <f t="shared" si="40"/>
        <v>2037</v>
      </c>
      <c r="B102" s="26">
        <f t="shared" si="41"/>
        <v>3</v>
      </c>
      <c r="C102" s="19"/>
      <c r="D102" s="43">
        <v>116479784.727347</v>
      </c>
      <c r="E102" s="19"/>
      <c r="F102" s="27">
        <v>21171579.671616498</v>
      </c>
      <c r="G102" s="43">
        <v>5393957.2277177302</v>
      </c>
      <c r="H102" s="43">
        <v>29675961.192228999</v>
      </c>
      <c r="I102" s="43">
        <v>166823.41941395</v>
      </c>
      <c r="J102" s="43">
        <v>917813.23274935002</v>
      </c>
      <c r="K102" s="19"/>
      <c r="L102" s="43">
        <v>2111333.5474395002</v>
      </c>
      <c r="M102" s="27"/>
      <c r="N102" s="43">
        <v>1022215.96299674</v>
      </c>
      <c r="O102" s="19"/>
      <c r="P102" s="43">
        <v>16579650.4404603</v>
      </c>
      <c r="Q102" s="27"/>
      <c r="R102" s="43">
        <v>15162651.542412199</v>
      </c>
      <c r="S102" s="27"/>
      <c r="T102" s="43">
        <v>57975712.345198698</v>
      </c>
      <c r="U102" s="19"/>
      <c r="V102" s="43">
        <v>120031.041387581</v>
      </c>
      <c r="W102" s="27"/>
      <c r="X102" s="43">
        <v>301483.37005612301</v>
      </c>
      <c r="Y102" s="19"/>
      <c r="Z102" s="19">
        <f t="shared" si="35"/>
        <v>-9022446.5982529595</v>
      </c>
      <c r="AA102" s="19"/>
      <c r="AB102" s="19">
        <f t="shared" si="36"/>
        <v>-75083722.822608605</v>
      </c>
      <c r="AC102" s="13"/>
      <c r="AD102" s="18"/>
      <c r="AE102" s="18"/>
      <c r="AF102" s="18">
        <f>BA100/100*AF25</f>
        <v>6599280491.4257574</v>
      </c>
      <c r="AG102" s="28">
        <f t="shared" si="44"/>
        <v>2.7253239229812205E-3</v>
      </c>
      <c r="AH102" s="28"/>
      <c r="AI102" s="28">
        <f t="shared" si="39"/>
        <v>-1.1565644427246082E-2</v>
      </c>
      <c r="AT102" s="26"/>
      <c r="AU102" s="26">
        <v>12670955</v>
      </c>
      <c r="AV102" s="26"/>
      <c r="AW102" s="26">
        <f t="shared" si="37"/>
        <v>-1.260744308127643E-3</v>
      </c>
      <c r="AX102" s="45">
        <v>6589.9851445009099</v>
      </c>
      <c r="AY102" s="33">
        <f t="shared" si="38"/>
        <v>-1.9740639152940323E-3</v>
      </c>
      <c r="AZ102" s="26">
        <f t="shared" si="42"/>
        <v>99.443006262341768</v>
      </c>
      <c r="BA102" s="26">
        <f t="shared" si="43"/>
        <v>113.66504705590231</v>
      </c>
      <c r="BB102" s="26"/>
      <c r="BC102" s="28">
        <f t="shared" si="34"/>
        <v>1.0440384742999227E-2</v>
      </c>
    </row>
    <row r="103" spans="1:55" s="26" customFormat="1">
      <c r="A103" s="26">
        <f t="shared" si="40"/>
        <v>2037</v>
      </c>
      <c r="B103" s="26">
        <f t="shared" si="41"/>
        <v>4</v>
      </c>
      <c r="C103" s="19"/>
      <c r="D103" s="43">
        <v>116395491.506411</v>
      </c>
      <c r="E103" s="19"/>
      <c r="F103" s="27">
        <v>21156258.380913701</v>
      </c>
      <c r="G103" s="43">
        <v>5474956.1550604096</v>
      </c>
      <c r="H103" s="43">
        <v>30121593.3919212</v>
      </c>
      <c r="I103" s="43">
        <v>169328.540878158</v>
      </c>
      <c r="J103" s="43">
        <v>931595.67191509495</v>
      </c>
      <c r="K103" s="19"/>
      <c r="L103" s="43">
        <v>2088565.78605913</v>
      </c>
      <c r="M103" s="27"/>
      <c r="N103" s="43">
        <v>1022586.67760253</v>
      </c>
      <c r="O103" s="19"/>
      <c r="P103" s="43">
        <v>16463547.980806701</v>
      </c>
      <c r="Q103" s="27"/>
      <c r="R103" s="43">
        <v>17936506.073671602</v>
      </c>
      <c r="S103" s="27"/>
      <c r="T103" s="43">
        <v>68581785.560156897</v>
      </c>
      <c r="U103" s="19"/>
      <c r="V103" s="43">
        <v>114726.243399115</v>
      </c>
      <c r="W103" s="27"/>
      <c r="X103" s="43">
        <v>288159.24692479498</v>
      </c>
      <c r="Y103" s="19"/>
      <c r="Z103" s="19">
        <f t="shared" si="35"/>
        <v>-6216178.5275046453</v>
      </c>
      <c r="AA103" s="19"/>
      <c r="AB103" s="19">
        <f t="shared" si="36"/>
        <v>-64277253.927060805</v>
      </c>
      <c r="AC103" s="13"/>
      <c r="AD103" s="19"/>
      <c r="AE103" s="19"/>
      <c r="AF103" s="19">
        <f>BA101/100*AF25</f>
        <v>6553541296.0848446</v>
      </c>
      <c r="AG103" s="33">
        <f t="shared" si="44"/>
        <v>-6.9309366983780051E-3</v>
      </c>
      <c r="AH103" s="33"/>
      <c r="AI103" s="33">
        <f t="shared" si="39"/>
        <v>-9.8240168031008459E-3</v>
      </c>
      <c r="AU103" s="26">
        <v>12720907</v>
      </c>
      <c r="AW103" s="26">
        <f t="shared" si="37"/>
        <v>3.9422442901896502E-3</v>
      </c>
      <c r="AX103" s="45">
        <v>6581.7966795107604</v>
      </c>
      <c r="AY103" s="33">
        <f t="shared" si="38"/>
        <v>-1.2425619801256155E-3</v>
      </c>
      <c r="AZ103" s="26">
        <f t="shared" si="42"/>
        <v>99.319442163570784</v>
      </c>
      <c r="BA103" s="26">
        <f t="shared" si="43"/>
        <v>113.97134978642566</v>
      </c>
      <c r="BC103" s="33">
        <f t="shared" si="34"/>
        <v>8.8355489713663107E-3</v>
      </c>
    </row>
    <row r="104" spans="1:55" s="26" customFormat="1">
      <c r="A104" s="34">
        <f t="shared" si="40"/>
        <v>2038</v>
      </c>
      <c r="B104" s="34">
        <f t="shared" si="41"/>
        <v>1</v>
      </c>
      <c r="C104" s="18"/>
      <c r="D104" s="46">
        <v>116278781.766311</v>
      </c>
      <c r="E104" s="18"/>
      <c r="F104" s="38">
        <v>21135045.0041309</v>
      </c>
      <c r="G104" s="46">
        <v>5570819.3889555801</v>
      </c>
      <c r="H104" s="46">
        <v>30649004.620585699</v>
      </c>
      <c r="I104" s="46">
        <v>172293.38316357401</v>
      </c>
      <c r="J104" s="46">
        <v>947907.359399557</v>
      </c>
      <c r="K104" s="18"/>
      <c r="L104" s="46">
        <v>2561104.4505187701</v>
      </c>
      <c r="M104" s="38"/>
      <c r="N104" s="46">
        <v>1021825.26890427</v>
      </c>
      <c r="O104" s="18"/>
      <c r="P104" s="46">
        <v>18911364.311036099</v>
      </c>
      <c r="Q104" s="38"/>
      <c r="R104" s="46">
        <v>15102545.908918999</v>
      </c>
      <c r="S104" s="38"/>
      <c r="T104" s="46">
        <v>57745893.246080004</v>
      </c>
      <c r="U104" s="18"/>
      <c r="V104" s="46">
        <v>118647.27361803901</v>
      </c>
      <c r="W104" s="38"/>
      <c r="X104" s="46">
        <v>298007.74437035201</v>
      </c>
      <c r="Y104" s="18"/>
      <c r="Z104" s="18">
        <f t="shared" si="35"/>
        <v>-9496781.5410169028</v>
      </c>
      <c r="AA104" s="18"/>
      <c r="AB104" s="18">
        <f t="shared" si="36"/>
        <v>-77444252.831267104</v>
      </c>
      <c r="AC104" s="13"/>
      <c r="AD104" s="19"/>
      <c r="AE104" s="19"/>
      <c r="AF104" s="19">
        <f>BA102/100*AF25</f>
        <v>6532358157.1947632</v>
      </c>
      <c r="AG104" s="33">
        <f t="shared" si="44"/>
        <v>-3.2323194335765366E-3</v>
      </c>
      <c r="AH104" s="33"/>
      <c r="AI104" s="33">
        <f t="shared" si="39"/>
        <v>-1.1494122186168118E-2</v>
      </c>
      <c r="AT104" s="34"/>
      <c r="AU104" s="34">
        <v>12695544</v>
      </c>
      <c r="AV104" s="34"/>
      <c r="AW104" s="34">
        <f t="shared" si="37"/>
        <v>-1.9938043725970167E-3</v>
      </c>
      <c r="AX104" s="48">
        <v>6593.9197838794998</v>
      </c>
      <c r="AY104" s="28">
        <f t="shared" si="38"/>
        <v>1.8419141397179322E-3</v>
      </c>
      <c r="AZ104" s="34">
        <f t="shared" si="42"/>
        <v>99.502380048440756</v>
      </c>
      <c r="BA104" s="34">
        <f t="shared" si="43"/>
        <v>113.95362010130349</v>
      </c>
      <c r="BB104" s="34"/>
      <c r="BC104" s="33">
        <f t="shared" si="34"/>
        <v>1.0401770671696354E-2</v>
      </c>
    </row>
    <row r="105" spans="1:55" s="26" customFormat="1">
      <c r="A105" s="26">
        <f t="shared" si="40"/>
        <v>2038</v>
      </c>
      <c r="B105" s="26">
        <f t="shared" si="41"/>
        <v>2</v>
      </c>
      <c r="C105" s="19"/>
      <c r="D105" s="43">
        <v>116555091.152336</v>
      </c>
      <c r="E105" s="19"/>
      <c r="F105" s="27">
        <v>21185267.505777501</v>
      </c>
      <c r="G105" s="43">
        <v>5644199.6932265703</v>
      </c>
      <c r="H105" s="43">
        <v>31052721.403994702</v>
      </c>
      <c r="I105" s="43">
        <v>174562.8771101</v>
      </c>
      <c r="J105" s="43">
        <v>960393.445484375</v>
      </c>
      <c r="K105" s="19"/>
      <c r="L105" s="43">
        <v>2053524.04280141</v>
      </c>
      <c r="M105" s="27"/>
      <c r="N105" s="43">
        <v>1025256.67548011</v>
      </c>
      <c r="O105" s="19"/>
      <c r="P105" s="43">
        <v>16296405.7490067</v>
      </c>
      <c r="Q105" s="27"/>
      <c r="R105" s="43">
        <v>17875089.325350702</v>
      </c>
      <c r="S105" s="27"/>
      <c r="T105" s="43">
        <v>68346953.299858004</v>
      </c>
      <c r="U105" s="19"/>
      <c r="V105" s="43">
        <v>114756.39028453401</v>
      </c>
      <c r="W105" s="27"/>
      <c r="X105" s="43">
        <v>288234.96720937901</v>
      </c>
      <c r="Y105" s="19"/>
      <c r="Z105" s="19">
        <f t="shared" si="35"/>
        <v>-6274202.5084237829</v>
      </c>
      <c r="AA105" s="19"/>
      <c r="AB105" s="19">
        <f t="shared" si="36"/>
        <v>-64504543.601484701</v>
      </c>
      <c r="AC105" s="13"/>
      <c r="AD105" s="19"/>
      <c r="AE105" s="19"/>
      <c r="AF105" s="19">
        <f>BA103/100*AF25</f>
        <v>6549961450.3102026</v>
      </c>
      <c r="AG105" s="33">
        <f t="shared" si="44"/>
        <v>2.6947838271928009E-3</v>
      </c>
      <c r="AH105" s="33">
        <f>(AF105-AF101)/AF101</f>
        <v>-4.7684402142484181E-3</v>
      </c>
      <c r="AI105" s="33">
        <f t="shared" si="39"/>
        <v>-9.8133789663779891E-3</v>
      </c>
      <c r="AU105" s="26">
        <v>12679167</v>
      </c>
      <c r="AW105" s="26">
        <f t="shared" si="37"/>
        <v>-1.2899801694200737E-3</v>
      </c>
      <c r="AX105" s="45">
        <v>6603.8603314308002</v>
      </c>
      <c r="AY105" s="33">
        <f t="shared" si="38"/>
        <v>1.5075323748406139E-3</v>
      </c>
      <c r="AZ105" s="26">
        <f t="shared" si="42"/>
        <v>99.652383107737478</v>
      </c>
      <c r="BA105" s="26">
        <f t="shared" si="43"/>
        <v>113.97818935856358</v>
      </c>
      <c r="BC105" s="33">
        <f t="shared" ref="BC105:BC136" si="45">T110/AF112</f>
        <v>8.8116163599656558E-3</v>
      </c>
    </row>
    <row r="106" spans="1:55" s="34" customFormat="1">
      <c r="A106" s="26">
        <f t="shared" si="40"/>
        <v>2038</v>
      </c>
      <c r="B106" s="26">
        <f t="shared" si="41"/>
        <v>3</v>
      </c>
      <c r="C106" s="19"/>
      <c r="D106" s="43">
        <v>116275575.91065399</v>
      </c>
      <c r="E106" s="19"/>
      <c r="F106" s="27">
        <v>21134462.301916901</v>
      </c>
      <c r="G106" s="43">
        <v>5714274.2812596504</v>
      </c>
      <c r="H106" s="43">
        <v>31438251.112006798</v>
      </c>
      <c r="I106" s="43">
        <v>176730.13241009199</v>
      </c>
      <c r="J106" s="43">
        <v>972317.04470124003</v>
      </c>
      <c r="K106" s="19"/>
      <c r="L106" s="43">
        <v>2060020.05289447</v>
      </c>
      <c r="M106" s="27"/>
      <c r="N106" s="43">
        <v>1023755.4665529</v>
      </c>
      <c r="O106" s="19"/>
      <c r="P106" s="43">
        <v>16321854.367671</v>
      </c>
      <c r="Q106" s="27"/>
      <c r="R106" s="43">
        <v>15056707.4440751</v>
      </c>
      <c r="S106" s="27"/>
      <c r="T106" s="43">
        <v>57570625.902851902</v>
      </c>
      <c r="U106" s="19"/>
      <c r="V106" s="43">
        <v>113972.829763085</v>
      </c>
      <c r="W106" s="27"/>
      <c r="X106" s="43">
        <v>286266.88908626599</v>
      </c>
      <c r="Y106" s="19"/>
      <c r="Z106" s="19">
        <f t="shared" si="35"/>
        <v>-9047557.5475260857</v>
      </c>
      <c r="AA106" s="19"/>
      <c r="AB106" s="19">
        <f t="shared" si="36"/>
        <v>-75026804.375473082</v>
      </c>
      <c r="AC106" s="13"/>
      <c r="AD106" s="18"/>
      <c r="AE106" s="18"/>
      <c r="AF106" s="18">
        <f>BA104/100*AF25</f>
        <v>6548942520.953886</v>
      </c>
      <c r="AG106" s="28">
        <f t="shared" si="44"/>
        <v>-1.5556264934480044E-4</v>
      </c>
      <c r="AH106" s="28"/>
      <c r="AI106" s="28">
        <f t="shared" si="39"/>
        <v>-1.1825459237652151E-2</v>
      </c>
      <c r="AT106" s="26"/>
      <c r="AU106" s="26">
        <v>12650453</v>
      </c>
      <c r="AV106" s="26"/>
      <c r="AW106" s="26">
        <f t="shared" si="37"/>
        <v>-2.2646598155856767E-3</v>
      </c>
      <c r="AX106" s="45">
        <v>6581.2665779670897</v>
      </c>
      <c r="AY106" s="33">
        <f t="shared" si="38"/>
        <v>-3.4212948684236234E-3</v>
      </c>
      <c r="AZ106" s="26">
        <f t="shared" si="42"/>
        <v>99.311442920784799</v>
      </c>
      <c r="BA106" s="26">
        <f t="shared" si="43"/>
        <v>113.33099764978166</v>
      </c>
      <c r="BB106" s="26"/>
      <c r="BC106" s="28">
        <f t="shared" si="45"/>
        <v>1.0369369215192808E-2</v>
      </c>
    </row>
    <row r="107" spans="1:55" s="26" customFormat="1">
      <c r="A107" s="26">
        <f t="shared" si="40"/>
        <v>2038</v>
      </c>
      <c r="B107" s="26">
        <f t="shared" si="41"/>
        <v>4</v>
      </c>
      <c r="C107" s="19"/>
      <c r="D107" s="43">
        <v>116290278.062343</v>
      </c>
      <c r="E107" s="19"/>
      <c r="F107" s="27">
        <v>21137134.5920191</v>
      </c>
      <c r="G107" s="43">
        <v>5813899.8921162998</v>
      </c>
      <c r="H107" s="43">
        <v>31986361.828632701</v>
      </c>
      <c r="I107" s="43">
        <v>179811.33686957599</v>
      </c>
      <c r="J107" s="43">
        <v>989268.92253503005</v>
      </c>
      <c r="K107" s="19"/>
      <c r="L107" s="43">
        <v>2080813.38446846</v>
      </c>
      <c r="M107" s="27"/>
      <c r="N107" s="43">
        <v>1024350.68248211</v>
      </c>
      <c r="O107" s="19"/>
      <c r="P107" s="43">
        <v>16433025.7664812</v>
      </c>
      <c r="Q107" s="27"/>
      <c r="R107" s="43">
        <v>17771967.429673899</v>
      </c>
      <c r="S107" s="27"/>
      <c r="T107" s="43">
        <v>67952657.793987498</v>
      </c>
      <c r="U107" s="19"/>
      <c r="V107" s="43">
        <v>115200.536517606</v>
      </c>
      <c r="W107" s="27"/>
      <c r="X107" s="43">
        <v>289350.53449594398</v>
      </c>
      <c r="Y107" s="19"/>
      <c r="Z107" s="19">
        <f t="shared" si="35"/>
        <v>-6355130.6927781645</v>
      </c>
      <c r="AA107" s="19"/>
      <c r="AB107" s="19">
        <f t="shared" si="36"/>
        <v>-64770646.034836702</v>
      </c>
      <c r="AC107" s="13"/>
      <c r="AD107" s="19"/>
      <c r="AE107" s="19"/>
      <c r="AF107" s="19">
        <f>BA105/100*AF25</f>
        <v>6550354522.1999712</v>
      </c>
      <c r="AG107" s="33">
        <f t="shared" si="44"/>
        <v>2.1560751855240011E-4</v>
      </c>
      <c r="AH107" s="33"/>
      <c r="AI107" s="33">
        <f t="shared" si="39"/>
        <v>-9.8474889233660153E-3</v>
      </c>
      <c r="AU107" s="26">
        <v>12635849</v>
      </c>
      <c r="AW107" s="26">
        <f t="shared" si="37"/>
        <v>-1.1544250628811475E-3</v>
      </c>
      <c r="AX107" s="45">
        <v>6584.2954891049203</v>
      </c>
      <c r="AY107" s="33">
        <f t="shared" si="38"/>
        <v>4.6023225194537399E-4</v>
      </c>
      <c r="AZ107" s="26">
        <f t="shared" si="42"/>
        <v>99.357149249804181</v>
      </c>
      <c r="BA107" s="26">
        <f t="shared" si="43"/>
        <v>113.25226387278471</v>
      </c>
      <c r="BC107" s="33">
        <f t="shared" si="45"/>
        <v>8.8148657061753333E-3</v>
      </c>
    </row>
    <row r="108" spans="1:55" s="26" customFormat="1">
      <c r="A108" s="34">
        <f t="shared" si="40"/>
        <v>2039</v>
      </c>
      <c r="B108" s="34">
        <f t="shared" si="41"/>
        <v>1</v>
      </c>
      <c r="C108" s="18"/>
      <c r="D108" s="46">
        <v>115902436.685279</v>
      </c>
      <c r="E108" s="18"/>
      <c r="F108" s="38">
        <v>21066639.830772001</v>
      </c>
      <c r="G108" s="46">
        <v>5886658.6304024104</v>
      </c>
      <c r="H108" s="46">
        <v>32386658.939384501</v>
      </c>
      <c r="I108" s="46">
        <v>182061.607125849</v>
      </c>
      <c r="J108" s="46">
        <v>1001649.24554798</v>
      </c>
      <c r="K108" s="18"/>
      <c r="L108" s="46">
        <v>2614937.1500065099</v>
      </c>
      <c r="M108" s="38"/>
      <c r="N108" s="46">
        <v>1021735.9987318</v>
      </c>
      <c r="O108" s="18"/>
      <c r="P108" s="46">
        <v>19190211.306437898</v>
      </c>
      <c r="Q108" s="38"/>
      <c r="R108" s="46">
        <v>15039792.1337869</v>
      </c>
      <c r="S108" s="38"/>
      <c r="T108" s="46">
        <v>57505948.747886203</v>
      </c>
      <c r="U108" s="18"/>
      <c r="V108" s="46">
        <v>117344.151846956</v>
      </c>
      <c r="W108" s="38"/>
      <c r="X108" s="46">
        <v>294734.67818182299</v>
      </c>
      <c r="Y108" s="18"/>
      <c r="Z108" s="18">
        <f t="shared" si="35"/>
        <v>-9546176.6938764546</v>
      </c>
      <c r="AA108" s="18"/>
      <c r="AB108" s="18">
        <f t="shared" si="36"/>
        <v>-77586699.243830696</v>
      </c>
      <c r="AC108" s="13"/>
      <c r="AD108" s="19"/>
      <c r="AE108" s="19"/>
      <c r="AF108" s="19">
        <f>BA106/100*AF25</f>
        <v>6513160255.8213968</v>
      </c>
      <c r="AG108" s="33">
        <f t="shared" si="44"/>
        <v>-5.6782066150035618E-3</v>
      </c>
      <c r="AH108" s="33"/>
      <c r="AI108" s="33">
        <f t="shared" si="39"/>
        <v>-1.1519262758568681E-2</v>
      </c>
      <c r="AT108" s="34"/>
      <c r="AU108" s="34">
        <v>12654459</v>
      </c>
      <c r="AV108" s="34"/>
      <c r="AW108" s="34">
        <f t="shared" si="37"/>
        <v>1.4727937948609546E-3</v>
      </c>
      <c r="AX108" s="48">
        <v>6574.4503119173996</v>
      </c>
      <c r="AY108" s="28">
        <f t="shared" si="38"/>
        <v>-1.4952514211750611E-3</v>
      </c>
      <c r="AZ108" s="34">
        <f t="shared" si="42"/>
        <v>99.208585331184509</v>
      </c>
      <c r="BA108" s="34">
        <f t="shared" si="43"/>
        <v>113.249471091966</v>
      </c>
      <c r="BB108" s="34"/>
      <c r="BC108" s="33">
        <f t="shared" si="45"/>
        <v>1.0390767251122266E-2</v>
      </c>
    </row>
    <row r="109" spans="1:55" s="26" customFormat="1">
      <c r="A109" s="26">
        <f t="shared" si="40"/>
        <v>2039</v>
      </c>
      <c r="B109" s="26">
        <f t="shared" si="41"/>
        <v>2</v>
      </c>
      <c r="C109" s="19"/>
      <c r="D109" s="43">
        <v>116327278.97106101</v>
      </c>
      <c r="E109" s="19"/>
      <c r="F109" s="27">
        <v>21143859.9451667</v>
      </c>
      <c r="G109" s="43">
        <v>5959290.5184875401</v>
      </c>
      <c r="H109" s="43">
        <v>32786258.157757301</v>
      </c>
      <c r="I109" s="43">
        <v>184307.95418002701</v>
      </c>
      <c r="J109" s="43">
        <v>1014007.98426054</v>
      </c>
      <c r="K109" s="19"/>
      <c r="L109" s="43">
        <v>2085692.74304371</v>
      </c>
      <c r="M109" s="27"/>
      <c r="N109" s="43">
        <v>1026880.00321218</v>
      </c>
      <c r="O109" s="19"/>
      <c r="P109" s="43">
        <v>16472260.3577103</v>
      </c>
      <c r="Q109" s="27"/>
      <c r="R109" s="43">
        <v>17701672.314357001</v>
      </c>
      <c r="S109" s="27"/>
      <c r="T109" s="43">
        <v>67683878.327976406</v>
      </c>
      <c r="U109" s="19"/>
      <c r="V109" s="43">
        <v>123546.126402543</v>
      </c>
      <c r="W109" s="27"/>
      <c r="X109" s="43">
        <v>310312.25018657697</v>
      </c>
      <c r="Y109" s="19"/>
      <c r="Z109" s="19">
        <f t="shared" si="35"/>
        <v>-6431214.2506630458</v>
      </c>
      <c r="AA109" s="19"/>
      <c r="AB109" s="19">
        <f t="shared" si="36"/>
        <v>-65115661.000794902</v>
      </c>
      <c r="AC109" s="13"/>
      <c r="AD109" s="19"/>
      <c r="AE109" s="19"/>
      <c r="AF109" s="19">
        <f>BA107/100*AF25</f>
        <v>6508635406.3295393</v>
      </c>
      <c r="AG109" s="33">
        <f t="shared" si="44"/>
        <v>-6.9472411458220513E-4</v>
      </c>
      <c r="AH109" s="33">
        <f>(AF109-AF105)/AF105</f>
        <v>-6.3093568251010269E-3</v>
      </c>
      <c r="AI109" s="33">
        <f t="shared" si="39"/>
        <v>-9.9514939755034251E-3</v>
      </c>
      <c r="AU109" s="26">
        <v>12650897</v>
      </c>
      <c r="AW109" s="26">
        <f t="shared" si="37"/>
        <v>-2.8148180811206548E-4</v>
      </c>
      <c r="AX109" s="45">
        <v>6574.7680714664402</v>
      </c>
      <c r="AY109" s="33">
        <f t="shared" si="38"/>
        <v>4.8332489252311242E-5</v>
      </c>
      <c r="AZ109" s="26">
        <f t="shared" si="42"/>
        <v>99.213380329068769</v>
      </c>
      <c r="BA109" s="26">
        <f t="shared" si="43"/>
        <v>113.22306551419274</v>
      </c>
      <c r="BC109" s="33">
        <f t="shared" si="45"/>
        <v>8.7941048870479772E-3</v>
      </c>
    </row>
    <row r="110" spans="1:55" s="34" customFormat="1">
      <c r="A110" s="26">
        <f t="shared" si="40"/>
        <v>2039</v>
      </c>
      <c r="B110" s="26">
        <f t="shared" si="41"/>
        <v>3</v>
      </c>
      <c r="C110" s="19"/>
      <c r="D110" s="43">
        <v>116286848.88572</v>
      </c>
      <c r="E110" s="19"/>
      <c r="F110" s="27">
        <v>21136511.2985759</v>
      </c>
      <c r="G110" s="43">
        <v>6074386.7798574101</v>
      </c>
      <c r="H110" s="43">
        <v>33419483.8289271</v>
      </c>
      <c r="I110" s="43">
        <v>187867.632366723</v>
      </c>
      <c r="J110" s="43">
        <v>1033592.28336888</v>
      </c>
      <c r="K110" s="19"/>
      <c r="L110" s="43">
        <v>2064294.0210283699</v>
      </c>
      <c r="M110" s="27"/>
      <c r="N110" s="43">
        <v>1027455.49584015</v>
      </c>
      <c r="O110" s="19"/>
      <c r="P110" s="43">
        <v>16364388.478088699</v>
      </c>
      <c r="Q110" s="27"/>
      <c r="R110" s="43">
        <v>14948208.6596238</v>
      </c>
      <c r="S110" s="27"/>
      <c r="T110" s="43">
        <v>57155771.396728203</v>
      </c>
      <c r="U110" s="19"/>
      <c r="V110" s="43">
        <v>122714.07328479701</v>
      </c>
      <c r="W110" s="27"/>
      <c r="X110" s="43">
        <v>308222.37264236901</v>
      </c>
      <c r="Y110" s="19"/>
      <c r="Z110" s="19">
        <f t="shared" ref="Z110:Z115" si="46">R110+V110-N110-L110-F110</f>
        <v>-9157338.0825358238</v>
      </c>
      <c r="AA110" s="19"/>
      <c r="AB110" s="19">
        <f t="shared" ref="AB110:AB115" si="47">T110-P110-D110</f>
        <v>-75495465.967080504</v>
      </c>
      <c r="AC110" s="13"/>
      <c r="AD110" s="18"/>
      <c r="AE110" s="18"/>
      <c r="AF110" s="18">
        <f>BA108/100*AF25</f>
        <v>6508474904.5303068</v>
      </c>
      <c r="AG110" s="28">
        <f t="shared" si="44"/>
        <v>-2.4659823328926611E-5</v>
      </c>
      <c r="AH110" s="28"/>
      <c r="AI110" s="28">
        <f t="shared" si="39"/>
        <v>-1.1920872459664165E-2</v>
      </c>
      <c r="AT110" s="26"/>
      <c r="AU110" s="26">
        <v>12619266</v>
      </c>
      <c r="AV110" s="26"/>
      <c r="AW110" s="26">
        <f t="shared" si="37"/>
        <v>-2.5002970145120936E-3</v>
      </c>
      <c r="AX110" s="45">
        <v>6570.4363260411201</v>
      </c>
      <c r="AY110" s="33">
        <f t="shared" si="38"/>
        <v>-6.5884383726314401E-4</v>
      </c>
      <c r="AZ110" s="26">
        <f t="shared" si="42"/>
        <v>99.148014204864921</v>
      </c>
      <c r="BA110" s="26">
        <f t="shared" si="43"/>
        <v>112.86556441551721</v>
      </c>
      <c r="BB110" s="26"/>
      <c r="BC110" s="28">
        <f t="shared" si="45"/>
        <v>1.0352565619062547E-2</v>
      </c>
    </row>
    <row r="111" spans="1:55" s="26" customFormat="1">
      <c r="A111" s="26">
        <f t="shared" si="40"/>
        <v>2039</v>
      </c>
      <c r="B111" s="26">
        <f t="shared" si="41"/>
        <v>4</v>
      </c>
      <c r="C111" s="19"/>
      <c r="D111" s="43">
        <v>116117728.436997</v>
      </c>
      <c r="E111" s="19"/>
      <c r="F111" s="27">
        <v>21105771.655103698</v>
      </c>
      <c r="G111" s="43">
        <v>6183338.4174911203</v>
      </c>
      <c r="H111" s="43">
        <v>34018903.5932578</v>
      </c>
      <c r="I111" s="43">
        <v>191237.27064405699</v>
      </c>
      <c r="J111" s="43">
        <v>1052131.03896674</v>
      </c>
      <c r="K111" s="19"/>
      <c r="L111" s="43">
        <v>2034244.3666159399</v>
      </c>
      <c r="M111" s="27"/>
      <c r="N111" s="43">
        <v>1027275.9945221</v>
      </c>
      <c r="O111" s="19"/>
      <c r="P111" s="43">
        <v>16207473.1152022</v>
      </c>
      <c r="Q111" s="27"/>
      <c r="R111" s="43">
        <v>17532472.298958302</v>
      </c>
      <c r="S111" s="27"/>
      <c r="T111" s="43">
        <v>67036927.4042463</v>
      </c>
      <c r="U111" s="19"/>
      <c r="V111" s="43">
        <v>123681.22984634701</v>
      </c>
      <c r="W111" s="27"/>
      <c r="X111" s="43">
        <v>310651.59108600899</v>
      </c>
      <c r="Y111" s="19"/>
      <c r="Z111" s="19">
        <f t="shared" si="46"/>
        <v>-6511138.4874370899</v>
      </c>
      <c r="AA111" s="19"/>
      <c r="AB111" s="19">
        <f t="shared" si="47"/>
        <v>-65288274.147952899</v>
      </c>
      <c r="AC111" s="13"/>
      <c r="AD111" s="19"/>
      <c r="AE111" s="19"/>
      <c r="AF111" s="19">
        <f>BA109/100*AF25</f>
        <v>6506957369.4935446</v>
      </c>
      <c r="AG111" s="33">
        <f t="shared" si="44"/>
        <v>-2.3316292357614192E-4</v>
      </c>
      <c r="AH111" s="33"/>
      <c r="AI111" s="33">
        <f t="shared" si="39"/>
        <v>-1.0007082773597922E-2</v>
      </c>
      <c r="AU111" s="26">
        <v>12592521</v>
      </c>
      <c r="AW111" s="26">
        <f t="shared" si="37"/>
        <v>-2.1193784170965252E-3</v>
      </c>
      <c r="AX111" s="45">
        <v>6562.5537600668404</v>
      </c>
      <c r="AY111" s="33">
        <f t="shared" ref="AY111:AY142" si="48">(AX111-AX110)/AX110</f>
        <v>-1.1997020567778929E-3</v>
      </c>
      <c r="AZ111" s="26">
        <f t="shared" si="42"/>
        <v>99.029066128297899</v>
      </c>
      <c r="BA111" s="26">
        <f t="shared" si="43"/>
        <v>112.4912414990329</v>
      </c>
      <c r="BC111" s="33" t="e">
        <f t="shared" si="45"/>
        <v>#DIV/0!</v>
      </c>
    </row>
    <row r="112" spans="1:55" s="26" customFormat="1">
      <c r="A112" s="34">
        <f t="shared" si="40"/>
        <v>2040</v>
      </c>
      <c r="B112" s="34">
        <f t="shared" si="41"/>
        <v>1</v>
      </c>
      <c r="C112" s="18"/>
      <c r="D112" s="46">
        <v>116228267.162277</v>
      </c>
      <c r="E112" s="18"/>
      <c r="F112" s="38">
        <v>21125863.376894999</v>
      </c>
      <c r="G112" s="46">
        <v>6295352.2189768404</v>
      </c>
      <c r="H112" s="46">
        <v>34635170.4796177</v>
      </c>
      <c r="I112" s="46">
        <v>194701.61501990099</v>
      </c>
      <c r="J112" s="46">
        <v>1071190.8395758001</v>
      </c>
      <c r="K112" s="18"/>
      <c r="L112" s="46">
        <v>2516517.23114079</v>
      </c>
      <c r="M112" s="38"/>
      <c r="N112" s="46">
        <v>1030011.1095129499</v>
      </c>
      <c r="O112" s="18"/>
      <c r="P112" s="46">
        <v>18725037.097540598</v>
      </c>
      <c r="Q112" s="38"/>
      <c r="R112" s="46">
        <v>14898001.874721</v>
      </c>
      <c r="S112" s="38"/>
      <c r="T112" s="46">
        <v>56963801.403144799</v>
      </c>
      <c r="U112" s="18"/>
      <c r="V112" s="46">
        <v>121649.754841004</v>
      </c>
      <c r="W112" s="38"/>
      <c r="X112" s="46">
        <v>305549.11156308302</v>
      </c>
      <c r="Y112" s="18"/>
      <c r="Z112" s="18">
        <f t="shared" si="46"/>
        <v>-9652740.0879867356</v>
      </c>
      <c r="AA112" s="18"/>
      <c r="AB112" s="18">
        <f t="shared" si="47"/>
        <v>-77989502.856672794</v>
      </c>
      <c r="AC112" s="13"/>
      <c r="AD112" s="19"/>
      <c r="AE112" s="19"/>
      <c r="AF112" s="19">
        <f>BA110/100*AF25</f>
        <v>6486411693.5920448</v>
      </c>
      <c r="AG112" s="33">
        <f t="shared" si="44"/>
        <v>-3.1574935464958914E-3</v>
      </c>
      <c r="AH112" s="33"/>
      <c r="AI112" s="33">
        <f t="shared" ref="AI112:AI143" si="49">AB110/AF112</f>
        <v>-1.1639018541123872E-2</v>
      </c>
      <c r="AT112" s="34"/>
      <c r="AU112" s="34">
        <v>12584105</v>
      </c>
      <c r="AV112" s="34"/>
      <c r="AW112" s="34">
        <f t="shared" si="37"/>
        <v>-6.6833321143558151E-4</v>
      </c>
      <c r="AX112" s="48">
        <v>6564.2441522517101</v>
      </c>
      <c r="AY112" s="28">
        <f t="shared" si="48"/>
        <v>2.5758146091782452E-4</v>
      </c>
      <c r="AZ112" s="34">
        <f t="shared" si="42"/>
        <v>99.054574179824556</v>
      </c>
      <c r="BA112" s="34">
        <f t="shared" si="43"/>
        <v>112.44501615927447</v>
      </c>
      <c r="BB112" s="34"/>
      <c r="BC112" s="33" t="e">
        <f t="shared" si="45"/>
        <v>#DIV/0!</v>
      </c>
    </row>
    <row r="113" spans="1:55" s="26" customFormat="1">
      <c r="A113" s="26">
        <f t="shared" si="40"/>
        <v>2040</v>
      </c>
      <c r="B113" s="26">
        <f t="shared" si="41"/>
        <v>2</v>
      </c>
      <c r="C113" s="19"/>
      <c r="D113" s="43">
        <v>116243155.10797</v>
      </c>
      <c r="E113" s="19"/>
      <c r="F113" s="27">
        <v>21128569.437256899</v>
      </c>
      <c r="G113" s="43">
        <v>6376371.4423516802</v>
      </c>
      <c r="H113" s="43">
        <v>35080914.342090599</v>
      </c>
      <c r="I113" s="43">
        <v>197207.36419644399</v>
      </c>
      <c r="J113" s="43">
        <v>1084976.73222961</v>
      </c>
      <c r="K113" s="19"/>
      <c r="L113" s="43">
        <v>2064512.4836420801</v>
      </c>
      <c r="M113" s="27"/>
      <c r="N113" s="43">
        <v>1030900.8009415</v>
      </c>
      <c r="O113" s="19"/>
      <c r="P113" s="43">
        <v>16384477.1337681</v>
      </c>
      <c r="Q113" s="27"/>
      <c r="R113" s="43">
        <v>17582695.8941577</v>
      </c>
      <c r="S113" s="27"/>
      <c r="T113" s="43">
        <v>67228961.673455596</v>
      </c>
      <c r="U113" s="19"/>
      <c r="V113" s="43">
        <v>124100.601527616</v>
      </c>
      <c r="W113" s="27"/>
      <c r="X113" s="43">
        <v>311704.93184114603</v>
      </c>
      <c r="Y113" s="19"/>
      <c r="Z113" s="19">
        <f t="shared" si="46"/>
        <v>-6517186.2261551637</v>
      </c>
      <c r="AA113" s="19"/>
      <c r="AB113" s="19">
        <f t="shared" si="47"/>
        <v>-65398670.5682825</v>
      </c>
      <c r="AC113" s="13"/>
      <c r="AD113" s="19"/>
      <c r="AE113" s="19"/>
      <c r="AF113" s="19">
        <f>BA111/100*AF25</f>
        <v>6464899263.691597</v>
      </c>
      <c r="AG113" s="33">
        <f t="shared" si="44"/>
        <v>-3.3165378512282949E-3</v>
      </c>
      <c r="AH113" s="33">
        <f>(AF113-AF109)/AF109</f>
        <v>-6.7197100325222777E-3</v>
      </c>
      <c r="AI113" s="33">
        <f t="shared" si="49"/>
        <v>-1.0098884991855524E-2</v>
      </c>
      <c r="AU113" s="26">
        <v>12580731</v>
      </c>
      <c r="AW113" s="26">
        <f t="shared" si="37"/>
        <v>-2.6811600825009011E-4</v>
      </c>
      <c r="AX113" s="45">
        <v>6573.9546880821299</v>
      </c>
      <c r="AY113" s="33">
        <f t="shared" si="48"/>
        <v>1.4793075341490438E-3</v>
      </c>
      <c r="AZ113" s="26">
        <f t="shared" si="42"/>
        <v>99.201106357700695</v>
      </c>
      <c r="BA113" s="26">
        <f t="shared" si="43"/>
        <v>112.58116401135568</v>
      </c>
      <c r="BC113" s="33" t="e">
        <f t="shared" si="45"/>
        <v>#DIV/0!</v>
      </c>
    </row>
    <row r="114" spans="1:55" s="34" customFormat="1">
      <c r="A114" s="26">
        <f t="shared" ref="A114:A145" si="50">A110+1</f>
        <v>2040</v>
      </c>
      <c r="B114" s="26">
        <f t="shared" ref="B114:B145" si="51">B110</f>
        <v>3</v>
      </c>
      <c r="C114" s="19"/>
      <c r="D114" s="43">
        <v>116019619.614307</v>
      </c>
      <c r="E114" s="19"/>
      <c r="F114" s="27">
        <v>21087939.2152436</v>
      </c>
      <c r="G114" s="43">
        <v>6429881.9311389802</v>
      </c>
      <c r="H114" s="43">
        <v>35375313.263251603</v>
      </c>
      <c r="I114" s="43">
        <v>198862.32776718499</v>
      </c>
      <c r="J114" s="43">
        <v>1094081.85350263</v>
      </c>
      <c r="K114" s="19"/>
      <c r="L114" s="43">
        <v>2068125.3324065299</v>
      </c>
      <c r="M114" s="27"/>
      <c r="N114" s="43">
        <v>1028982.34038163</v>
      </c>
      <c r="O114" s="19"/>
      <c r="P114" s="43">
        <v>16392669.419218499</v>
      </c>
      <c r="Q114" s="27"/>
      <c r="R114" s="43">
        <v>14898308.0152917</v>
      </c>
      <c r="S114" s="27"/>
      <c r="T114" s="43">
        <v>56964971.958150797</v>
      </c>
      <c r="U114" s="19"/>
      <c r="V114" s="43">
        <v>120799.584014644</v>
      </c>
      <c r="W114" s="27"/>
      <c r="X114" s="43">
        <v>303413.727558318</v>
      </c>
      <c r="Y114" s="19"/>
      <c r="Z114" s="19">
        <f t="shared" si="46"/>
        <v>-9165939.2887254152</v>
      </c>
      <c r="AA114" s="19"/>
      <c r="AB114" s="19">
        <f t="shared" si="47"/>
        <v>-75447317.075374708</v>
      </c>
      <c r="AC114" s="13"/>
      <c r="AD114" s="18"/>
      <c r="AE114" s="18"/>
      <c r="AF114" s="18">
        <f>BA112/100*AF25</f>
        <v>6462242682.0681229</v>
      </c>
      <c r="AG114" s="28">
        <f t="shared" si="44"/>
        <v>-4.1092390076270975E-4</v>
      </c>
      <c r="AH114" s="28"/>
      <c r="AI114" s="28">
        <f t="shared" si="49"/>
        <v>-1.2068488711060549E-2</v>
      </c>
      <c r="AT114" s="26"/>
      <c r="AU114" s="26">
        <v>12587246</v>
      </c>
      <c r="AV114" s="26"/>
      <c r="AW114" s="26">
        <f t="shared" si="37"/>
        <v>5.1785544099146547E-4</v>
      </c>
      <c r="AX114" s="45">
        <v>6578.2340698423905</v>
      </c>
      <c r="AY114" s="33">
        <f t="shared" si="48"/>
        <v>6.5096003293399723E-4</v>
      </c>
      <c r="AZ114" s="26">
        <f t="shared" si="42"/>
        <v>99.265682313162401</v>
      </c>
      <c r="BA114" s="26">
        <f t="shared" si="43"/>
        <v>112.71278856939479</v>
      </c>
      <c r="BB114" s="26"/>
      <c r="BC114" s="28" t="e">
        <f t="shared" si="45"/>
        <v>#DIV/0!</v>
      </c>
    </row>
    <row r="115" spans="1:55" s="26" customFormat="1">
      <c r="A115" s="26">
        <f t="shared" si="50"/>
        <v>2040</v>
      </c>
      <c r="B115" s="26">
        <f t="shared" si="51"/>
        <v>4</v>
      </c>
      <c r="C115" s="19"/>
      <c r="D115" s="43">
        <v>115787375.943838</v>
      </c>
      <c r="E115" s="19"/>
      <c r="F115" s="27">
        <v>21045726.179015201</v>
      </c>
      <c r="G115" s="43">
        <v>6522779.4073349005</v>
      </c>
      <c r="H115" s="43">
        <v>35886407.768094897</v>
      </c>
      <c r="I115" s="43">
        <v>201735.44558767599</v>
      </c>
      <c r="J115" s="43">
        <v>1109888.90004416</v>
      </c>
      <c r="K115" s="19"/>
      <c r="L115" s="43">
        <v>1955289.02826077</v>
      </c>
      <c r="M115" s="27"/>
      <c r="N115" s="43">
        <v>1028643.27524425</v>
      </c>
      <c r="O115" s="19"/>
      <c r="P115" s="43">
        <v>15805295.8642595</v>
      </c>
      <c r="Q115" s="27"/>
      <c r="R115" s="43">
        <v>17599618.496093001</v>
      </c>
      <c r="S115" s="27"/>
      <c r="T115" s="43">
        <v>67293666.708665907</v>
      </c>
      <c r="U115" s="19"/>
      <c r="V115" s="43">
        <v>118590.147190768</v>
      </c>
      <c r="W115" s="27"/>
      <c r="X115" s="43">
        <v>297864.25925505301</v>
      </c>
      <c r="Y115" s="19"/>
      <c r="Z115" s="19">
        <f t="shared" si="46"/>
        <v>-6311449.8392364513</v>
      </c>
      <c r="AA115" s="19"/>
      <c r="AB115" s="19">
        <f t="shared" si="47"/>
        <v>-64299005.099431589</v>
      </c>
      <c r="AC115" s="13"/>
      <c r="AD115" s="19"/>
      <c r="AE115" s="19"/>
      <c r="AF115" s="19">
        <f>BA113/100*AF25</f>
        <v>6470067132.5492792</v>
      </c>
      <c r="AG115" s="33">
        <f t="shared" si="44"/>
        <v>1.2107948998678392E-3</v>
      </c>
      <c r="AH115" s="33"/>
      <c r="AI115" s="33">
        <f t="shared" si="49"/>
        <v>-1.0107881298368334E-2</v>
      </c>
      <c r="AU115" s="26">
        <v>12686631</v>
      </c>
      <c r="AW115" s="26">
        <f t="shared" si="37"/>
        <v>7.8956906061897897E-3</v>
      </c>
      <c r="AX115" s="45">
        <v>6549.43277066476</v>
      </c>
      <c r="AY115" s="33">
        <f t="shared" si="48"/>
        <v>-4.3782721733281963E-3</v>
      </c>
      <c r="AZ115" s="26">
        <f t="shared" si="42"/>
        <v>98.83107013852424</v>
      </c>
      <c r="BA115" s="26">
        <f t="shared" si="43"/>
        <v>113.10535018675938</v>
      </c>
      <c r="BC115" s="33" t="e">
        <f t="shared" si="45"/>
        <v>#DIV/0!</v>
      </c>
    </row>
    <row r="116" spans="1:55" s="26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>
        <v>302885.08746728097</v>
      </c>
      <c r="Y116"/>
      <c r="Z116"/>
      <c r="AA116"/>
      <c r="AB116"/>
      <c r="AC116" s="13"/>
      <c r="AD116" s="19"/>
      <c r="AE116" s="19"/>
      <c r="AF116" s="19">
        <f>BA114/100*AF25</f>
        <v>6477631628.2114429</v>
      </c>
      <c r="AG116" s="33">
        <f t="shared" si="44"/>
        <v>1.1691525771206702E-3</v>
      </c>
      <c r="AH116" s="33"/>
      <c r="AI116" s="33">
        <f t="shared" si="49"/>
        <v>-1.1647361474954184E-2</v>
      </c>
      <c r="AT116"/>
      <c r="AU116"/>
      <c r="AV116"/>
      <c r="AW116"/>
      <c r="AX116"/>
      <c r="AY116"/>
      <c r="AZ116"/>
      <c r="BA116"/>
      <c r="BB116"/>
      <c r="BC116" s="33" t="e">
        <f t="shared" si="45"/>
        <v>#DIV/0!</v>
      </c>
    </row>
    <row r="117" spans="1:55" s="26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>
        <v>298544.55877230002</v>
      </c>
      <c r="Y117"/>
      <c r="Z117"/>
      <c r="AA117"/>
      <c r="AB117"/>
      <c r="AC117" s="13"/>
      <c r="AD117" s="19"/>
      <c r="AE117" s="19"/>
      <c r="AF117" s="19">
        <f>BA115/100*AF25</f>
        <v>6500192240.7287798</v>
      </c>
      <c r="AG117" s="33">
        <f t="shared" si="44"/>
        <v>3.4828489503911661E-3</v>
      </c>
      <c r="AH117" s="33">
        <f>(AF117-AF113)/AF113</f>
        <v>5.459168905445521E-3</v>
      </c>
      <c r="AI117" s="33">
        <f t="shared" si="49"/>
        <v>-9.8918620739473079E-3</v>
      </c>
      <c r="AT117"/>
      <c r="AU117"/>
      <c r="AV117"/>
      <c r="AW117"/>
      <c r="AX117"/>
      <c r="AY117"/>
      <c r="AZ117"/>
      <c r="BA117"/>
      <c r="BB117"/>
      <c r="BC117" s="33" t="e">
        <f t="shared" si="45"/>
        <v>#DIV/0!</v>
      </c>
    </row>
    <row r="118" spans="1:55">
      <c r="X118">
        <v>302784.693481786</v>
      </c>
    </row>
    <row r="119" spans="1:55">
      <c r="X119">
        <v>301474.32031700399</v>
      </c>
      <c r="AH119" s="16">
        <f>AVERAGE(AH33:AH117)</f>
        <v>5.391317048466686E-3</v>
      </c>
    </row>
    <row r="120" spans="1:55">
      <c r="X120">
        <v>307602.17491931998</v>
      </c>
    </row>
    <row r="121" spans="1:55">
      <c r="X121">
        <v>304496.99519156298</v>
      </c>
    </row>
  </sheetData>
  <mergeCells count="3">
    <mergeCell ref="AL1:AM1"/>
    <mergeCell ref="AP1:AQ1"/>
    <mergeCell ref="AR1:AS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1"/>
  <sheetViews>
    <sheetView workbookViewId="0">
      <pane xSplit="2" topLeftCell="BE1" activePane="topRight" state="frozen"/>
      <selection pane="topRight" activeCell="BG17" sqref="BG17"/>
    </sheetView>
  </sheetViews>
  <sheetFormatPr baseColWidth="10" defaultColWidth="8.83203125" defaultRowHeight="12" x14ac:dyDescent="0"/>
  <sheetData>
    <row r="1" spans="1:63" s="5" customFormat="1" ht="50.25" customHeight="1">
      <c r="A1" s="2" t="s">
        <v>0</v>
      </c>
      <c r="B1" s="2" t="s">
        <v>1</v>
      </c>
      <c r="C1" s="2" t="s">
        <v>47</v>
      </c>
      <c r="D1" s="2"/>
      <c r="E1" s="2" t="s">
        <v>48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2"/>
      <c r="O1" s="2" t="s">
        <v>8</v>
      </c>
      <c r="P1" s="4"/>
      <c r="Q1" s="2" t="s">
        <v>9</v>
      </c>
      <c r="R1" s="2"/>
      <c r="S1" s="2" t="s">
        <v>10</v>
      </c>
      <c r="T1" s="2"/>
      <c r="U1" s="4" t="s">
        <v>11</v>
      </c>
      <c r="V1" s="2"/>
      <c r="W1" s="2" t="s">
        <v>12</v>
      </c>
      <c r="X1" s="2"/>
      <c r="Y1" s="5" t="s">
        <v>13</v>
      </c>
      <c r="AA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I1" s="5" t="s">
        <v>19</v>
      </c>
      <c r="AJ1" s="6" t="s">
        <v>20</v>
      </c>
      <c r="AK1" s="6"/>
      <c r="AL1" s="1" t="s">
        <v>21</v>
      </c>
      <c r="AM1" s="1"/>
      <c r="AN1" s="7" t="s">
        <v>22</v>
      </c>
      <c r="AO1" s="8" t="s">
        <v>23</v>
      </c>
      <c r="AP1" s="1" t="s">
        <v>24</v>
      </c>
      <c r="AQ1" s="1"/>
      <c r="AR1" s="1" t="s">
        <v>25</v>
      </c>
      <c r="AS1" s="1"/>
      <c r="AU1" s="5" t="s">
        <v>27</v>
      </c>
      <c r="AW1" s="5" t="s">
        <v>28</v>
      </c>
      <c r="AY1" s="5" t="s">
        <v>29</v>
      </c>
      <c r="BA1" s="5" t="s">
        <v>50</v>
      </c>
      <c r="BD1" s="5" t="s">
        <v>31</v>
      </c>
      <c r="BF1" s="5" t="s">
        <v>32</v>
      </c>
      <c r="BG1" s="5" t="s">
        <v>33</v>
      </c>
      <c r="BH1" s="5" t="s">
        <v>34</v>
      </c>
      <c r="BI1" s="5" t="s">
        <v>35</v>
      </c>
      <c r="BJ1" s="6" t="s">
        <v>51</v>
      </c>
    </row>
    <row r="2" spans="1:63" s="9" customFormat="1">
      <c r="C2" s="9" t="s">
        <v>37</v>
      </c>
      <c r="D2" s="9" t="s">
        <v>38</v>
      </c>
      <c r="E2" s="9" t="s">
        <v>37</v>
      </c>
      <c r="F2" s="10" t="s">
        <v>38</v>
      </c>
      <c r="G2" s="10" t="s">
        <v>39</v>
      </c>
      <c r="H2" s="10" t="s">
        <v>40</v>
      </c>
      <c r="I2" s="10" t="s">
        <v>39</v>
      </c>
      <c r="J2" s="9" t="s">
        <v>40</v>
      </c>
      <c r="K2" s="9" t="s">
        <v>37</v>
      </c>
      <c r="L2" s="10" t="s">
        <v>38</v>
      </c>
      <c r="M2" s="10" t="s">
        <v>37</v>
      </c>
      <c r="N2" s="10" t="s">
        <v>38</v>
      </c>
      <c r="O2" s="9" t="s">
        <v>37</v>
      </c>
      <c r="P2" s="9" t="s">
        <v>38</v>
      </c>
      <c r="Q2" s="10" t="s">
        <v>37</v>
      </c>
      <c r="R2" s="10" t="s">
        <v>38</v>
      </c>
      <c r="S2" s="10" t="s">
        <v>37</v>
      </c>
      <c r="T2" s="9" t="s">
        <v>38</v>
      </c>
      <c r="U2" s="9" t="s">
        <v>37</v>
      </c>
      <c r="V2" s="9" t="s">
        <v>38</v>
      </c>
      <c r="W2" s="9" t="s">
        <v>37</v>
      </c>
      <c r="X2" s="10" t="s">
        <v>38</v>
      </c>
      <c r="AC2" s="5"/>
      <c r="AJ2" s="11"/>
      <c r="AK2" s="11"/>
      <c r="AL2" s="11"/>
      <c r="AM2" s="11"/>
      <c r="AN2" s="11"/>
      <c r="AO2" s="11"/>
      <c r="AP2" s="11"/>
      <c r="AQ2" s="11"/>
      <c r="AR2" s="11"/>
      <c r="AS2" s="11"/>
      <c r="AU2" s="9" t="s">
        <v>41</v>
      </c>
      <c r="AV2" s="9" t="s">
        <v>39</v>
      </c>
      <c r="AW2" s="9" t="s">
        <v>41</v>
      </c>
      <c r="AX2" s="9" t="s">
        <v>39</v>
      </c>
      <c r="AY2" s="9" t="s">
        <v>42</v>
      </c>
      <c r="AZ2" s="9" t="s">
        <v>43</v>
      </c>
      <c r="BJ2" s="11"/>
    </row>
    <row r="3" spans="1:63">
      <c r="A3" s="9">
        <v>2014</v>
      </c>
      <c r="B3" s="9">
        <v>1</v>
      </c>
      <c r="C3" s="10">
        <v>73541829.264479399</v>
      </c>
      <c r="D3" s="10"/>
      <c r="E3" s="10">
        <v>13367097.642000001</v>
      </c>
      <c r="F3" s="10"/>
      <c r="G3" s="10"/>
      <c r="H3" s="10"/>
      <c r="I3" s="10"/>
      <c r="J3" s="12"/>
      <c r="K3" s="12">
        <v>2431521.2590999999</v>
      </c>
      <c r="L3" s="10"/>
      <c r="M3" s="10">
        <v>552644.92299999902</v>
      </c>
      <c r="N3" s="10"/>
      <c r="O3" s="10">
        <v>15657663.7612308</v>
      </c>
      <c r="P3" s="10"/>
      <c r="Q3" s="10">
        <v>16188956.83674</v>
      </c>
      <c r="R3" s="10"/>
      <c r="S3" s="10">
        <v>61899879.651203699</v>
      </c>
      <c r="T3" s="10"/>
      <c r="U3" s="10">
        <v>147745.90426000001</v>
      </c>
      <c r="V3" s="12"/>
      <c r="W3" s="12">
        <v>371095.07358448301</v>
      </c>
      <c r="X3" s="10"/>
      <c r="Y3" s="10">
        <f t="shared" ref="Y3:Y8" si="0">Q3+U3-M3-K3-E3</f>
        <v>-14561.083099998534</v>
      </c>
      <c r="Z3" s="10"/>
      <c r="AA3" s="10">
        <f t="shared" ref="AA3:AA8" si="1">S3-O3-C3</f>
        <v>-27299613.374506503</v>
      </c>
      <c r="AB3" s="10"/>
      <c r="AC3" s="13"/>
      <c r="AD3" s="10">
        <v>3917648861.1710801</v>
      </c>
      <c r="AE3" s="10">
        <v>87.364011981999994</v>
      </c>
      <c r="AF3" s="10">
        <f t="shared" ref="AF3:AF8" si="2">AD3*100/AE3</f>
        <v>4484282225.9333181</v>
      </c>
      <c r="AG3" s="10"/>
      <c r="AH3" s="10"/>
      <c r="AI3" s="14">
        <f t="shared" ref="AI3:AI8" si="3">AA3/AF3</f>
        <v>-6.087844609027615E-3</v>
      </c>
      <c r="AJ3" s="11">
        <v>2014</v>
      </c>
      <c r="AK3" s="15">
        <f>(SUM(AA3:AA6)/AVERAGE(AF3:AF6))</f>
        <v>-2.0764450566254731E-2</v>
      </c>
      <c r="AL3" s="15"/>
      <c r="AM3" s="15"/>
      <c r="AN3" s="15"/>
      <c r="AO3" s="15"/>
      <c r="AP3" s="12" t="s">
        <v>44</v>
      </c>
      <c r="AQ3" s="15" t="s">
        <v>45</v>
      </c>
      <c r="AR3" s="15" t="s">
        <v>44</v>
      </c>
      <c r="AS3" s="15" t="s">
        <v>45</v>
      </c>
      <c r="AU3" s="9">
        <v>10923418</v>
      </c>
      <c r="BD3" s="14">
        <f>S3/AF3</f>
        <v>1.3803743059084649E-2</v>
      </c>
      <c r="BE3" s="9">
        <v>2014</v>
      </c>
      <c r="BF3" s="14">
        <f>(SUM(S3:S6)/AVERAGE(AF3:AF6))</f>
        <v>5.6918105137217651E-2</v>
      </c>
      <c r="BG3" s="14">
        <f>(SUM(O3:O6)/AVERAGE(AF3:AF6))</f>
        <v>1.3201759021596645E-2</v>
      </c>
      <c r="BH3" s="14">
        <f>(SUM(C3:C6)/AVERAGE(AF3:AF6))</f>
        <v>6.4480796681875729E-2</v>
      </c>
      <c r="BI3" s="14">
        <f>(SUM(H3:H6)+SUM(J3:J6))/AVERAGE(AF3:AF6)</f>
        <v>0</v>
      </c>
      <c r="BJ3" s="15">
        <f t="shared" ref="BJ3:BJ29" si="4">AK3-BI3</f>
        <v>-2.0764450566254731E-2</v>
      </c>
      <c r="BK3" s="16">
        <f t="shared" ref="BK3:BK29" si="5">BI3+BH3</f>
        <v>6.4480796681875729E-2</v>
      </c>
    </row>
    <row r="4" spans="1:63">
      <c r="A4" s="9">
        <v>2014</v>
      </c>
      <c r="B4" s="9">
        <v>2</v>
      </c>
      <c r="C4" s="10">
        <v>76536005.645554796</v>
      </c>
      <c r="D4" s="10"/>
      <c r="E4" s="10">
        <v>13911324.754000001</v>
      </c>
      <c r="F4" s="10"/>
      <c r="G4" s="10"/>
      <c r="H4" s="10"/>
      <c r="I4" s="10"/>
      <c r="J4" s="12"/>
      <c r="K4" s="12">
        <v>2156056.4542999999</v>
      </c>
      <c r="L4" s="10"/>
      <c r="M4" s="10">
        <v>571465.44299999997</v>
      </c>
      <c r="N4" s="10"/>
      <c r="O4" s="10">
        <v>14331816.6540251</v>
      </c>
      <c r="P4" s="10"/>
      <c r="Q4" s="10">
        <v>18889074.98367</v>
      </c>
      <c r="R4" s="10"/>
      <c r="S4" s="10">
        <v>72224015.420081005</v>
      </c>
      <c r="T4" s="10"/>
      <c r="U4" s="10">
        <v>150093.53833000001</v>
      </c>
      <c r="V4" s="12"/>
      <c r="W4" s="12">
        <v>376991.65286577999</v>
      </c>
      <c r="X4" s="10"/>
      <c r="Y4" s="10">
        <f t="shared" si="0"/>
        <v>2400321.8706999999</v>
      </c>
      <c r="Z4" s="10"/>
      <c r="AA4" s="10">
        <f t="shared" si="1"/>
        <v>-18643806.879498892</v>
      </c>
      <c r="AB4" s="10"/>
      <c r="AC4" s="13"/>
      <c r="AD4" s="10">
        <v>4702629524.92031</v>
      </c>
      <c r="AE4" s="10">
        <v>92.542254682000006</v>
      </c>
      <c r="AF4" s="10">
        <f t="shared" si="2"/>
        <v>5081602497.2374029</v>
      </c>
      <c r="AG4" s="10"/>
      <c r="AH4" s="10"/>
      <c r="AI4" s="14">
        <f t="shared" si="3"/>
        <v>-3.6688833669368155E-3</v>
      </c>
      <c r="AJ4" s="11">
        <v>2015</v>
      </c>
      <c r="AK4" s="15">
        <f>(AA7+AA8+SUM(AB14:AB15))/AVERAGE(AF14:AF17)</f>
        <v>-3.0144685604561124E-2</v>
      </c>
      <c r="AL4" s="15"/>
      <c r="AM4" s="15"/>
      <c r="AN4" s="15"/>
      <c r="AO4" s="15"/>
      <c r="AP4" s="10">
        <v>545118865</v>
      </c>
      <c r="AQ4" s="10">
        <f>AP4</f>
        <v>545118865</v>
      </c>
      <c r="AR4" s="17">
        <f>AP4/AF17</f>
        <v>9.6335892011156887E-2</v>
      </c>
      <c r="AS4" s="17">
        <f>AQ4/AF17</f>
        <v>9.6335892011156887E-2</v>
      </c>
      <c r="AU4" s="9">
        <v>10933469</v>
      </c>
      <c r="AW4" s="9">
        <f t="shared" ref="AW4:AW12" si="6">(AU4-AU3)/AU3</f>
        <v>9.2013324034656552E-4</v>
      </c>
      <c r="BD4" s="14">
        <f>S4/AF4</f>
        <v>1.4212842397520341E-2</v>
      </c>
      <c r="BE4" s="9">
        <v>2015</v>
      </c>
      <c r="BF4" s="14">
        <f>SUM(T14:T15)/AVERAGE(AF14:AF17)</f>
        <v>2.8760297618737794E-2</v>
      </c>
      <c r="BG4" s="14">
        <f>SUM(P14:P15)/AVERAGE(AF14:AF17)</f>
        <v>6.8949138437464667E-3</v>
      </c>
      <c r="BH4" s="14">
        <f>SUM(D14:D15)/AVERAGE(AF14:AF17)</f>
        <v>4.0032874372892872E-2</v>
      </c>
      <c r="BI4" s="14">
        <f>(SUM(H14:H15)+SUM(J14:J15))/AVERAGE(AF14:AF17)</f>
        <v>0</v>
      </c>
      <c r="BJ4" s="15">
        <f t="shared" si="4"/>
        <v>-3.0144685604561124E-2</v>
      </c>
      <c r="BK4" s="16">
        <f t="shared" si="5"/>
        <v>4.0032874372892872E-2</v>
      </c>
    </row>
    <row r="5" spans="1:63">
      <c r="A5" s="9">
        <v>2014</v>
      </c>
      <c r="B5" s="9">
        <v>3</v>
      </c>
      <c r="C5" s="10">
        <v>79948619.698482305</v>
      </c>
      <c r="D5" s="10"/>
      <c r="E5" s="10">
        <v>14531608.437999999</v>
      </c>
      <c r="F5" s="10"/>
      <c r="G5" s="10"/>
      <c r="H5" s="10"/>
      <c r="I5" s="10"/>
      <c r="J5" s="12"/>
      <c r="K5" s="12">
        <v>2697105.9034000002</v>
      </c>
      <c r="L5" s="10"/>
      <c r="M5" s="10">
        <v>618357.67000000004</v>
      </c>
      <c r="N5" s="10"/>
      <c r="O5" s="10">
        <v>17397319.126396801</v>
      </c>
      <c r="P5" s="10"/>
      <c r="Q5" s="10">
        <v>16666086.76898</v>
      </c>
      <c r="R5" s="10"/>
      <c r="S5" s="10">
        <v>63724227.302598797</v>
      </c>
      <c r="T5" s="10"/>
      <c r="U5" s="10">
        <v>145660.84302</v>
      </c>
      <c r="V5" s="12"/>
      <c r="W5" s="12">
        <v>365858.00147638301</v>
      </c>
      <c r="X5" s="10"/>
      <c r="Y5" s="10">
        <f t="shared" si="0"/>
        <v>-1035324.3993999995</v>
      </c>
      <c r="Z5" s="10"/>
      <c r="AA5" s="10">
        <f t="shared" si="1"/>
        <v>-33621711.522280306</v>
      </c>
      <c r="AB5" s="10"/>
      <c r="AC5" s="13"/>
      <c r="AD5" s="10">
        <v>4685503118.6782703</v>
      </c>
      <c r="AE5" s="10">
        <v>96.348619912999993</v>
      </c>
      <c r="AF5" s="10">
        <f t="shared" si="2"/>
        <v>4863072374.995245</v>
      </c>
      <c r="AG5" s="10"/>
      <c r="AH5" s="10"/>
      <c r="AI5" s="14">
        <f t="shared" si="3"/>
        <v>-6.9136769781908049E-3</v>
      </c>
      <c r="AJ5" s="11">
        <v>2016</v>
      </c>
      <c r="AK5" s="15">
        <f>SUM(AB16:AB19)/AVERAGE(AF18:AF21)</f>
        <v>-3.3306942249534711E-2</v>
      </c>
      <c r="AL5" s="15"/>
      <c r="AM5" s="15"/>
      <c r="AN5" s="15"/>
      <c r="AO5" s="15"/>
      <c r="AP5" s="10">
        <v>527406836</v>
      </c>
      <c r="AQ5" s="10">
        <f>AP5</f>
        <v>527406836</v>
      </c>
      <c r="AR5" s="17">
        <f>AP5/AF21</f>
        <v>9.6733053127945015E-2</v>
      </c>
      <c r="AS5" s="17">
        <f>AQ5/AF21</f>
        <v>9.6733053127945015E-2</v>
      </c>
      <c r="AU5" s="9">
        <v>10927942</v>
      </c>
      <c r="AW5" s="9">
        <f t="shared" si="6"/>
        <v>-5.0551202001853203E-4</v>
      </c>
      <c r="BD5" s="14">
        <f>S5/AF5</f>
        <v>1.3103697084635945E-2</v>
      </c>
      <c r="BE5" s="9">
        <v>2016</v>
      </c>
      <c r="BF5" s="14">
        <f>SUM(T16:T19)/AVERAGE(AF18:AF21)</f>
        <v>5.471114300888693E-2</v>
      </c>
      <c r="BG5" s="14">
        <f>SUM(P16:P19)/AVERAGE(AF18:AF21)</f>
        <v>1.3710176617263908E-2</v>
      </c>
      <c r="BH5" s="14">
        <f>SUM(D16:D19)/AVERAGE(AF18:AF21)</f>
        <v>7.4307908641157744E-2</v>
      </c>
      <c r="BI5" s="14">
        <f>(SUM(H16:H19)+SUM(J16:J19))/AVERAGE(AF18:AF21)</f>
        <v>3.5850487677192361E-5</v>
      </c>
      <c r="BJ5" s="15">
        <f t="shared" si="4"/>
        <v>-3.3342792737211906E-2</v>
      </c>
      <c r="BK5" s="16">
        <f t="shared" si="5"/>
        <v>7.4343759128834938E-2</v>
      </c>
    </row>
    <row r="6" spans="1:63">
      <c r="A6" s="9">
        <v>2014</v>
      </c>
      <c r="B6" s="9">
        <v>4</v>
      </c>
      <c r="C6" s="10">
        <v>83342500.446047202</v>
      </c>
      <c r="D6" s="10"/>
      <c r="E6" s="10">
        <v>15148485.804</v>
      </c>
      <c r="F6" s="10"/>
      <c r="G6" s="10"/>
      <c r="H6" s="10"/>
      <c r="I6" s="10"/>
      <c r="J6" s="12"/>
      <c r="K6" s="12">
        <v>2598760.7445</v>
      </c>
      <c r="L6" s="10"/>
      <c r="M6" s="10">
        <v>597485.603</v>
      </c>
      <c r="N6" s="10"/>
      <c r="O6" s="10">
        <v>16772169.366415</v>
      </c>
      <c r="P6" s="10"/>
      <c r="Q6" s="10">
        <v>20600306.344000001</v>
      </c>
      <c r="R6" s="10"/>
      <c r="S6" s="10">
        <v>78767056.8481365</v>
      </c>
      <c r="T6" s="10"/>
      <c r="U6" s="10">
        <v>143630.44399999999</v>
      </c>
      <c r="V6" s="12"/>
      <c r="W6" s="12">
        <v>360758.22508998099</v>
      </c>
      <c r="X6" s="10"/>
      <c r="Y6" s="10">
        <f t="shared" si="0"/>
        <v>2399204.6364999991</v>
      </c>
      <c r="Z6" s="10"/>
      <c r="AA6" s="10">
        <f t="shared" si="1"/>
        <v>-21347612.964325704</v>
      </c>
      <c r="AB6" s="10"/>
      <c r="AC6" s="13"/>
      <c r="AD6" s="10">
        <v>5010564196.8707304</v>
      </c>
      <c r="AE6" s="10">
        <v>100</v>
      </c>
      <c r="AF6" s="10">
        <f t="shared" si="2"/>
        <v>5010564196.8707304</v>
      </c>
      <c r="AG6" s="10"/>
      <c r="AH6" s="10"/>
      <c r="AI6" s="14">
        <f t="shared" si="3"/>
        <v>-4.260520796771354E-3</v>
      </c>
      <c r="AJ6" s="11">
        <v>2017</v>
      </c>
      <c r="AK6" s="15">
        <f>SUM(AB20:AB23)/AVERAGE(AF22:AF25)</f>
        <v>-3.841720950169919E-2</v>
      </c>
      <c r="AL6" s="15"/>
      <c r="AM6" s="15"/>
      <c r="AN6" s="15"/>
      <c r="AO6" s="10">
        <v>46349018</v>
      </c>
      <c r="AP6" s="10">
        <v>580675520</v>
      </c>
      <c r="AQ6" s="10">
        <f>AP6</f>
        <v>580675520</v>
      </c>
      <c r="AR6" s="17">
        <f>AP6/AF25</f>
        <v>0.10103933176461725</v>
      </c>
      <c r="AS6" s="17">
        <f>AQ6/AF25</f>
        <v>0.10103933176461725</v>
      </c>
      <c r="AU6" s="9">
        <v>11163575</v>
      </c>
      <c r="AW6" s="9">
        <f t="shared" si="6"/>
        <v>2.1562431425789046E-2</v>
      </c>
      <c r="BD6" s="14">
        <f>S6/AF6</f>
        <v>1.5720197118186657E-2</v>
      </c>
      <c r="BE6" s="9">
        <v>2017</v>
      </c>
      <c r="BF6" s="14">
        <f>SUM(T20:T23)/AVERAGE(AF22:AF25)</f>
        <v>5.4497498050819701E-2</v>
      </c>
      <c r="BG6" s="14">
        <f>SUM(P20:P23)/AVERAGE(AF22:AF25)</f>
        <v>1.690346169036144E-2</v>
      </c>
      <c r="BH6" s="14">
        <f>SUM(D20:D23)/AVERAGE(AF22:AF25)</f>
        <v>7.6011245862157434E-2</v>
      </c>
      <c r="BI6" s="14">
        <f>(SUM(H20:H23)+SUM(J20:J23))/AVERAGE(AF22:AF25)</f>
        <v>4.5189327612476452E-4</v>
      </c>
      <c r="BJ6" s="15">
        <f t="shared" si="4"/>
        <v>-3.8869102777823954E-2</v>
      </c>
      <c r="BK6" s="16">
        <f t="shared" si="5"/>
        <v>7.6463139138282205E-2</v>
      </c>
    </row>
    <row r="7" spans="1:63">
      <c r="A7" s="9">
        <v>2015</v>
      </c>
      <c r="B7" s="9">
        <v>1</v>
      </c>
      <c r="C7" s="10">
        <v>87220448.7038403</v>
      </c>
      <c r="D7" s="10"/>
      <c r="E7" s="10">
        <v>15853348.733999999</v>
      </c>
      <c r="F7" s="10"/>
      <c r="G7" s="10"/>
      <c r="H7" s="10"/>
      <c r="I7" s="10"/>
      <c r="J7" s="12"/>
      <c r="K7" s="12">
        <v>3002195.4358999999</v>
      </c>
      <c r="L7" s="10"/>
      <c r="M7" s="10">
        <v>654530.51300000004</v>
      </c>
      <c r="N7" s="10"/>
      <c r="O7" s="10">
        <v>19179435.069263499</v>
      </c>
      <c r="P7" s="10"/>
      <c r="Q7" s="10">
        <v>18139908.10636</v>
      </c>
      <c r="R7" s="10"/>
      <c r="S7" s="10">
        <v>69359510.930272505</v>
      </c>
      <c r="T7" s="10"/>
      <c r="U7" s="10">
        <v>167252.22263999999</v>
      </c>
      <c r="V7" s="12"/>
      <c r="W7" s="12">
        <v>420089.31603637501</v>
      </c>
      <c r="X7" s="10"/>
      <c r="Y7" s="10">
        <f t="shared" si="0"/>
        <v>-1202914.3538999986</v>
      </c>
      <c r="Z7" s="10"/>
      <c r="AA7" s="10">
        <f t="shared" si="1"/>
        <v>-37040372.842831299</v>
      </c>
      <c r="AB7" s="10"/>
      <c r="AC7" s="13"/>
      <c r="AD7" s="18">
        <v>5092693740.32864</v>
      </c>
      <c r="AE7" s="18">
        <v>103.09103866</v>
      </c>
      <c r="AF7" s="18">
        <f t="shared" si="2"/>
        <v>4939996537.5502996</v>
      </c>
      <c r="AG7" s="10"/>
      <c r="AH7" s="10"/>
      <c r="AI7" s="14">
        <f t="shared" si="3"/>
        <v>-7.4980564381527462E-3</v>
      </c>
      <c r="AJ7" s="11">
        <f t="shared" ref="AJ7:AJ29" si="7">AJ6+1</f>
        <v>2018</v>
      </c>
      <c r="AK7" s="15">
        <f>SUM(AB24:AB27)/AVERAGE(AF26:AF29)</f>
        <v>-3.6511487444246135E-2</v>
      </c>
      <c r="AL7" s="10">
        <v>34286231</v>
      </c>
      <c r="AM7" s="15">
        <f>AL7/AVERAGE(AF26:AF29)</f>
        <v>5.959110404446551E-3</v>
      </c>
      <c r="AN7" s="15">
        <f>(AF29-AF25)/AF25</f>
        <v>1.6672738756224624E-2</v>
      </c>
      <c r="AO7" s="10">
        <f>+ (((((((((((AO6*((1+AN7)^(1/12))-AL7/12)*((1+AN7)^(1/12))-AL7/12)*((1+AN7)^(1/12))-AL7/12)*((1+AN7)^(1/12))-AL7/12)*((1+AN7)^(1/12))-AL7/12)*((1+AN7)^(1/12))-AL7/12)*((1+AN7)^(1/12))-AL7/12)*((1+AN7)^(1/12))-AL7/12)*((1+AN7)^(1/12))-AL7/12)*((1+AN7)^(1/12))-AL7/12)*((1+AN7)^(1/12))-AL7/12)*((1+AN7)^(1/12))-AL7/12</f>
        <v>12574330.158789184</v>
      </c>
      <c r="AP7" s="10">
        <f t="shared" ref="AP7:AP29" si="8">AP6*(1+AN7)</f>
        <v>590356971.24709487</v>
      </c>
      <c r="AQ7" s="10">
        <f>AP7</f>
        <v>590356971.24709487</v>
      </c>
      <c r="AR7" s="17">
        <f>AP7/AF29</f>
        <v>0.10103933176461724</v>
      </c>
      <c r="AS7" s="17">
        <f>AQ7/AF29</f>
        <v>0.10103933176461724</v>
      </c>
      <c r="AU7" s="9">
        <v>11012334</v>
      </c>
      <c r="AW7" s="9">
        <f t="shared" si="6"/>
        <v>-1.3547721048140941E-2</v>
      </c>
      <c r="BD7" s="14">
        <f>T14/AF14</f>
        <v>1.4725113587232476E-2</v>
      </c>
      <c r="BE7" s="9">
        <f t="shared" ref="BE7:BE29" si="9">BE6+1</f>
        <v>2018</v>
      </c>
      <c r="BF7" s="14">
        <f>SUM(T24:T27)/AVERAGE(AF26:AF29)</f>
        <v>5.1666746882995128E-2</v>
      </c>
      <c r="BG7" s="14">
        <f>SUM(P24:P27)/AVERAGE(AF26:AF29)</f>
        <v>1.4552114248708848E-2</v>
      </c>
      <c r="BH7" s="14">
        <f>SUM(D24:D27)/AVERAGE(AF26:AF29)</f>
        <v>7.3626120078532406E-2</v>
      </c>
      <c r="BI7" s="14">
        <f>(SUM(H24:H27)+SUM(J24:J27))/AVERAGE(AF26:AF29)</f>
        <v>8.3353940568156235E-4</v>
      </c>
      <c r="BJ7" s="15">
        <f t="shared" si="4"/>
        <v>-3.7345026849927694E-2</v>
      </c>
      <c r="BK7" s="16">
        <f t="shared" si="5"/>
        <v>7.4459659484213972E-2</v>
      </c>
    </row>
    <row r="8" spans="1:63">
      <c r="A8" s="9">
        <v>2015</v>
      </c>
      <c r="B8" s="9">
        <v>2</v>
      </c>
      <c r="C8" s="10">
        <v>94524704.7581871</v>
      </c>
      <c r="D8" s="10"/>
      <c r="E8" s="10">
        <v>17180984.028999999</v>
      </c>
      <c r="F8" s="10"/>
      <c r="G8" s="10"/>
      <c r="H8" s="10"/>
      <c r="I8" s="10"/>
      <c r="J8" s="12"/>
      <c r="K8" s="12">
        <v>2371185.1833000001</v>
      </c>
      <c r="L8" s="10"/>
      <c r="M8" s="10">
        <v>696491.069000002</v>
      </c>
      <c r="N8" s="12"/>
      <c r="O8" s="12">
        <v>16135978.221071601</v>
      </c>
      <c r="P8" s="12"/>
      <c r="Q8" s="10">
        <v>21552530.200959999</v>
      </c>
      <c r="R8" s="10"/>
      <c r="S8" s="10">
        <v>82407967.299702004</v>
      </c>
      <c r="T8" s="12"/>
      <c r="U8" s="12">
        <v>188439.08603999999</v>
      </c>
      <c r="V8" s="12"/>
      <c r="W8" s="12">
        <v>473304.60259085899</v>
      </c>
      <c r="X8" s="10"/>
      <c r="Y8" s="10">
        <f t="shared" si="0"/>
        <v>1492309.0056999996</v>
      </c>
      <c r="Z8" s="10"/>
      <c r="AA8" s="10">
        <f t="shared" si="1"/>
        <v>-28252715.679556698</v>
      </c>
      <c r="AB8" s="10"/>
      <c r="AC8" s="13"/>
      <c r="AD8" s="19">
        <v>5951478855.3666</v>
      </c>
      <c r="AE8" s="19">
        <v>106.73436665</v>
      </c>
      <c r="AF8" s="19">
        <f t="shared" si="2"/>
        <v>5575972427.7771788</v>
      </c>
      <c r="AG8" s="10"/>
      <c r="AH8" s="10"/>
      <c r="AI8" s="14">
        <f t="shared" si="3"/>
        <v>-5.066867895331297E-3</v>
      </c>
      <c r="AJ8" s="11">
        <f t="shared" si="7"/>
        <v>2019</v>
      </c>
      <c r="AK8" s="15">
        <f>SUM(AB28:AB31)/AVERAGE(AF30:AF33)</f>
        <v>-3.6894427396163929E-2</v>
      </c>
      <c r="AL8" s="10">
        <v>32784767</v>
      </c>
      <c r="AM8" s="15">
        <f>AL8/AVERAGE(AF30:AF33)</f>
        <v>5.4870244305806346E-3</v>
      </c>
      <c r="AN8" s="15">
        <f>(AF33-AF29)/AF29</f>
        <v>3.4204474714793535E-2</v>
      </c>
      <c r="AO8" s="10">
        <f>((((AO7*((1+AN8)^(1/12))-AL8/12)*((1+AN8)^(1/12))-AL8/12)*((1+AN8)^(1/12))-AL8/12)*((1+AN8)^(1/12))-AL8/12)*((1+AN8)^(1/12))-AL8/12</f>
        <v>-985432.74524216726</v>
      </c>
      <c r="AP8" s="10">
        <f t="shared" si="8"/>
        <v>610549821.34281826</v>
      </c>
      <c r="AQ8" s="10">
        <f>((((((((AP7*((1+AN8)^(4/12)))*((1+AN8)^(1/12))+AO8)*((1+AN8)^(1/12))-AL8/12)*((1+AN8)^(1/12))-AL8/12)*((1+AN8)^(1/12))-AL8/12)*((1+AN8)^(1/12))-AL8/12)*((1+AN8)^(1/12))-AL8/12)*((1+AN8)^(1/12))-AL8/12)*((1+AN8)^(1/12))-AL8/12</f>
        <v>590258635.43101346</v>
      </c>
      <c r="AR8" s="17">
        <f>AP8/AF33</f>
        <v>0.10103933176461725</v>
      </c>
      <c r="AS8" s="17">
        <f>AQ8/AF33</f>
        <v>9.7681361958432994E-2</v>
      </c>
      <c r="AU8" s="9">
        <v>11082939</v>
      </c>
      <c r="AW8" s="9">
        <f t="shared" si="6"/>
        <v>6.4114473825439729E-3</v>
      </c>
      <c r="BD8" s="14">
        <f>T15/AF15</f>
        <v>1.507240872248281E-2</v>
      </c>
      <c r="BE8" s="9">
        <f t="shared" si="9"/>
        <v>2019</v>
      </c>
      <c r="BF8" s="14">
        <f>SUM(T28:T31)/AVERAGE(AF30:AF33)</f>
        <v>4.8169301652786448E-2</v>
      </c>
      <c r="BG8" s="14">
        <f>SUM(P28:P31)/AVERAGE(AF30:AF33)</f>
        <v>1.3133919137799941E-2</v>
      </c>
      <c r="BH8" s="14">
        <f>SUM(D28:D31)/AVERAGE(AF30:AF33)</f>
        <v>7.192980991115043E-2</v>
      </c>
      <c r="BI8" s="14">
        <f>(SUM(H28:H31)+SUM(J28:J31))/AVERAGE(AF30:AF33)</f>
        <v>1.1618368976194975E-3</v>
      </c>
      <c r="BJ8" s="15">
        <f t="shared" si="4"/>
        <v>-3.8056264293783428E-2</v>
      </c>
      <c r="BK8" s="16">
        <f t="shared" si="5"/>
        <v>7.3091646808769922E-2</v>
      </c>
    </row>
    <row r="9" spans="1:63">
      <c r="A9" s="9">
        <v>2016</v>
      </c>
      <c r="B9" s="9">
        <v>2</v>
      </c>
      <c r="C9" s="10">
        <v>97915025.902647793</v>
      </c>
      <c r="D9" s="10"/>
      <c r="E9" s="10">
        <v>17797214.875</v>
      </c>
      <c r="F9" s="10"/>
      <c r="G9" s="10"/>
      <c r="H9" s="10"/>
      <c r="I9" s="10"/>
      <c r="J9" s="12"/>
      <c r="K9" s="12"/>
      <c r="L9" s="10"/>
      <c r="M9" s="10">
        <v>732730.52299999795</v>
      </c>
      <c r="N9" s="12"/>
      <c r="O9" s="12"/>
      <c r="P9" s="12"/>
      <c r="Q9" s="10"/>
      <c r="R9" s="10"/>
      <c r="S9" s="10"/>
      <c r="T9" s="12"/>
      <c r="U9" s="12"/>
      <c r="V9" s="12"/>
      <c r="W9" s="12"/>
      <c r="X9" s="10"/>
      <c r="Y9" s="10"/>
      <c r="Z9" s="10"/>
      <c r="AA9" s="10"/>
      <c r="AB9" s="10"/>
      <c r="AC9" s="13"/>
      <c r="AD9" s="10"/>
      <c r="AE9" s="10"/>
      <c r="AF9" s="10"/>
      <c r="AG9" s="10"/>
      <c r="AH9" s="10"/>
      <c r="AI9" s="14"/>
      <c r="AJ9" s="11">
        <f t="shared" si="7"/>
        <v>2020</v>
      </c>
      <c r="AK9" s="15">
        <f>SUM(AB32:AB35)/AVERAGE(AF34:AF37)</f>
        <v>-3.7904243694739638E-2</v>
      </c>
      <c r="AL9" s="10">
        <v>31327493</v>
      </c>
      <c r="AM9" s="15">
        <f>AL9/AVERAGE(AF34:AF37)</f>
        <v>5.0833383236283088E-3</v>
      </c>
      <c r="AN9" s="15">
        <f>(AF37-AF33)/AF33</f>
        <v>3.2422511689182518E-2</v>
      </c>
      <c r="AO9" s="15"/>
      <c r="AP9" s="10">
        <f t="shared" si="8"/>
        <v>630345380.06213415</v>
      </c>
      <c r="AQ9" s="10">
        <f t="shared" ref="AQ9:AQ29" si="10">(((((((((((AQ8*((1+AN9)^(1/12))-AL9/12)*((1+AN9)^(1/12))-AL9/12)*((1+AN9)^(1/12))-AL9/12)*((1+AN9)^(1/12))-AL9/12)*((1+AN9)^(1/12))-AL9/12)*((1+AN9)^(1/12))-AL9/12)*((1+AN9)^(1/12))-AL9/12)*((1+AN9)^(1/12))-AL9/12)*((1+AN9)^(1/12))-AL9/12)*((1+AN9)^(1/12))-AL9/12)*((1+AN9)^(1/12))-AL9/12)*((1+AN9)^(1/12))-AL9/12</f>
        <v>577605955.42129886</v>
      </c>
      <c r="AR9" s="17">
        <f>AP9/AF37</f>
        <v>0.10103933176461727</v>
      </c>
      <c r="AS9" s="17">
        <f>AQ9/AF37</f>
        <v>9.2585623064737332E-2</v>
      </c>
      <c r="AU9" s="9">
        <v>11339977</v>
      </c>
      <c r="AW9" s="9">
        <f t="shared" si="6"/>
        <v>2.3192223651145243E-2</v>
      </c>
      <c r="BD9" s="14">
        <f t="shared" ref="BD9:BD40" si="11">T14/AF16</f>
        <v>1.2917420302879588E-2</v>
      </c>
      <c r="BE9" s="9">
        <f t="shared" si="9"/>
        <v>2020</v>
      </c>
      <c r="BF9" s="14">
        <f>SUM(T32:T35)/AVERAGE(AF34:AF37)</f>
        <v>4.5657138264798648E-2</v>
      </c>
      <c r="BG9" s="14">
        <f>SUM(P32:P35)/AVERAGE(AF34:AF37)</f>
        <v>1.262626819645675E-2</v>
      </c>
      <c r="BH9" s="14">
        <f>SUM(D32:D35)/AVERAGE(AF34:AF37)</f>
        <v>7.093511376308155E-2</v>
      </c>
      <c r="BI9" s="14">
        <f>(SUM(H32:H35)+SUM(J32:J35))/AVERAGE(AF34:AF37)</f>
        <v>1.5192597126414545E-3</v>
      </c>
      <c r="BJ9" s="15">
        <f t="shared" si="4"/>
        <v>-3.9423503407381093E-2</v>
      </c>
      <c r="BK9" s="16">
        <f t="shared" si="5"/>
        <v>7.2454373475723005E-2</v>
      </c>
    </row>
    <row r="10" spans="1:63">
      <c r="A10" s="9">
        <v>2016</v>
      </c>
      <c r="B10" s="9">
        <v>3</v>
      </c>
      <c r="C10" s="10">
        <v>100917465.84456199</v>
      </c>
      <c r="D10" s="10"/>
      <c r="E10" s="10">
        <v>18342943.715</v>
      </c>
      <c r="F10" s="10"/>
      <c r="G10" s="10"/>
      <c r="H10" s="10"/>
      <c r="I10" s="10"/>
      <c r="J10" s="12"/>
      <c r="K10" s="12"/>
      <c r="L10" s="10"/>
      <c r="M10" s="10">
        <v>775294.91</v>
      </c>
      <c r="N10" s="12"/>
      <c r="O10" s="12"/>
      <c r="P10" s="12"/>
      <c r="Q10" s="10"/>
      <c r="R10" s="10"/>
      <c r="S10" s="10"/>
      <c r="T10" s="12"/>
      <c r="U10" s="10"/>
      <c r="V10" s="12"/>
      <c r="W10" s="12"/>
      <c r="X10" s="10"/>
      <c r="Y10" s="10"/>
      <c r="Z10" s="10"/>
      <c r="AA10" s="10"/>
      <c r="AB10" s="10"/>
      <c r="AC10" s="13"/>
      <c r="AD10" s="10"/>
      <c r="AE10" s="10"/>
      <c r="AF10" s="10"/>
      <c r="AG10" s="10"/>
      <c r="AH10" s="10"/>
      <c r="AI10" s="14"/>
      <c r="AJ10" s="11">
        <f t="shared" si="7"/>
        <v>2021</v>
      </c>
      <c r="AK10" s="15">
        <f>SUM(AB36:AB39)/AVERAGE(AF38:AF41)</f>
        <v>-3.8476288295550727E-2</v>
      </c>
      <c r="AL10" s="10">
        <v>29621394</v>
      </c>
      <c r="AM10" s="15">
        <f>AL10/AVERAGE(AF38:AF41)</f>
        <v>4.6478289083308911E-3</v>
      </c>
      <c r="AN10" s="15">
        <f>(AF41-AF37)/AF37</f>
        <v>3.7305246726612763E-2</v>
      </c>
      <c r="AO10" s="15"/>
      <c r="AP10" s="10">
        <f t="shared" si="8"/>
        <v>653860569.98833263</v>
      </c>
      <c r="AQ10" s="10">
        <f t="shared" si="10"/>
        <v>569029169.72306609</v>
      </c>
      <c r="AR10" s="17">
        <f>AP10/AF41</f>
        <v>0.10103933176461727</v>
      </c>
      <c r="AS10" s="17">
        <f>AQ10/AF41</f>
        <v>8.7930561502461452E-2</v>
      </c>
      <c r="AU10" s="9">
        <v>11479064</v>
      </c>
      <c r="AW10" s="9">
        <f t="shared" si="6"/>
        <v>1.2265192424993455E-2</v>
      </c>
      <c r="BD10" s="14">
        <f t="shared" si="11"/>
        <v>1.485252154833998E-2</v>
      </c>
      <c r="BE10" s="9">
        <f t="shared" si="9"/>
        <v>2021</v>
      </c>
      <c r="BF10" s="14">
        <f>SUM(T36:T39)/AVERAGE(AF38:AF41)</f>
        <v>4.3198661290191592E-2</v>
      </c>
      <c r="BG10" s="14">
        <f>SUM(P36:P39)/AVERAGE(AF38:AF41)</f>
        <v>1.204683321685278E-2</v>
      </c>
      <c r="BH10" s="14">
        <f>SUM(D36:D39)/AVERAGE(AF38:AF41)</f>
        <v>6.9628116368889534E-2</v>
      </c>
      <c r="BI10" s="14">
        <f>(SUM(H36:H39)+SUM(J36:J39))/AVERAGE(AF38:AF41)</f>
        <v>1.9598385213966067E-3</v>
      </c>
      <c r="BJ10" s="15">
        <f t="shared" si="4"/>
        <v>-4.0436126816947332E-2</v>
      </c>
      <c r="BK10" s="16">
        <f t="shared" si="5"/>
        <v>7.1587954890286146E-2</v>
      </c>
    </row>
    <row r="11" spans="1:63">
      <c r="A11" s="9">
        <v>2016</v>
      </c>
      <c r="B11" s="9">
        <v>4</v>
      </c>
      <c r="C11" s="10">
        <v>108710229.285033</v>
      </c>
      <c r="D11" s="10"/>
      <c r="E11" s="10">
        <v>19759371.113000002</v>
      </c>
      <c r="F11" s="10"/>
      <c r="G11" s="10"/>
      <c r="H11" s="10"/>
      <c r="I11" s="10"/>
      <c r="J11" s="12"/>
      <c r="K11" s="12"/>
      <c r="L11" s="10"/>
      <c r="M11" s="10">
        <v>832906.25299999898</v>
      </c>
      <c r="N11" s="12"/>
      <c r="O11" s="12"/>
      <c r="P11" s="10"/>
      <c r="Q11" s="10"/>
      <c r="R11" s="10"/>
      <c r="S11" s="10"/>
      <c r="T11" s="12"/>
      <c r="U11" s="12"/>
      <c r="V11" s="12"/>
      <c r="W11" s="12"/>
      <c r="X11" s="10"/>
      <c r="Y11" s="10"/>
      <c r="Z11" s="10"/>
      <c r="AA11" s="10"/>
      <c r="AB11" s="10"/>
      <c r="AC11" s="13"/>
      <c r="AD11" s="10"/>
      <c r="AE11" s="10"/>
      <c r="AF11" s="10"/>
      <c r="AG11" s="10"/>
      <c r="AH11" s="10"/>
      <c r="AI11" s="14"/>
      <c r="AJ11" s="11">
        <f t="shared" si="7"/>
        <v>2022</v>
      </c>
      <c r="AK11" s="15">
        <f>SUM(AB40:AB43)/AVERAGE(AF42:AF45)</f>
        <v>-3.877177186057338E-2</v>
      </c>
      <c r="AL11" s="10">
        <v>27946643</v>
      </c>
      <c r="AM11" s="15">
        <f>AL11/AVERAGE(AF42:AF45)</f>
        <v>4.2397459680339183E-3</v>
      </c>
      <c r="AN11" s="15">
        <f>(AF45-AF41)/AF41</f>
        <v>3.299360431771238E-2</v>
      </c>
      <c r="AO11" s="15"/>
      <c r="AP11" s="10">
        <f t="shared" si="8"/>
        <v>675433786.91348159</v>
      </c>
      <c r="AQ11" s="10">
        <f t="shared" si="10"/>
        <v>559436715.82564521</v>
      </c>
      <c r="AR11" s="17">
        <f>AP11/AF45</f>
        <v>0.10103933176461728</v>
      </c>
      <c r="AS11" s="17">
        <f>AQ11/AF45</f>
        <v>8.3687125261999604E-2</v>
      </c>
      <c r="AU11" s="9">
        <v>11462881</v>
      </c>
      <c r="AW11" s="9">
        <f t="shared" si="6"/>
        <v>-1.4097839336029488E-3</v>
      </c>
      <c r="BD11" s="14">
        <f t="shared" si="11"/>
        <v>1.3197500250337503E-2</v>
      </c>
      <c r="BE11" s="9">
        <f t="shared" si="9"/>
        <v>2022</v>
      </c>
      <c r="BF11" s="14">
        <f>SUM(T40:T43)/AVERAGE(AF42:AF45)</f>
        <v>4.101394929028887E-2</v>
      </c>
      <c r="BG11" s="14">
        <f>SUM(P40:P43)/AVERAGE(AF42:AF45)</f>
        <v>1.1366738897101169E-2</v>
      </c>
      <c r="BH11" s="14">
        <f>SUM(D40:D43)/AVERAGE(AF42:AF45)</f>
        <v>6.8418982253761085E-2</v>
      </c>
      <c r="BI11" s="14">
        <f>(SUM(H40:H43)+SUM(J40:J43))/AVERAGE(AF42:AF45)</f>
        <v>2.4052234355934534E-3</v>
      </c>
      <c r="BJ11" s="15">
        <f t="shared" si="4"/>
        <v>-4.1176995296166835E-2</v>
      </c>
      <c r="BK11" s="16">
        <f t="shared" si="5"/>
        <v>7.0824205689354533E-2</v>
      </c>
    </row>
    <row r="12" spans="1:63" ht="11.5" customHeight="1">
      <c r="A12" s="9">
        <v>2017</v>
      </c>
      <c r="B12" s="9">
        <v>1</v>
      </c>
      <c r="C12" s="10">
        <v>106787377.90249901</v>
      </c>
      <c r="D12" s="10"/>
      <c r="E12" s="10">
        <v>19409869.568</v>
      </c>
      <c r="F12" s="10"/>
      <c r="G12" s="10"/>
      <c r="H12" s="10"/>
      <c r="I12" s="10"/>
      <c r="J12" s="12"/>
      <c r="K12" s="12"/>
      <c r="L12" s="10"/>
      <c r="M12" s="10">
        <v>832988.16000000003</v>
      </c>
      <c r="N12" s="12"/>
      <c r="O12" s="12"/>
      <c r="P12" s="12"/>
      <c r="Q12" s="10"/>
      <c r="R12" s="10"/>
      <c r="S12" s="10"/>
      <c r="T12" s="12"/>
      <c r="U12" s="12"/>
      <c r="V12" s="12"/>
      <c r="W12" s="12"/>
      <c r="X12" s="10"/>
      <c r="Y12" s="10"/>
      <c r="Z12" s="10"/>
      <c r="AA12" s="10"/>
      <c r="AB12" s="10"/>
      <c r="AC12" s="13"/>
      <c r="AD12" s="10"/>
      <c r="AE12" s="10"/>
      <c r="AF12" s="10"/>
      <c r="AG12" s="10"/>
      <c r="AH12" s="10"/>
      <c r="AI12" s="14"/>
      <c r="AJ12" s="11">
        <f t="shared" si="7"/>
        <v>2023</v>
      </c>
      <c r="AK12" s="15">
        <f>SUM(AB44:AB47)/AVERAGE(AF46:AF49)</f>
        <v>-3.6608117751941428E-2</v>
      </c>
      <c r="AL12" s="10">
        <v>26311611</v>
      </c>
      <c r="AM12" s="15">
        <f>AL12/AVERAGE(AF46:AF49)</f>
        <v>3.8575106937831865E-3</v>
      </c>
      <c r="AN12" s="15">
        <f>(AF49-AF45)/AF45</f>
        <v>3.5842220219886353E-2</v>
      </c>
      <c r="AO12" s="15"/>
      <c r="AP12" s="10">
        <f t="shared" si="8"/>
        <v>699642833.44798636</v>
      </c>
      <c r="AQ12" s="10">
        <f t="shared" si="10"/>
        <v>552747068.17381835</v>
      </c>
      <c r="AR12" s="17">
        <f>AP12/AF49</f>
        <v>0.10103933176461727</v>
      </c>
      <c r="AS12" s="17">
        <f>AQ12/AF49</f>
        <v>7.9825293325592184E-2</v>
      </c>
      <c r="AU12" s="9">
        <v>11332510</v>
      </c>
      <c r="AW12" s="9">
        <f t="shared" si="6"/>
        <v>-1.1373318801791626E-2</v>
      </c>
      <c r="BD12" s="14">
        <f t="shared" si="11"/>
        <v>1.3756176158652152E-2</v>
      </c>
      <c r="BE12" s="9">
        <f t="shared" si="9"/>
        <v>2023</v>
      </c>
      <c r="BF12" s="14">
        <f>SUM(T44:T47)/AVERAGE(AF46:AF49)</f>
        <v>4.1188626749097644E-2</v>
      </c>
      <c r="BG12" s="14">
        <f>SUM(P44:P47)/AVERAGE(AF46:AF49)</f>
        <v>1.078802560674016E-2</v>
      </c>
      <c r="BH12" s="14">
        <f>SUM(D44:D47)/AVERAGE(AF46:AF49)</f>
        <v>6.7008718894298908E-2</v>
      </c>
      <c r="BI12" s="14">
        <f>(SUM(H44:H47)+SUM(J44:J47))/AVERAGE(AF46:AF49)</f>
        <v>2.7585790810815288E-3</v>
      </c>
      <c r="BJ12" s="15">
        <f t="shared" si="4"/>
        <v>-3.9366696833022956E-2</v>
      </c>
      <c r="BK12" s="16">
        <f t="shared" si="5"/>
        <v>6.9767297975380435E-2</v>
      </c>
    </row>
    <row r="13" spans="1:63">
      <c r="C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0"/>
      <c r="P13" s="21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2"/>
      <c r="AD13" s="21"/>
      <c r="AE13" s="21"/>
      <c r="AF13" s="21"/>
      <c r="AG13" s="21"/>
      <c r="AH13" s="21"/>
      <c r="AI13" s="16"/>
      <c r="AJ13" s="23">
        <f t="shared" si="7"/>
        <v>2024</v>
      </c>
      <c r="AK13" s="24">
        <f>SUM(AB48:AB51)/AVERAGE(AF50:AF53)</f>
        <v>-3.4616031865708843E-2</v>
      </c>
      <c r="AL13" s="21">
        <v>24746871</v>
      </c>
      <c r="AM13" s="24">
        <f>AL13/AVERAGE(AF50:AF53)</f>
        <v>3.5112158354330073E-3</v>
      </c>
      <c r="AN13" s="24">
        <f>(AF53-AF49)/AF49</f>
        <v>2.9163139095994016E-2</v>
      </c>
      <c r="AO13" s="24"/>
      <c r="AP13" s="21">
        <f t="shared" si="8"/>
        <v>720046614.71734548</v>
      </c>
      <c r="AQ13" s="21">
        <f t="shared" si="10"/>
        <v>543790976.06578231</v>
      </c>
      <c r="AR13" s="25">
        <f>AP13/AF53</f>
        <v>0.1010393317646173</v>
      </c>
      <c r="AS13" s="25">
        <f>AQ13/AF53</f>
        <v>7.6306555323343933E-2</v>
      </c>
      <c r="BD13" s="16">
        <f t="shared" si="11"/>
        <v>1.2846590176763187E-2</v>
      </c>
      <c r="BE13">
        <f t="shared" si="9"/>
        <v>2024</v>
      </c>
      <c r="BF13" s="16">
        <f>SUM(T48:T51)/AVERAGE(AF50:AF53)</f>
        <v>4.1515079307048008E-2</v>
      </c>
      <c r="BG13" s="16">
        <f>SUM(P48:P51)/AVERAGE(AF50:AF53)</f>
        <v>1.0354119581821621E-2</v>
      </c>
      <c r="BH13" s="16">
        <f>SUM(D48:D51)/AVERAGE(AF50:AF53)</f>
        <v>6.5776991590935224E-2</v>
      </c>
      <c r="BI13" s="16">
        <f>(SUM(H48:H51)+SUM(J48:J51))/AVERAGE(AF50:AF53)</f>
        <v>3.0268104393886604E-3</v>
      </c>
      <c r="BJ13" s="24">
        <f t="shared" si="4"/>
        <v>-3.7642842305097506E-2</v>
      </c>
      <c r="BK13" s="16">
        <f t="shared" si="5"/>
        <v>6.880380203032388E-2</v>
      </c>
    </row>
    <row r="14" spans="1:63" s="34" customFormat="1">
      <c r="A14" s="26">
        <v>2015</v>
      </c>
      <c r="B14" s="26">
        <v>3</v>
      </c>
      <c r="C14" s="19"/>
      <c r="D14" s="43">
        <v>104972380.342972</v>
      </c>
      <c r="E14" s="19"/>
      <c r="F14" s="43">
        <v>19079972.709021501</v>
      </c>
      <c r="G14" s="27">
        <v>0</v>
      </c>
      <c r="H14" s="27">
        <v>0</v>
      </c>
      <c r="I14" s="27">
        <v>0</v>
      </c>
      <c r="J14" s="19">
        <v>0</v>
      </c>
      <c r="K14" s="19"/>
      <c r="L14" s="43">
        <v>2869641.16935188</v>
      </c>
      <c r="M14" s="27"/>
      <c r="N14" s="43">
        <v>771795.46014843904</v>
      </c>
      <c r="O14" s="19"/>
      <c r="P14" s="43">
        <v>19136772.5747284</v>
      </c>
      <c r="Q14" s="27"/>
      <c r="R14" s="43">
        <v>19024548.514712099</v>
      </c>
      <c r="S14" s="27"/>
      <c r="T14" s="43">
        <v>72742010.135963306</v>
      </c>
      <c r="U14" s="19"/>
      <c r="V14" s="43">
        <v>143491.61854897701</v>
      </c>
      <c r="W14" s="27"/>
      <c r="X14" s="43">
        <v>360409.57601347001</v>
      </c>
      <c r="Y14" s="19"/>
      <c r="Z14" s="19">
        <f t="shared" ref="Z14:Z45" si="12">R14+V14-N14-L14-F14</f>
        <v>-3553369.2052607425</v>
      </c>
      <c r="AA14" s="19"/>
      <c r="AB14" s="19">
        <f t="shared" ref="AB14:AB45" si="13">T14-P14-D14</f>
        <v>-51367142.781737089</v>
      </c>
      <c r="AC14" s="13"/>
      <c r="AD14" s="18">
        <v>5092693740.32864</v>
      </c>
      <c r="AE14" s="18">
        <v>103.09103866</v>
      </c>
      <c r="AF14" s="18">
        <f t="shared" ref="AF14:AF25" si="14">AD14*100/AE14</f>
        <v>4939996537.5502996</v>
      </c>
      <c r="AG14" s="18"/>
      <c r="AH14" s="18"/>
      <c r="AI14" s="28">
        <f>AI7</f>
        <v>-7.4980564381527462E-3</v>
      </c>
      <c r="AJ14" s="29">
        <f t="shared" si="7"/>
        <v>2025</v>
      </c>
      <c r="AK14" s="30">
        <f>SUM(AB52:AB55)/AVERAGE(AF54:AF57)</f>
        <v>-3.2193778325940198E-2</v>
      </c>
      <c r="AL14" s="18">
        <v>23163060</v>
      </c>
      <c r="AM14" s="30">
        <f>AL14/AVERAGE(AF54:AF57)</f>
        <v>3.1810611068598996E-3</v>
      </c>
      <c r="AN14" s="30">
        <f>(AF57-AF53)/AF53</f>
        <v>3.2493301306431306E-2</v>
      </c>
      <c r="AO14" s="30"/>
      <c r="AP14" s="18">
        <f t="shared" si="8"/>
        <v>743443306.32403195</v>
      </c>
      <c r="AQ14" s="18">
        <f t="shared" si="10"/>
        <v>537954509.75290346</v>
      </c>
      <c r="AR14" s="31">
        <f>AP14/AF57</f>
        <v>0.10103933176461728</v>
      </c>
      <c r="AS14" s="31">
        <f>AQ14/AF57</f>
        <v>7.3111915492188262E-2</v>
      </c>
      <c r="AT14" s="26"/>
      <c r="AU14" s="26"/>
      <c r="AV14" s="26">
        <v>11185633</v>
      </c>
      <c r="AW14" s="26"/>
      <c r="AX14" s="26"/>
      <c r="AY14" s="45">
        <v>6853.2466625781399</v>
      </c>
      <c r="AZ14" s="33"/>
      <c r="BA14" s="26"/>
      <c r="BB14" s="26"/>
      <c r="BC14" s="26"/>
      <c r="BD14" s="28">
        <f t="shared" si="11"/>
        <v>1.4890201301170363E-2</v>
      </c>
      <c r="BE14" s="34">
        <f t="shared" si="9"/>
        <v>2025</v>
      </c>
      <c r="BF14" s="28">
        <f>SUM(T52:T55)/AVERAGE(AF54:AF57)</f>
        <v>4.1812534170019421E-2</v>
      </c>
      <c r="BG14" s="28">
        <f>SUM(P52:P55)/AVERAGE(AF54:AF57)</f>
        <v>9.9143374630611923E-3</v>
      </c>
      <c r="BH14" s="28">
        <f>SUM(D52:D55)/AVERAGE(AF54:AF57)</f>
        <v>6.4091975032898416E-2</v>
      </c>
      <c r="BI14" s="28">
        <f>(SUM(H52:H55)+SUM(J52:J55))/AVERAGE(AF54:AF57)</f>
        <v>3.9857381529316916E-3</v>
      </c>
      <c r="BJ14" s="30">
        <f t="shared" si="4"/>
        <v>-3.6179516478871888E-2</v>
      </c>
      <c r="BK14" s="16">
        <f t="shared" si="5"/>
        <v>6.8077713185830113E-2</v>
      </c>
    </row>
    <row r="15" spans="1:63" s="26" customFormat="1">
      <c r="A15" s="26">
        <v>2015</v>
      </c>
      <c r="B15" s="26">
        <v>4</v>
      </c>
      <c r="C15" s="19"/>
      <c r="D15" s="43">
        <v>113264862.081616</v>
      </c>
      <c r="E15" s="19"/>
      <c r="F15" s="43">
        <v>20587229.4249922</v>
      </c>
      <c r="G15" s="27">
        <v>0</v>
      </c>
      <c r="H15" s="27">
        <v>0</v>
      </c>
      <c r="I15" s="27">
        <v>0</v>
      </c>
      <c r="J15" s="19">
        <v>0</v>
      </c>
      <c r="K15" s="19"/>
      <c r="L15" s="43">
        <v>2670776.1939050499</v>
      </c>
      <c r="M15" s="27"/>
      <c r="N15" s="43">
        <v>834621.31100850203</v>
      </c>
      <c r="O15" s="19"/>
      <c r="P15" s="43">
        <v>18450510.5665798</v>
      </c>
      <c r="Q15" s="27"/>
      <c r="R15" s="43">
        <v>21980235.489048298</v>
      </c>
      <c r="S15" s="27"/>
      <c r="T15" s="43">
        <v>84043335.456752405</v>
      </c>
      <c r="U15" s="19"/>
      <c r="V15" s="43">
        <v>125893.010086867</v>
      </c>
      <c r="W15" s="27"/>
      <c r="X15" s="43">
        <v>316206.94537625799</v>
      </c>
      <c r="Y15" s="19"/>
      <c r="Z15" s="19">
        <f t="shared" si="12"/>
        <v>-1986498.4307705872</v>
      </c>
      <c r="AA15" s="19"/>
      <c r="AB15" s="19">
        <f t="shared" si="13"/>
        <v>-47672037.191443399</v>
      </c>
      <c r="AC15" s="13"/>
      <c r="AD15" s="19">
        <v>5951478855.3666</v>
      </c>
      <c r="AE15" s="19">
        <v>106.73436665</v>
      </c>
      <c r="AF15" s="19">
        <f t="shared" si="14"/>
        <v>5575972427.7771788</v>
      </c>
      <c r="AG15" s="19"/>
      <c r="AH15" s="19"/>
      <c r="AI15" s="33">
        <f>AI8</f>
        <v>-5.066867895331297E-3</v>
      </c>
      <c r="AJ15" s="35">
        <f t="shared" si="7"/>
        <v>2026</v>
      </c>
      <c r="AK15" s="36">
        <f>SUM(AB56:AB59)/AVERAGE(AF58:AF61)</f>
        <v>-2.9316084729249056E-2</v>
      </c>
      <c r="AL15" s="19">
        <v>21643709</v>
      </c>
      <c r="AM15" s="36">
        <f>AL15/AVERAGE(AF58:AF61)</f>
        <v>2.8625670235099942E-3</v>
      </c>
      <c r="AN15" s="36">
        <f>(AF61-AF57)/AF57</f>
        <v>3.8286382555934216E-2</v>
      </c>
      <c r="AO15" s="36"/>
      <c r="AP15" s="19">
        <f t="shared" si="8"/>
        <v>771907061.15860248</v>
      </c>
      <c r="AQ15" s="19">
        <f t="shared" si="10"/>
        <v>536529907.15080136</v>
      </c>
      <c r="AR15" s="37">
        <f>AP15/AF61</f>
        <v>0.10103933176461728</v>
      </c>
      <c r="AS15" s="37">
        <f>AQ15/AF61</f>
        <v>7.022946934684221E-2</v>
      </c>
      <c r="AV15" s="26">
        <v>11102417</v>
      </c>
      <c r="AX15" s="26">
        <f t="shared" ref="AX15:AX46" si="15">(AV15-AV14)/AV14</f>
        <v>-7.4395432068976334E-3</v>
      </c>
      <c r="AY15" s="45">
        <v>6832.2540861547704</v>
      </c>
      <c r="AZ15" s="33">
        <f t="shared" ref="AZ15:AZ46" si="16">(AY15-AY14)/AY14</f>
        <v>-3.0631578661831178E-3</v>
      </c>
      <c r="BD15" s="33">
        <f t="shared" si="11"/>
        <v>1.3233683487538977E-2</v>
      </c>
      <c r="BE15" s="26">
        <f t="shared" si="9"/>
        <v>2026</v>
      </c>
      <c r="BF15" s="33">
        <f>SUM(T56:T59)/AVERAGE(AF58:AF61)</f>
        <v>4.2265574805620737E-2</v>
      </c>
      <c r="BG15" s="33">
        <f>SUM(P56:P59)/AVERAGE(AF58:AF61)</f>
        <v>9.3017276226612308E-3</v>
      </c>
      <c r="BH15" s="33">
        <f>SUM(D56:D59)/AVERAGE(AF58:AF61)</f>
        <v>6.2279931912208576E-2</v>
      </c>
      <c r="BI15" s="33">
        <f>(SUM(H56:H59)+SUM(J56:J59))/AVERAGE(AF58:AF61)</f>
        <v>4.9597406229606438E-3</v>
      </c>
      <c r="BJ15" s="36">
        <f t="shared" si="4"/>
        <v>-3.4275825352209702E-2</v>
      </c>
      <c r="BK15" s="16">
        <f t="shared" si="5"/>
        <v>6.7239672535169215E-2</v>
      </c>
    </row>
    <row r="16" spans="1:63" s="26" customFormat="1">
      <c r="A16" s="34">
        <v>2016</v>
      </c>
      <c r="B16" s="34">
        <v>1</v>
      </c>
      <c r="C16" s="18"/>
      <c r="D16" s="46">
        <v>99483865.345019907</v>
      </c>
      <c r="E16" s="18"/>
      <c r="F16" s="46">
        <v>18082370.139356598</v>
      </c>
      <c r="G16" s="38">
        <v>0</v>
      </c>
      <c r="H16" s="38">
        <v>0</v>
      </c>
      <c r="I16" s="38">
        <v>0</v>
      </c>
      <c r="J16" s="18">
        <v>0</v>
      </c>
      <c r="K16" s="18"/>
      <c r="L16" s="46">
        <v>2665572.1829564301</v>
      </c>
      <c r="M16" s="38"/>
      <c r="N16" s="46">
        <v>730868.62277234299</v>
      </c>
      <c r="O16" s="18"/>
      <c r="P16" s="46">
        <v>17852690.2503452</v>
      </c>
      <c r="Q16" s="38"/>
      <c r="R16" s="46">
        <v>18329131.825861499</v>
      </c>
      <c r="S16" s="38"/>
      <c r="T16" s="46">
        <v>70083024.153196305</v>
      </c>
      <c r="U16" s="18"/>
      <c r="V16" s="46">
        <v>116696.772819162</v>
      </c>
      <c r="W16" s="38"/>
      <c r="X16" s="46">
        <v>293108.64870855701</v>
      </c>
      <c r="Y16" s="18"/>
      <c r="Z16" s="18">
        <f t="shared" si="12"/>
        <v>-3032982.3464047126</v>
      </c>
      <c r="AA16" s="18"/>
      <c r="AB16" s="18">
        <f t="shared" si="13"/>
        <v>-47253531.442168802</v>
      </c>
      <c r="AC16" s="13"/>
      <c r="AD16" s="19">
        <v>6221730755.7715998</v>
      </c>
      <c r="AE16" s="19">
        <v>110.48458934999999</v>
      </c>
      <c r="AF16" s="19">
        <f t="shared" si="14"/>
        <v>5631310929.7641611</v>
      </c>
      <c r="AG16" s="19"/>
      <c r="AH16" s="19"/>
      <c r="AI16" s="33">
        <f t="shared" ref="AI16:AI47" si="17">AB14/AF16</f>
        <v>-9.1217024636727605E-3</v>
      </c>
      <c r="AJ16" s="35">
        <f t="shared" si="7"/>
        <v>2027</v>
      </c>
      <c r="AK16" s="36">
        <f>SUM(AB60:AB63)/AVERAGE(AF62:AF65)</f>
        <v>-2.7996011054852183E-2</v>
      </c>
      <c r="AL16" s="19">
        <v>20162017</v>
      </c>
      <c r="AM16" s="36">
        <f>AL16/AVERAGE(AF62:AF65)</f>
        <v>2.5931632656908928E-3</v>
      </c>
      <c r="AN16" s="36">
        <f>(AF65-AF61)/AF61</f>
        <v>3.2656514719805164E-2</v>
      </c>
      <c r="AO16" s="36"/>
      <c r="AP16" s="19">
        <f t="shared" si="8"/>
        <v>797114855.46364999</v>
      </c>
      <c r="AQ16" s="19">
        <f t="shared" si="10"/>
        <v>533589061.47746933</v>
      </c>
      <c r="AR16" s="37">
        <f>AP16/AF65</f>
        <v>0.1010393317646173</v>
      </c>
      <c r="AS16" s="37">
        <f>AQ16/AF65</f>
        <v>6.7635776499527747E-2</v>
      </c>
      <c r="AT16" s="34"/>
      <c r="AU16" s="34"/>
      <c r="AV16" s="34">
        <v>11090768</v>
      </c>
      <c r="AW16" s="34"/>
      <c r="AX16" s="34">
        <f t="shared" si="15"/>
        <v>-1.0492309917741335E-3</v>
      </c>
      <c r="AY16" s="48">
        <v>6441.0704283216501</v>
      </c>
      <c r="AZ16" s="28">
        <f t="shared" si="16"/>
        <v>-5.7255431794586649E-2</v>
      </c>
      <c r="BA16" s="34"/>
      <c r="BB16" s="34"/>
      <c r="BC16" s="34"/>
      <c r="BD16" s="33">
        <f t="shared" si="11"/>
        <v>1.3970620286113315E-2</v>
      </c>
      <c r="BE16" s="26">
        <f t="shared" si="9"/>
        <v>2027</v>
      </c>
      <c r="BF16" s="33">
        <f>SUM(T60:T63)/AVERAGE(AF62:AF65)</f>
        <v>4.2495221351108843E-2</v>
      </c>
      <c r="BG16" s="33">
        <f>SUM(P60:P63)/AVERAGE(AF62:AF65)</f>
        <v>9.1184230258733023E-3</v>
      </c>
      <c r="BH16" s="33">
        <f>SUM(D60:D63)/AVERAGE(AF62:AF65)</f>
        <v>6.1372809380087733E-2</v>
      </c>
      <c r="BI16" s="33">
        <f>(SUM(H60:H63)+SUM(J60:J63))/AVERAGE(AF62:AF65)</f>
        <v>5.9581651683678098E-3</v>
      </c>
      <c r="BJ16" s="36">
        <f t="shared" si="4"/>
        <v>-3.3954176223219994E-2</v>
      </c>
      <c r="BK16" s="16">
        <f t="shared" si="5"/>
        <v>6.7330974548455547E-2</v>
      </c>
    </row>
    <row r="17" spans="1:63" s="26" customFormat="1">
      <c r="A17" s="26">
        <v>2016</v>
      </c>
      <c r="B17" s="26">
        <v>2</v>
      </c>
      <c r="C17" s="19"/>
      <c r="D17" s="43">
        <v>102300549.238139</v>
      </c>
      <c r="E17" s="19"/>
      <c r="F17" s="43">
        <v>18594335.778652001</v>
      </c>
      <c r="G17" s="27">
        <v>0</v>
      </c>
      <c r="H17" s="27">
        <v>0</v>
      </c>
      <c r="I17" s="27">
        <v>0</v>
      </c>
      <c r="J17" s="19">
        <v>0</v>
      </c>
      <c r="K17" s="19"/>
      <c r="L17" s="43">
        <v>2618618.1015989701</v>
      </c>
      <c r="M17" s="27"/>
      <c r="N17" s="43">
        <v>752236.96718559798</v>
      </c>
      <c r="O17" s="19"/>
      <c r="P17" s="43">
        <v>17726607.6252519</v>
      </c>
      <c r="Q17" s="27"/>
      <c r="R17" s="43">
        <v>20436512.2309427</v>
      </c>
      <c r="S17" s="27"/>
      <c r="T17" s="43">
        <v>78140775.782266706</v>
      </c>
      <c r="U17" s="19"/>
      <c r="V17" s="43">
        <v>114199.534375804</v>
      </c>
      <c r="W17" s="27"/>
      <c r="X17" s="43">
        <v>286836.30571266299</v>
      </c>
      <c r="Y17" s="19"/>
      <c r="Z17" s="19">
        <f t="shared" si="12"/>
        <v>-1414479.0821180642</v>
      </c>
      <c r="AA17" s="19"/>
      <c r="AB17" s="19">
        <f t="shared" si="13"/>
        <v>-41886381.081124201</v>
      </c>
      <c r="AC17" s="13"/>
      <c r="AD17" s="19">
        <v>6552140231.3025303</v>
      </c>
      <c r="AE17" s="19">
        <v>115.79241048</v>
      </c>
      <c r="AF17" s="19">
        <f t="shared" si="14"/>
        <v>5658523044.9401817</v>
      </c>
      <c r="AG17" s="19"/>
      <c r="AH17" s="19"/>
      <c r="AI17" s="33">
        <f t="shared" si="17"/>
        <v>-8.4248198359943866E-3</v>
      </c>
      <c r="AJ17" s="35">
        <f t="shared" si="7"/>
        <v>2028</v>
      </c>
      <c r="AK17" s="36">
        <f>SUM(AB64:AB67)/AVERAGE(AF66:AF69)</f>
        <v>-2.6294481814153128E-2</v>
      </c>
      <c r="AL17" s="19">
        <v>18722312</v>
      </c>
      <c r="AM17" s="36">
        <f>AL17/AVERAGE(AF66:AF69)</f>
        <v>2.3285753811197194E-3</v>
      </c>
      <c r="AN17" s="36">
        <f>(AF69-AF65)/AF65</f>
        <v>2.8413863213557315E-2</v>
      </c>
      <c r="AO17" s="36"/>
      <c r="AP17" s="19">
        <f t="shared" si="8"/>
        <v>819763967.93228865</v>
      </c>
      <c r="AQ17" s="19">
        <f t="shared" si="10"/>
        <v>529785488.43977249</v>
      </c>
      <c r="AR17" s="37">
        <f>AP17/AF69</f>
        <v>0.1010393317646173</v>
      </c>
      <c r="AS17" s="37">
        <f>AQ17/AF69</f>
        <v>6.5298273435418219E-2</v>
      </c>
      <c r="AV17" s="26">
        <v>11075806</v>
      </c>
      <c r="AX17" s="26">
        <f t="shared" si="15"/>
        <v>-1.3490499485698376E-3</v>
      </c>
      <c r="AY17" s="45">
        <v>6254.1240431472797</v>
      </c>
      <c r="AZ17" s="33">
        <f t="shared" si="16"/>
        <v>-2.9024117536793174E-2</v>
      </c>
      <c r="BD17" s="33">
        <f t="shared" si="11"/>
        <v>1.2710655643713143E-2</v>
      </c>
      <c r="BE17" s="26">
        <f t="shared" si="9"/>
        <v>2028</v>
      </c>
      <c r="BF17" s="33">
        <f>SUM(T64:T67)/AVERAGE(AF66:AF69)</f>
        <v>4.2756881583989478E-2</v>
      </c>
      <c r="BG17" s="33">
        <f>SUM(P64:P67)/AVERAGE(AF66:AF69)</f>
        <v>8.7305088104873228E-3</v>
      </c>
      <c r="BH17" s="33">
        <f>SUM(D64:D67)/AVERAGE(AF66:AF69)</f>
        <v>6.0320854587655286E-2</v>
      </c>
      <c r="BI17" s="33">
        <f>(SUM(H64:H67)+SUM(J64:J67))/AVERAGE(AF66:AF69)</f>
        <v>6.7931608306304936E-3</v>
      </c>
      <c r="BJ17" s="36">
        <f t="shared" si="4"/>
        <v>-3.3087642644783623E-2</v>
      </c>
      <c r="BK17" s="16">
        <f t="shared" si="5"/>
        <v>6.711401541828578E-2</v>
      </c>
    </row>
    <row r="18" spans="1:63" s="34" customFormat="1">
      <c r="A18" s="26">
        <f t="shared" ref="A18:A49" si="18">A14+1</f>
        <v>2016</v>
      </c>
      <c r="B18" s="26">
        <f t="shared" ref="B18:B49" si="19">B14</f>
        <v>3</v>
      </c>
      <c r="C18" s="19"/>
      <c r="D18" s="43">
        <v>97682833.091087893</v>
      </c>
      <c r="E18" s="19"/>
      <c r="F18" s="43">
        <v>17755011.207980402</v>
      </c>
      <c r="G18" s="27">
        <v>0</v>
      </c>
      <c r="H18" s="27">
        <v>0</v>
      </c>
      <c r="I18" s="27">
        <v>0</v>
      </c>
      <c r="J18" s="19">
        <v>0</v>
      </c>
      <c r="K18" s="19"/>
      <c r="L18" s="43">
        <v>2255815.8175556599</v>
      </c>
      <c r="M18" s="27"/>
      <c r="N18" s="43">
        <v>719928.806128975</v>
      </c>
      <c r="O18" s="19"/>
      <c r="P18" s="43">
        <v>15666274.878976701</v>
      </c>
      <c r="Q18" s="27"/>
      <c r="R18" s="43">
        <v>18210487.656037498</v>
      </c>
      <c r="S18" s="27"/>
      <c r="T18" s="43">
        <v>69629377.886782303</v>
      </c>
      <c r="U18" s="19"/>
      <c r="V18" s="43">
        <v>114753.770743457</v>
      </c>
      <c r="W18" s="27"/>
      <c r="X18" s="43">
        <v>288228.38767742802</v>
      </c>
      <c r="Y18" s="19"/>
      <c r="Z18" s="19">
        <f t="shared" si="12"/>
        <v>-2405514.4048840832</v>
      </c>
      <c r="AA18" s="19"/>
      <c r="AB18" s="19">
        <f t="shared" si="13"/>
        <v>-43719730.083282292</v>
      </c>
      <c r="AC18" s="13"/>
      <c r="AD18" s="18">
        <v>6962845278.2518702</v>
      </c>
      <c r="AE18" s="18">
        <v>131.11898839</v>
      </c>
      <c r="AF18" s="18">
        <f t="shared" si="14"/>
        <v>5310325654.3908043</v>
      </c>
      <c r="AG18" s="18"/>
      <c r="AH18" s="18"/>
      <c r="AI18" s="28">
        <f t="shared" si="17"/>
        <v>-8.8984244126530283E-3</v>
      </c>
      <c r="AJ18" s="29">
        <f t="shared" si="7"/>
        <v>2029</v>
      </c>
      <c r="AK18" s="30">
        <f>SUM(AB68:AB71)/AVERAGE(AF70:AF73)</f>
        <v>-2.4540537825997227E-2</v>
      </c>
      <c r="AL18" s="18">
        <v>17359550</v>
      </c>
      <c r="AM18" s="30">
        <f>AL18/AVERAGE(AF70:AF73)</f>
        <v>2.1001800113086568E-3</v>
      </c>
      <c r="AN18" s="30">
        <f>(AF73-AF69)/AF69</f>
        <v>3.383077325974531E-2</v>
      </c>
      <c r="AO18" s="30"/>
      <c r="AP18" s="18">
        <f t="shared" si="8"/>
        <v>847497216.85791504</v>
      </c>
      <c r="AQ18" s="18">
        <f t="shared" si="10"/>
        <v>530081434.93651319</v>
      </c>
      <c r="AR18" s="31">
        <f>AP18/AF73</f>
        <v>0.1010393317646173</v>
      </c>
      <c r="AS18" s="31">
        <f>AQ18/AF73</f>
        <v>6.3196754988039158E-2</v>
      </c>
      <c r="AT18" s="26"/>
      <c r="AU18" s="26"/>
      <c r="AV18" s="26">
        <v>11207235</v>
      </c>
      <c r="AW18" s="26"/>
      <c r="AX18" s="26">
        <f t="shared" si="15"/>
        <v>1.1866314740435143E-2</v>
      </c>
      <c r="AY18" s="45">
        <v>6292.2491261057703</v>
      </c>
      <c r="AZ18" s="33">
        <f t="shared" si="16"/>
        <v>6.0959908526701974E-3</v>
      </c>
      <c r="BA18" s="26"/>
      <c r="BB18" s="26"/>
      <c r="BC18" s="26"/>
      <c r="BD18" s="28">
        <f t="shared" si="11"/>
        <v>1.4546165442929724E-2</v>
      </c>
      <c r="BE18" s="34">
        <f t="shared" si="9"/>
        <v>2029</v>
      </c>
      <c r="BF18" s="28">
        <f>SUM(T68:T71)/AVERAGE(AF70:AF73)</f>
        <v>4.3047466985110763E-2</v>
      </c>
      <c r="BG18" s="28">
        <f>SUM(P68:P71)/AVERAGE(AF70:AF73)</f>
        <v>8.3933982773542418E-3</v>
      </c>
      <c r="BH18" s="28">
        <f>SUM(D68:D71)/AVERAGE(AF70:AF73)</f>
        <v>5.9194606533753753E-2</v>
      </c>
      <c r="BI18" s="28">
        <f>(SUM(H68:H71)+SUM(J68:J71))/AVERAGE(AF70:AF73)</f>
        <v>7.5164647286894435E-3</v>
      </c>
      <c r="BJ18" s="30">
        <f t="shared" si="4"/>
        <v>-3.2057002554686673E-2</v>
      </c>
      <c r="BK18" s="16">
        <f t="shared" si="5"/>
        <v>6.6711071262443203E-2</v>
      </c>
    </row>
    <row r="19" spans="1:63" s="26" customFormat="1">
      <c r="A19" s="26">
        <f t="shared" si="18"/>
        <v>2016</v>
      </c>
      <c r="B19" s="26">
        <f t="shared" si="19"/>
        <v>4</v>
      </c>
      <c r="C19" s="19"/>
      <c r="D19" s="43">
        <v>106681111.11949299</v>
      </c>
      <c r="E19" s="19"/>
      <c r="F19" s="43">
        <v>19390554.754284799</v>
      </c>
      <c r="G19" s="43">
        <v>34547.7024160765</v>
      </c>
      <c r="H19" s="43">
        <v>190071.265473115</v>
      </c>
      <c r="I19" s="49">
        <v>1068.4856417343201</v>
      </c>
      <c r="J19" s="43">
        <v>5878.4927465911396</v>
      </c>
      <c r="K19" s="19"/>
      <c r="L19" s="43">
        <v>3729815.2114678798</v>
      </c>
      <c r="M19" s="27"/>
      <c r="N19" s="43">
        <v>788260.935891159</v>
      </c>
      <c r="O19" s="19"/>
      <c r="P19" s="43">
        <v>23690807.957799401</v>
      </c>
      <c r="Q19" s="27"/>
      <c r="R19" s="43">
        <v>21232468.537361301</v>
      </c>
      <c r="S19" s="27"/>
      <c r="T19" s="43">
        <v>81184183.706744298</v>
      </c>
      <c r="U19" s="19"/>
      <c r="V19" s="43">
        <v>118511.592881424</v>
      </c>
      <c r="W19" s="27"/>
      <c r="X19" s="43">
        <v>297666.95347781701</v>
      </c>
      <c r="Y19" s="19"/>
      <c r="Z19" s="19">
        <f t="shared" si="12"/>
        <v>-2557650.7714011148</v>
      </c>
      <c r="AA19" s="19"/>
      <c r="AB19" s="19">
        <f t="shared" si="13"/>
        <v>-49187735.370548099</v>
      </c>
      <c r="AC19" s="13"/>
      <c r="AD19" s="19">
        <v>8401125356.75455</v>
      </c>
      <c r="AE19" s="19">
        <v>147.89635652000001</v>
      </c>
      <c r="AF19" s="19">
        <f t="shared" si="14"/>
        <v>5680414010.4820404</v>
      </c>
      <c r="AG19" s="19"/>
      <c r="AH19" s="19"/>
      <c r="AI19" s="33">
        <f t="shared" si="17"/>
        <v>-7.3738253943870053E-3</v>
      </c>
      <c r="AJ19" s="35">
        <f t="shared" si="7"/>
        <v>2030</v>
      </c>
      <c r="AK19" s="36">
        <f>SUM(AB72:AB75)/AVERAGE(AF74:AF77)</f>
        <v>-2.2957363129591676E-2</v>
      </c>
      <c r="AL19" s="19">
        <v>16025266</v>
      </c>
      <c r="AM19" s="36">
        <f>AL19/AVERAGE(AF74:AF77)</f>
        <v>1.884351836741225E-3</v>
      </c>
      <c r="AN19" s="36">
        <f>(AF77-AF73)/AF73</f>
        <v>2.2612443813488949E-2</v>
      </c>
      <c r="AO19" s="36"/>
      <c r="AP19" s="19">
        <f t="shared" si="8"/>
        <v>866661200.05620289</v>
      </c>
      <c r="AQ19" s="19">
        <f t="shared" si="10"/>
        <v>525877189.69429839</v>
      </c>
      <c r="AR19" s="37">
        <f>AP19/AF77</f>
        <v>0.1010393317646173</v>
      </c>
      <c r="AS19" s="37">
        <f>AQ19/AF77</f>
        <v>6.1309171142680717E-2</v>
      </c>
      <c r="AT19"/>
      <c r="AU19"/>
      <c r="AV19" s="26">
        <v>11197960</v>
      </c>
      <c r="AW19"/>
      <c r="AX19" s="26">
        <f t="shared" si="15"/>
        <v>-8.2759039138556481E-4</v>
      </c>
      <c r="AY19" s="45">
        <v>6392.9117011472599</v>
      </c>
      <c r="AZ19" s="33">
        <f t="shared" si="16"/>
        <v>1.5997868651425915E-2</v>
      </c>
      <c r="BA19"/>
      <c r="BB19"/>
      <c r="BC19"/>
      <c r="BD19" s="33">
        <f t="shared" si="11"/>
        <v>1.188256688262615E-2</v>
      </c>
      <c r="BE19" s="26">
        <f t="shared" si="9"/>
        <v>2030</v>
      </c>
      <c r="BF19" s="33">
        <f>SUM(T72:T75)/AVERAGE(AF74:AF77)</f>
        <v>4.3370404820530672E-2</v>
      </c>
      <c r="BG19" s="33">
        <f>SUM(P72:P75)/AVERAGE(AF74:AF77)</f>
        <v>8.0868181689433497E-3</v>
      </c>
      <c r="BH19" s="33">
        <f>SUM(D72:D75)/AVERAGE(AF74:AF77)</f>
        <v>5.8240949781178997E-2</v>
      </c>
      <c r="BI19" s="33">
        <f>(SUM(H72:H75)+SUM(J72:J75))/AVERAGE(AF74:AF77)</f>
        <v>8.195077811067656E-3</v>
      </c>
      <c r="BJ19" s="36">
        <f t="shared" si="4"/>
        <v>-3.1152440940659332E-2</v>
      </c>
      <c r="BK19" s="16">
        <f t="shared" si="5"/>
        <v>6.6436027592246649E-2</v>
      </c>
    </row>
    <row r="20" spans="1:63" s="26" customFormat="1">
      <c r="A20" s="34">
        <f t="shared" si="18"/>
        <v>2017</v>
      </c>
      <c r="B20" s="34">
        <f t="shared" si="19"/>
        <v>1</v>
      </c>
      <c r="C20" s="18"/>
      <c r="D20" s="46">
        <v>101904730.53582001</v>
      </c>
      <c r="E20" s="18"/>
      <c r="F20" s="46">
        <v>18522391.044110399</v>
      </c>
      <c r="G20" s="46">
        <v>58257.290793023902</v>
      </c>
      <c r="H20" s="46">
        <v>320514.42526356102</v>
      </c>
      <c r="I20" s="46">
        <v>1801.7718801966</v>
      </c>
      <c r="J20" s="46">
        <v>9912.8172761924998</v>
      </c>
      <c r="K20" s="18"/>
      <c r="L20" s="46">
        <v>4087776.3510834901</v>
      </c>
      <c r="M20" s="38"/>
      <c r="N20" s="46">
        <v>754462.49065104895</v>
      </c>
      <c r="O20" s="18"/>
      <c r="P20" s="46">
        <v>25362320.9393829</v>
      </c>
      <c r="Q20" s="38"/>
      <c r="R20" s="46">
        <v>18416637.5570793</v>
      </c>
      <c r="S20" s="38"/>
      <c r="T20" s="46">
        <v>70417609.9007781</v>
      </c>
      <c r="U20" s="18"/>
      <c r="V20" s="46">
        <v>95041.589647833098</v>
      </c>
      <c r="W20" s="38"/>
      <c r="X20" s="46">
        <v>238717.07194472899</v>
      </c>
      <c r="Y20" s="18"/>
      <c r="Z20" s="18">
        <f t="shared" si="12"/>
        <v>-4852950.7391178049</v>
      </c>
      <c r="AA20" s="18"/>
      <c r="AB20" s="18">
        <f t="shared" si="13"/>
        <v>-56849441.574424803</v>
      </c>
      <c r="AC20" s="13"/>
      <c r="AD20" s="19">
        <v>8448889759.2748203</v>
      </c>
      <c r="AE20" s="19">
        <v>155.88165151000001</v>
      </c>
      <c r="AF20" s="19">
        <f t="shared" si="14"/>
        <v>5420066876.0125456</v>
      </c>
      <c r="AG20" s="19"/>
      <c r="AH20" s="19"/>
      <c r="AI20" s="33">
        <f t="shared" si="17"/>
        <v>-8.0662713363873068E-3</v>
      </c>
      <c r="AJ20" s="35">
        <f t="shared" si="7"/>
        <v>2031</v>
      </c>
      <c r="AK20" s="36">
        <f>SUM(AB76:AB79)/AVERAGE(AF78:AF81)</f>
        <v>-2.2271824101245279E-2</v>
      </c>
      <c r="AL20" s="19">
        <v>14737319</v>
      </c>
      <c r="AM20" s="36">
        <f>AL20/AVERAGE(AF78:AF81)</f>
        <v>1.6944694959322481E-3</v>
      </c>
      <c r="AN20" s="36">
        <f>(AF81-AF77)/AF77</f>
        <v>2.1007743017574951E-2</v>
      </c>
      <c r="AO20" s="36"/>
      <c r="AP20" s="19">
        <f t="shared" si="8"/>
        <v>884867795.83028674</v>
      </c>
      <c r="AQ20" s="19">
        <f t="shared" si="10"/>
        <v>522045997.21044725</v>
      </c>
      <c r="AR20" s="37">
        <f>AP20/AF81</f>
        <v>0.1010393317646173</v>
      </c>
      <c r="AS20" s="37">
        <f>AQ20/AF81</f>
        <v>5.9610236644495877E-2</v>
      </c>
      <c r="AT20" s="34"/>
      <c r="AU20" s="34"/>
      <c r="AV20" s="34">
        <v>11098826</v>
      </c>
      <c r="AW20" s="34"/>
      <c r="AX20" s="34">
        <f t="shared" si="15"/>
        <v>-8.8528624856670322E-3</v>
      </c>
      <c r="AY20" s="48">
        <v>6400.0742597180897</v>
      </c>
      <c r="AZ20" s="28">
        <f t="shared" si="16"/>
        <v>1.1203906616674226E-3</v>
      </c>
      <c r="BA20" s="34"/>
      <c r="BB20" s="34"/>
      <c r="BC20" s="34"/>
      <c r="BD20" s="33">
        <f t="shared" si="11"/>
        <v>1.3800293802179847E-2</v>
      </c>
      <c r="BE20" s="26">
        <f t="shared" si="9"/>
        <v>2031</v>
      </c>
      <c r="BF20" s="33">
        <f>SUM(T76:T79)/AVERAGE(AF78:AF81)</f>
        <v>4.3434000930102523E-2</v>
      </c>
      <c r="BG20" s="33">
        <f>SUM(P76:P79)/AVERAGE(AF78:AF81)</f>
        <v>7.9251359656920903E-3</v>
      </c>
      <c r="BH20" s="33">
        <f>SUM(D76:D79)/AVERAGE(AF78:AF81)</f>
        <v>5.7780689065655713E-2</v>
      </c>
      <c r="BI20" s="33">
        <f>(SUM(H76:H79)+SUM(J76:J79))/AVERAGE(AF78:AF81)</f>
        <v>9.0118605447817666E-3</v>
      </c>
      <c r="BJ20" s="36">
        <f t="shared" si="4"/>
        <v>-3.1283684646027043E-2</v>
      </c>
      <c r="BK20" s="16">
        <f t="shared" si="5"/>
        <v>6.6792549610437485E-2</v>
      </c>
    </row>
    <row r="21" spans="1:63">
      <c r="A21" s="26">
        <f t="shared" si="18"/>
        <v>2017</v>
      </c>
      <c r="B21" s="26">
        <f t="shared" si="19"/>
        <v>2</v>
      </c>
      <c r="C21" s="19"/>
      <c r="D21" s="43">
        <v>108678270.19741499</v>
      </c>
      <c r="E21" s="19"/>
      <c r="F21" s="43">
        <v>19753562.057518601</v>
      </c>
      <c r="G21" s="43">
        <v>94849.380304339502</v>
      </c>
      <c r="H21" s="43">
        <v>521833.30534297001</v>
      </c>
      <c r="I21" s="43">
        <v>2933.4859887940302</v>
      </c>
      <c r="J21" s="43">
        <v>16139.1743920508</v>
      </c>
      <c r="K21" s="19"/>
      <c r="L21" s="43">
        <v>3770402.3938257098</v>
      </c>
      <c r="M21" s="27"/>
      <c r="N21" s="43">
        <v>807604.27980403998</v>
      </c>
      <c r="O21" s="19"/>
      <c r="P21" s="43">
        <v>24007836.4109971</v>
      </c>
      <c r="Q21" s="27"/>
      <c r="R21" s="43">
        <v>21101855.868257899</v>
      </c>
      <c r="S21" s="27"/>
      <c r="T21" s="43">
        <v>80684774.846005306</v>
      </c>
      <c r="U21" s="19"/>
      <c r="V21" s="43">
        <v>100474.894838576</v>
      </c>
      <c r="W21" s="27"/>
      <c r="X21" s="43">
        <v>252363.968118522</v>
      </c>
      <c r="Y21" s="19"/>
      <c r="Z21" s="19">
        <f t="shared" si="12"/>
        <v>-3129237.9680518769</v>
      </c>
      <c r="AA21" s="19"/>
      <c r="AB21" s="19">
        <f t="shared" si="13"/>
        <v>-52001331.762406789</v>
      </c>
      <c r="AC21" s="13"/>
      <c r="AD21" s="19">
        <v>8942134800.3519897</v>
      </c>
      <c r="AE21" s="19">
        <v>164.01000929</v>
      </c>
      <c r="AF21" s="19">
        <f t="shared" si="14"/>
        <v>5452188460.364418</v>
      </c>
      <c r="AG21" s="19"/>
      <c r="AH21" s="19"/>
      <c r="AI21" s="33">
        <f t="shared" si="17"/>
        <v>-9.0216498802501866E-3</v>
      </c>
      <c r="AJ21" s="35">
        <f t="shared" si="7"/>
        <v>2032</v>
      </c>
      <c r="AK21" s="36">
        <f>SUM(AB80:AB83)/AVERAGE(AF82:AF85)</f>
        <v>-2.177055660023209E-2</v>
      </c>
      <c r="AL21" s="19">
        <v>13495739</v>
      </c>
      <c r="AM21" s="36">
        <f>AL21/AVERAGE(AF82:AF85)</f>
        <v>1.5266770072712872E-3</v>
      </c>
      <c r="AN21" s="36">
        <f>(AF85-AF81)/AF81</f>
        <v>1.3241088995685116E-2</v>
      </c>
      <c r="AO21" s="36"/>
      <c r="AP21" s="19">
        <f t="shared" si="8"/>
        <v>896584409.06429124</v>
      </c>
      <c r="AQ21" s="19">
        <f t="shared" si="10"/>
        <v>515381006.86556053</v>
      </c>
      <c r="AR21" s="37">
        <f>AP21/AF85</f>
        <v>0.1010393317646173</v>
      </c>
      <c r="AS21" s="37">
        <f>AQ21/AF85</f>
        <v>5.8080145060985362E-2</v>
      </c>
      <c r="AT21" s="26"/>
      <c r="AU21" s="26"/>
      <c r="AV21" s="26">
        <v>11012973</v>
      </c>
      <c r="AW21" s="26"/>
      <c r="AX21" s="26">
        <f t="shared" si="15"/>
        <v>-7.7353226368266342E-3</v>
      </c>
      <c r="AY21" s="45">
        <v>6426.6926535599796</v>
      </c>
      <c r="AZ21" s="33">
        <f t="shared" si="16"/>
        <v>4.1590757797023391E-3</v>
      </c>
      <c r="BA21" s="26"/>
      <c r="BB21" s="26"/>
      <c r="BC21" s="26"/>
      <c r="BD21" s="33">
        <f t="shared" si="11"/>
        <v>1.2034211411186106E-2</v>
      </c>
      <c r="BE21" s="26">
        <f t="shared" si="9"/>
        <v>2032</v>
      </c>
      <c r="BF21" s="33">
        <f>SUM(T80:T83)/AVERAGE(AF82:AF85)</f>
        <v>4.3422569953770924E-2</v>
      </c>
      <c r="BG21" s="33">
        <f>SUM(P80:P83)/AVERAGE(AF82:AF85)</f>
        <v>7.7906420940027747E-3</v>
      </c>
      <c r="BH21" s="33">
        <f>SUM(D80:D83)/AVERAGE(AF82:AF85)</f>
        <v>5.7402484460000243E-2</v>
      </c>
      <c r="BI21" s="33">
        <f>(SUM(H80:H83)+SUM(J80:J83))/AVERAGE(AF82:AF85)</f>
        <v>9.7547729197428514E-3</v>
      </c>
      <c r="BJ21" s="36">
        <f t="shared" si="4"/>
        <v>-3.1525329519974943E-2</v>
      </c>
      <c r="BK21" s="16">
        <f t="shared" si="5"/>
        <v>6.7157257379743096E-2</v>
      </c>
    </row>
    <row r="22" spans="1:63" s="34" customFormat="1">
      <c r="A22" s="26">
        <f t="shared" si="18"/>
        <v>2017</v>
      </c>
      <c r="B22" s="26">
        <f t="shared" si="19"/>
        <v>3</v>
      </c>
      <c r="C22" s="19"/>
      <c r="D22" s="43">
        <v>104449096.099355</v>
      </c>
      <c r="E22" s="19"/>
      <c r="F22" s="43">
        <v>18984859.6035106</v>
      </c>
      <c r="G22" s="43">
        <v>129024.392918849</v>
      </c>
      <c r="H22" s="43">
        <v>709854.14148913405</v>
      </c>
      <c r="I22" s="43">
        <v>3990.4451418200601</v>
      </c>
      <c r="J22" s="43">
        <v>21954.2517986329</v>
      </c>
      <c r="K22" s="19"/>
      <c r="L22" s="43">
        <v>3356989.5266694501</v>
      </c>
      <c r="M22" s="27"/>
      <c r="N22" s="43">
        <v>777815.29538835597</v>
      </c>
      <c r="O22" s="19"/>
      <c r="P22" s="43">
        <v>21698744.874957401</v>
      </c>
      <c r="Q22" s="27"/>
      <c r="R22" s="43">
        <v>18985244.3336922</v>
      </c>
      <c r="S22" s="27"/>
      <c r="T22" s="43">
        <v>72591727.1932735</v>
      </c>
      <c r="U22" s="19"/>
      <c r="V22" s="43">
        <v>107006.507983701</v>
      </c>
      <c r="W22" s="27"/>
      <c r="X22" s="43">
        <v>268769.49722275301</v>
      </c>
      <c r="Y22" s="19"/>
      <c r="Z22" s="19">
        <f t="shared" si="12"/>
        <v>-4027413.5838925056</v>
      </c>
      <c r="AA22" s="19"/>
      <c r="AB22" s="19">
        <f t="shared" si="13"/>
        <v>-53556113.781038895</v>
      </c>
      <c r="AC22" s="13"/>
      <c r="AD22" s="18">
        <v>9157377218.4824009</v>
      </c>
      <c r="AE22" s="18">
        <v>172.09591728000001</v>
      </c>
      <c r="AF22" s="18">
        <f t="shared" si="14"/>
        <v>5321089171.2110472</v>
      </c>
      <c r="AG22" s="18"/>
      <c r="AH22" s="18"/>
      <c r="AI22" s="28">
        <f t="shared" si="17"/>
        <v>-1.0683797949111652E-2</v>
      </c>
      <c r="AJ22" s="29">
        <f t="shared" si="7"/>
        <v>2033</v>
      </c>
      <c r="AK22" s="30">
        <f>SUM(AB84:AB87)/AVERAGE(AF86:AF89)</f>
        <v>-2.1525347005855993E-2</v>
      </c>
      <c r="AL22" s="18">
        <v>12301237</v>
      </c>
      <c r="AM22" s="30">
        <f>AL22/AVERAGE(AF86:AF89)</f>
        <v>1.3712354726044007E-3</v>
      </c>
      <c r="AN22" s="30">
        <f>(AF89-AF85)/AF85</f>
        <v>1.5583090228088604E-2</v>
      </c>
      <c r="AO22" s="30"/>
      <c r="AP22" s="18">
        <f t="shared" si="8"/>
        <v>910555964.80783761</v>
      </c>
      <c r="AQ22" s="18">
        <f t="shared" si="10"/>
        <v>511023385.3838715</v>
      </c>
      <c r="AR22" s="31">
        <f>AP22/AF89</f>
        <v>0.1010393317646173</v>
      </c>
      <c r="AS22" s="31">
        <f>AQ22/AF89</f>
        <v>5.6705423247845638E-2</v>
      </c>
      <c r="AT22" s="26"/>
      <c r="AU22" s="26"/>
      <c r="AV22" s="26">
        <v>11067051</v>
      </c>
      <c r="AW22" s="26"/>
      <c r="AX22" s="26">
        <f t="shared" si="15"/>
        <v>4.9103906819711624E-3</v>
      </c>
      <c r="AY22" s="45">
        <v>6623.7369098400204</v>
      </c>
      <c r="AZ22" s="33">
        <f t="shared" si="16"/>
        <v>3.0660289343522724E-2</v>
      </c>
      <c r="BA22" s="26"/>
      <c r="BB22" s="26"/>
      <c r="BC22" s="26"/>
      <c r="BD22" s="28">
        <f t="shared" si="11"/>
        <v>1.3934030782270694E-2</v>
      </c>
      <c r="BE22" s="34">
        <f t="shared" si="9"/>
        <v>2033</v>
      </c>
      <c r="BF22" s="28">
        <f>SUM(T84:T87)/AVERAGE(AF86:AF89)</f>
        <v>4.3566394703373118E-2</v>
      </c>
      <c r="BG22" s="28">
        <f>SUM(P84:P87)/AVERAGE(AF86:AF89)</f>
        <v>7.4888907424326637E-3</v>
      </c>
      <c r="BH22" s="28">
        <f>SUM(D84:D87)/AVERAGE(AF86:AF89)</f>
        <v>5.7602850966796439E-2</v>
      </c>
      <c r="BI22" s="28">
        <f>(SUM(H84:H87)+SUM(J84:J87))/AVERAGE(AF86:AF89)</f>
        <v>1.0425050618000297E-2</v>
      </c>
      <c r="BJ22" s="30">
        <f t="shared" si="4"/>
        <v>-3.1950397623856291E-2</v>
      </c>
      <c r="BK22" s="16">
        <f t="shared" si="5"/>
        <v>6.8027901584796741E-2</v>
      </c>
    </row>
    <row r="23" spans="1:63" s="26" customFormat="1">
      <c r="A23" s="26">
        <f t="shared" si="18"/>
        <v>2017</v>
      </c>
      <c r="B23" s="26">
        <f t="shared" si="19"/>
        <v>4</v>
      </c>
      <c r="C23" s="19"/>
      <c r="D23" s="43">
        <v>113567270.28532501</v>
      </c>
      <c r="E23" s="19"/>
      <c r="F23" s="43">
        <v>20642195.6956903</v>
      </c>
      <c r="G23" s="43">
        <v>167114.701242846</v>
      </c>
      <c r="H23" s="43">
        <v>919415.77942989895</v>
      </c>
      <c r="I23" s="43">
        <v>5168.4959147272202</v>
      </c>
      <c r="J23" s="43">
        <v>28435.539569996999</v>
      </c>
      <c r="K23" s="19"/>
      <c r="L23" s="43">
        <v>3773591.0707481299</v>
      </c>
      <c r="M23" s="27"/>
      <c r="N23" s="43">
        <v>847428.00123056397</v>
      </c>
      <c r="O23" s="19"/>
      <c r="P23" s="43">
        <v>24243480.836097199</v>
      </c>
      <c r="Q23" s="27"/>
      <c r="R23" s="43">
        <v>21863547.7792609</v>
      </c>
      <c r="S23" s="27"/>
      <c r="T23" s="43">
        <v>83597169.884858102</v>
      </c>
      <c r="U23" s="19"/>
      <c r="V23" s="43">
        <v>108451.756695437</v>
      </c>
      <c r="W23" s="27"/>
      <c r="X23" s="43">
        <v>272399.545309868</v>
      </c>
      <c r="Y23" s="19"/>
      <c r="Z23" s="19">
        <f t="shared" si="12"/>
        <v>-3291215.231712658</v>
      </c>
      <c r="AA23" s="19"/>
      <c r="AB23" s="19">
        <f t="shared" si="13"/>
        <v>-54213581.2365641</v>
      </c>
      <c r="AC23" s="13"/>
      <c r="AD23" s="19">
        <v>10595155405.883801</v>
      </c>
      <c r="AE23" s="19">
        <v>183.45579240999999</v>
      </c>
      <c r="AF23" s="19">
        <f t="shared" si="14"/>
        <v>5775318002.6090412</v>
      </c>
      <c r="AG23" s="19"/>
      <c r="AH23" s="19"/>
      <c r="AI23" s="33">
        <f t="shared" si="17"/>
        <v>-9.0040638002816149E-3</v>
      </c>
      <c r="AJ23" s="35">
        <f t="shared" si="7"/>
        <v>2034</v>
      </c>
      <c r="AK23" s="36">
        <f>SUM(AB88:AB91)/AVERAGE(AF90:AF93)</f>
        <v>-2.1611445627267949E-2</v>
      </c>
      <c r="AL23" s="19">
        <v>11191488</v>
      </c>
      <c r="AM23" s="36">
        <f>AL23/AVERAGE(AF90:AF93)</f>
        <v>1.2344395082393275E-3</v>
      </c>
      <c r="AN23" s="36">
        <f>(AF93-AF89)/AF89</f>
        <v>1.1286242071677858E-2</v>
      </c>
      <c r="AO23" s="36"/>
      <c r="AP23" s="19">
        <f t="shared" si="8"/>
        <v>920832719.84646916</v>
      </c>
      <c r="AQ23" s="19">
        <f t="shared" si="10"/>
        <v>505541656.31532568</v>
      </c>
      <c r="AR23" s="37">
        <f>AP23/AF93</f>
        <v>0.10103933176461731</v>
      </c>
      <c r="AS23" s="37">
        <f>AQ23/AF93</f>
        <v>5.5471086151016494E-2</v>
      </c>
      <c r="AV23" s="26">
        <v>11097462</v>
      </c>
      <c r="AX23" s="26">
        <f t="shared" si="15"/>
        <v>2.7478864965924527E-3</v>
      </c>
      <c r="AY23" s="45">
        <v>6640.5477990060399</v>
      </c>
      <c r="AZ23" s="33">
        <f t="shared" si="16"/>
        <v>2.5379765825308881E-3</v>
      </c>
      <c r="BA23" s="26">
        <v>100</v>
      </c>
      <c r="BB23">
        <v>100</v>
      </c>
      <c r="BC23"/>
      <c r="BD23" s="33">
        <f t="shared" si="11"/>
        <v>1.1108377175330954E-2</v>
      </c>
      <c r="BE23" s="26">
        <f t="shared" si="9"/>
        <v>2034</v>
      </c>
      <c r="BF23" s="33">
        <f>SUM(T88:T91)/AVERAGE(AF90:AF93)</f>
        <v>4.3609490193068721E-2</v>
      </c>
      <c r="BG23" s="33">
        <f>SUM(P88:P91)/AVERAGE(AF90:AF93)</f>
        <v>7.4713662506354448E-3</v>
      </c>
      <c r="BH23" s="33">
        <f>SUM(D88:D91)/AVERAGE(AF90:AF93)</f>
        <v>5.7749569569701231E-2</v>
      </c>
      <c r="BI23" s="33">
        <f>(SUM(H88:H91)+SUM(J88:J91))/AVERAGE(AF90:AF93)</f>
        <v>1.111902500581732E-2</v>
      </c>
      <c r="BJ23" s="36">
        <f t="shared" si="4"/>
        <v>-3.2730470633085269E-2</v>
      </c>
      <c r="BK23" s="16">
        <f t="shared" si="5"/>
        <v>6.8868594575518555E-2</v>
      </c>
    </row>
    <row r="24" spans="1:63" s="26" customFormat="1">
      <c r="A24" s="34">
        <f t="shared" si="18"/>
        <v>2018</v>
      </c>
      <c r="B24" s="34">
        <f t="shared" si="19"/>
        <v>1</v>
      </c>
      <c r="C24" s="18">
        <f>D24*0.081</f>
        <v>8663816.9899298623</v>
      </c>
      <c r="D24" s="46">
        <v>106960703.579381</v>
      </c>
      <c r="E24" s="18"/>
      <c r="F24" s="46">
        <v>19441373.993468199</v>
      </c>
      <c r="G24" s="46">
        <v>179207.10018598699</v>
      </c>
      <c r="H24" s="46">
        <v>985944.59058056399</v>
      </c>
      <c r="I24" s="46">
        <v>5542.48763461813</v>
      </c>
      <c r="J24" s="46">
        <v>30493.131667440099</v>
      </c>
      <c r="K24" s="18"/>
      <c r="L24" s="46">
        <v>4010848.9468741799</v>
      </c>
      <c r="M24" s="38"/>
      <c r="N24" s="46">
        <v>801294.82989991095</v>
      </c>
      <c r="O24" s="18"/>
      <c r="P24" s="46">
        <v>25220801.986016601</v>
      </c>
      <c r="Q24" s="38"/>
      <c r="R24" s="46">
        <v>17603480.920077302</v>
      </c>
      <c r="S24" s="38"/>
      <c r="T24" s="46">
        <v>67308435.021532893</v>
      </c>
      <c r="U24" s="18"/>
      <c r="V24" s="46">
        <v>99362.366619522698</v>
      </c>
      <c r="W24" s="38"/>
      <c r="X24" s="46">
        <v>249569.61798304599</v>
      </c>
      <c r="Y24" s="18"/>
      <c r="Z24" s="18">
        <f t="shared" si="12"/>
        <v>-6550674.4835454635</v>
      </c>
      <c r="AA24" s="18"/>
      <c r="AB24" s="18">
        <f t="shared" si="13"/>
        <v>-64873070.543864712</v>
      </c>
      <c r="AC24" s="13"/>
      <c r="AD24" s="19">
        <v>10937239663.7218</v>
      </c>
      <c r="AE24" s="19">
        <v>191.50871928999999</v>
      </c>
      <c r="AF24" s="19">
        <f t="shared" si="14"/>
        <v>5711092269.986743</v>
      </c>
      <c r="AG24" s="19"/>
      <c r="AH24" s="19"/>
      <c r="AI24" s="33">
        <f t="shared" si="17"/>
        <v>-9.3775605872260248E-3</v>
      </c>
      <c r="AJ24" s="35">
        <f t="shared" si="7"/>
        <v>2035</v>
      </c>
      <c r="AK24" s="36">
        <f>SUM(AB92:AB95)/AVERAGE(AF94:AF97)</f>
        <v>-2.0585002273939786E-2</v>
      </c>
      <c r="AL24" s="19">
        <v>10128304</v>
      </c>
      <c r="AM24" s="36">
        <f>AL24/AVERAGE(AF94:AF97)</f>
        <v>1.0927430870950243E-3</v>
      </c>
      <c r="AN24" s="36">
        <f>(AF97-AF93)/AF93</f>
        <v>2.1895695339993318E-2</v>
      </c>
      <c r="AO24" s="36"/>
      <c r="AP24" s="19">
        <f t="shared" si="8"/>
        <v>940994992.53932488</v>
      </c>
      <c r="AQ24" s="19">
        <f t="shared" si="10"/>
        <v>506381293.02979106</v>
      </c>
      <c r="AR24" s="37">
        <f>AP24/AF97</f>
        <v>0.10103933176461731</v>
      </c>
      <c r="AS24" s="37">
        <f>AQ24/AF97</f>
        <v>5.4372688347430025E-2</v>
      </c>
      <c r="AT24" s="34"/>
      <c r="AU24" s="34"/>
      <c r="AV24" s="34">
        <v>11081009</v>
      </c>
      <c r="AW24" s="34"/>
      <c r="AX24" s="34">
        <f t="shared" si="15"/>
        <v>-1.4825912447368596E-3</v>
      </c>
      <c r="AY24" s="48">
        <v>6554.8753798320304</v>
      </c>
      <c r="AZ24" s="28">
        <f t="shared" si="16"/>
        <v>-1.2901408402908116E-2</v>
      </c>
      <c r="BA24" s="34">
        <f t="shared" ref="BA24:BA55" si="20">BA23*((1+AZ24))</f>
        <v>98.709859159709197</v>
      </c>
      <c r="BB24" s="34">
        <f t="shared" ref="BB24:BB55" si="21">BB23*(1+AX24)*(1+AZ24)</f>
        <v>98.563512786749797</v>
      </c>
      <c r="BC24" s="34"/>
      <c r="BD24" s="33">
        <f t="shared" si="11"/>
        <v>1.2924060872535267E-2</v>
      </c>
      <c r="BE24" s="26">
        <f t="shared" si="9"/>
        <v>2035</v>
      </c>
      <c r="BF24" s="33">
        <f>SUM(T92:T95)/AVERAGE(AF94:AF97)</f>
        <v>4.3730545258616894E-2</v>
      </c>
      <c r="BG24" s="33">
        <f>SUM(P92:P95)/AVERAGE(AF94:AF97)</f>
        <v>7.2295373667672531E-3</v>
      </c>
      <c r="BH24" s="33">
        <f>SUM(D92:D95)/AVERAGE(AF94:AF97)</f>
        <v>5.708601016578943E-2</v>
      </c>
      <c r="BI24" s="33">
        <f>(SUM(H92:H95)+SUM(J92:J95))/AVERAGE(AF94:AF97)</f>
        <v>1.1785909552318037E-2</v>
      </c>
      <c r="BJ24" s="36">
        <f t="shared" si="4"/>
        <v>-3.2370911826257821E-2</v>
      </c>
      <c r="BK24" s="16">
        <f t="shared" si="5"/>
        <v>6.8871919718107466E-2</v>
      </c>
    </row>
    <row r="25" spans="1:63">
      <c r="A25" s="26">
        <f t="shared" si="18"/>
        <v>2018</v>
      </c>
      <c r="B25" s="26">
        <f t="shared" si="19"/>
        <v>2</v>
      </c>
      <c r="C25" s="19">
        <f>D25*0.081</f>
        <v>8571403.26921672</v>
      </c>
      <c r="D25" s="43">
        <v>105819793.44712</v>
      </c>
      <c r="E25" s="19"/>
      <c r="F25" s="43">
        <v>19234000.07172</v>
      </c>
      <c r="G25" s="43">
        <v>201116.049894531</v>
      </c>
      <c r="H25" s="43">
        <v>1106481.16769175</v>
      </c>
      <c r="I25" s="43">
        <v>6220.0840173566203</v>
      </c>
      <c r="J25" s="43">
        <v>34221.067042012997</v>
      </c>
      <c r="K25" s="19"/>
      <c r="L25" s="43">
        <v>3009106.5785135399</v>
      </c>
      <c r="M25" s="27"/>
      <c r="N25" s="43">
        <v>793640.82502318604</v>
      </c>
      <c r="O25" s="19"/>
      <c r="P25" s="43">
        <v>19980645.9979751</v>
      </c>
      <c r="Q25" s="27"/>
      <c r="R25" s="43">
        <v>20575904.932185601</v>
      </c>
      <c r="S25" s="27"/>
      <c r="T25" s="43">
        <v>78673755.856871307</v>
      </c>
      <c r="U25" s="19"/>
      <c r="V25" s="43">
        <v>99731.059065381502</v>
      </c>
      <c r="W25" s="27"/>
      <c r="X25" s="43">
        <v>250495.66711006101</v>
      </c>
      <c r="Y25" s="19"/>
      <c r="Z25" s="19">
        <f t="shared" si="12"/>
        <v>-2361111.4840057418</v>
      </c>
      <c r="AA25" s="19"/>
      <c r="AB25" s="19">
        <f t="shared" si="13"/>
        <v>-47126683.588223785</v>
      </c>
      <c r="AC25" s="13"/>
      <c r="AD25" s="19">
        <v>11544217084.2855</v>
      </c>
      <c r="AE25" s="19">
        <v>200.87293846</v>
      </c>
      <c r="AF25" s="19">
        <f t="shared" si="14"/>
        <v>5747024548.3486614</v>
      </c>
      <c r="AG25" s="19"/>
      <c r="AH25" s="19"/>
      <c r="AI25" s="33">
        <f t="shared" si="17"/>
        <v>-9.4333303747835429E-3</v>
      </c>
      <c r="AJ25" s="35">
        <f t="shared" si="7"/>
        <v>2036</v>
      </c>
      <c r="AK25" s="36">
        <f>SUM(AB96:AB99)/AVERAGE(AF98:AF101)</f>
        <v>-2.0438781834698064E-2</v>
      </c>
      <c r="AL25" s="19">
        <v>9123000</v>
      </c>
      <c r="AM25" s="36">
        <f>AL25/AVERAGE(AF98:AF101)</f>
        <v>9.6947318946213044E-4</v>
      </c>
      <c r="AN25" s="36">
        <f>(AF101-AF97)/AF97</f>
        <v>1.6123388286928768E-2</v>
      </c>
      <c r="AO25" s="36"/>
      <c r="AP25" s="19">
        <f t="shared" si="8"/>
        <v>956167020.18009198</v>
      </c>
      <c r="AQ25" s="19">
        <f t="shared" si="10"/>
        <v>505355652.00447357</v>
      </c>
      <c r="AR25" s="37">
        <f>AP25/AF101</f>
        <v>0.1010393317646173</v>
      </c>
      <c r="AS25" s="37">
        <f>AQ25/AF101</f>
        <v>5.3401546282559817E-2</v>
      </c>
      <c r="AT25" s="26"/>
      <c r="AU25" s="26"/>
      <c r="AV25" s="26">
        <v>11169600</v>
      </c>
      <c r="AW25" s="26"/>
      <c r="AX25" s="26">
        <f t="shared" si="15"/>
        <v>7.9948495664970576E-3</v>
      </c>
      <c r="AY25" s="45">
        <v>6544.6805333524399</v>
      </c>
      <c r="AZ25" s="33">
        <f t="shared" si="16"/>
        <v>-1.5553074450443279E-3</v>
      </c>
      <c r="BA25" s="26">
        <f t="shared" si="20"/>
        <v>98.556334980858821</v>
      </c>
      <c r="BB25" s="26">
        <f t="shared" si="21"/>
        <v>99.196991096000204</v>
      </c>
      <c r="BC25" s="26"/>
      <c r="BD25" s="33">
        <f t="shared" si="11"/>
        <v>1.1129800685556485E-2</v>
      </c>
      <c r="BE25" s="26">
        <f t="shared" si="9"/>
        <v>2036</v>
      </c>
      <c r="BF25" s="33">
        <f>SUM(T96:T99)/AVERAGE(AF98:AF101)</f>
        <v>4.3910966190424665E-2</v>
      </c>
      <c r="BG25" s="33">
        <f>SUM(P96:P99)/AVERAGE(AF98:AF101)</f>
        <v>7.1923597204825024E-3</v>
      </c>
      <c r="BH25" s="33">
        <f>SUM(D96:D99)/AVERAGE(AF98:AF101)</f>
        <v>5.7157388304640219E-2</v>
      </c>
      <c r="BI25" s="33">
        <f>(SUM(H96:H99)+SUM(J96:J99))/AVERAGE(AF98:AF101)</f>
        <v>1.2525441097601044E-2</v>
      </c>
      <c r="BJ25" s="36">
        <f t="shared" si="4"/>
        <v>-3.2964222932299107E-2</v>
      </c>
      <c r="BK25" s="16">
        <f t="shared" si="5"/>
        <v>6.968282940224127E-2</v>
      </c>
    </row>
    <row r="26" spans="1:63" s="34" customFormat="1">
      <c r="A26" s="26">
        <f t="shared" si="18"/>
        <v>2018</v>
      </c>
      <c r="B26" s="26">
        <f t="shared" si="19"/>
        <v>3</v>
      </c>
      <c r="C26" s="19">
        <f>D26*0.081</f>
        <v>8516408.1780764069</v>
      </c>
      <c r="D26" s="43">
        <v>105140841.704647</v>
      </c>
      <c r="E26" s="19"/>
      <c r="F26" s="43">
        <v>19110592.555620801</v>
      </c>
      <c r="G26" s="43">
        <v>223218.71165689899</v>
      </c>
      <c r="H26" s="43">
        <v>1228083.4913687899</v>
      </c>
      <c r="I26" s="43">
        <v>6903.6714945433196</v>
      </c>
      <c r="J26" s="43">
        <v>37981.963650581303</v>
      </c>
      <c r="K26" s="19"/>
      <c r="L26" s="43">
        <v>2862821.0477997102</v>
      </c>
      <c r="M26" s="27"/>
      <c r="N26" s="43">
        <v>789871.78213278996</v>
      </c>
      <c r="O26" s="19"/>
      <c r="P26" s="43">
        <v>19200833.521753401</v>
      </c>
      <c r="Q26" s="27"/>
      <c r="R26" s="43">
        <v>18274026.121393401</v>
      </c>
      <c r="S26" s="27"/>
      <c r="T26" s="43">
        <v>69872322.716057301</v>
      </c>
      <c r="U26" s="19"/>
      <c r="V26" s="43">
        <v>108261.40121335701</v>
      </c>
      <c r="W26" s="27"/>
      <c r="X26" s="43">
        <v>271921.42721989198</v>
      </c>
      <c r="Y26" s="19"/>
      <c r="Z26" s="19">
        <f t="shared" si="12"/>
        <v>-4380997.8629465438</v>
      </c>
      <c r="AA26" s="19"/>
      <c r="AB26" s="19">
        <f t="shared" si="13"/>
        <v>-54469352.510343105</v>
      </c>
      <c r="AC26" s="13"/>
      <c r="AD26" s="18"/>
      <c r="AE26" s="18"/>
      <c r="AF26" s="18">
        <f>BB24/100*AF25</f>
        <v>5664469275.5692825</v>
      </c>
      <c r="AG26" s="28">
        <f t="shared" ref="AG26:AG57" si="22">(AF26-AF25)/AF25</f>
        <v>-1.4364872132502053E-2</v>
      </c>
      <c r="AH26" s="28"/>
      <c r="AI26" s="28">
        <f t="shared" si="17"/>
        <v>-1.1452629961938479E-2</v>
      </c>
      <c r="AJ26" s="29">
        <f t="shared" si="7"/>
        <v>2037</v>
      </c>
      <c r="AK26" s="30">
        <f>SUM(AB100:AB103)/AVERAGE(AF102:AF105)</f>
        <v>-2.0209080030144187E-2</v>
      </c>
      <c r="AL26" s="18">
        <v>8172072</v>
      </c>
      <c r="AM26" s="30">
        <f>AL26/AVERAGE(AF102:AF105)</f>
        <v>8.5800330431094578E-4</v>
      </c>
      <c r="AN26" s="30">
        <f>(AF105-AF101)/AF101</f>
        <v>1.2036852616518641E-2</v>
      </c>
      <c r="AO26" s="30"/>
      <c r="AP26" s="18">
        <f t="shared" si="8"/>
        <v>967676261.67877555</v>
      </c>
      <c r="AQ26" s="18">
        <f t="shared" si="10"/>
        <v>503221484.47555512</v>
      </c>
      <c r="AR26" s="31">
        <f>AP26/AF105</f>
        <v>0.1010393317646173</v>
      </c>
      <c r="AS26" s="31">
        <f>AQ26/AF105</f>
        <v>5.2543567032222092E-2</v>
      </c>
      <c r="AT26" s="26"/>
      <c r="AU26" s="26"/>
      <c r="AV26" s="26">
        <v>11205712</v>
      </c>
      <c r="AW26" s="26"/>
      <c r="AX26" s="26">
        <f t="shared" si="15"/>
        <v>3.23306116602206E-3</v>
      </c>
      <c r="AY26" s="45">
        <v>6644.0456665759002</v>
      </c>
      <c r="AZ26" s="33">
        <f t="shared" si="16"/>
        <v>1.5182579610583632E-2</v>
      </c>
      <c r="BA26" s="26">
        <f t="shared" si="20"/>
        <v>100.05267438283305</v>
      </c>
      <c r="BB26" s="26">
        <f t="shared" si="21"/>
        <v>101.02863645433567</v>
      </c>
      <c r="BC26" s="26"/>
      <c r="BD26" s="28">
        <f t="shared" si="11"/>
        <v>1.2990118731297183E-2</v>
      </c>
      <c r="BE26" s="34">
        <f t="shared" si="9"/>
        <v>2037</v>
      </c>
      <c r="BF26" s="28">
        <f>SUM(T100:T103)/AVERAGE(AF102:AF105)</f>
        <v>4.394803560619838E-2</v>
      </c>
      <c r="BG26" s="28">
        <f>SUM(P100:P103)/AVERAGE(AF102:AF105)</f>
        <v>7.0091118218431267E-3</v>
      </c>
      <c r="BH26" s="28">
        <f>SUM(D100:D103)/AVERAGE(AF102:AF105)</f>
        <v>5.7148003814499436E-2</v>
      </c>
      <c r="BI26" s="28">
        <f>(SUM(H100:H103)+SUM(J100:J103))/AVERAGE(AF102:AF105)</f>
        <v>1.3323457500466637E-2</v>
      </c>
      <c r="BJ26" s="30">
        <f t="shared" si="4"/>
        <v>-3.353253753061082E-2</v>
      </c>
      <c r="BK26" s="16">
        <f t="shared" si="5"/>
        <v>7.0471461314966066E-2</v>
      </c>
    </row>
    <row r="27" spans="1:63" s="26" customFormat="1">
      <c r="A27" s="26">
        <f t="shared" si="18"/>
        <v>2018</v>
      </c>
      <c r="B27" s="26">
        <f t="shared" si="19"/>
        <v>4</v>
      </c>
      <c r="C27" s="19">
        <f>D27*0.081</f>
        <v>8561099.6605442613</v>
      </c>
      <c r="D27" s="43">
        <v>105692588.40178099</v>
      </c>
      <c r="E27" s="19"/>
      <c r="F27" s="43">
        <v>19210879.048974801</v>
      </c>
      <c r="G27" s="43">
        <v>242007.35046031</v>
      </c>
      <c r="H27" s="43">
        <v>1331453.0385204901</v>
      </c>
      <c r="I27" s="43">
        <v>7484.7634162982304</v>
      </c>
      <c r="J27" s="43">
        <v>41178.9599542418</v>
      </c>
      <c r="K27" s="19"/>
      <c r="L27" s="43">
        <v>2879852.0605567899</v>
      </c>
      <c r="M27" s="27"/>
      <c r="N27" s="43">
        <v>796287.09069500898</v>
      </c>
      <c r="O27" s="19"/>
      <c r="P27" s="43">
        <v>19324502.662799198</v>
      </c>
      <c r="Q27" s="27"/>
      <c r="R27" s="43">
        <v>21292666.759712201</v>
      </c>
      <c r="S27" s="27"/>
      <c r="T27" s="43">
        <v>81414356.827385306</v>
      </c>
      <c r="U27" s="19"/>
      <c r="V27" s="43">
        <v>110875.49800555799</v>
      </c>
      <c r="W27" s="27"/>
      <c r="X27" s="43">
        <v>278487.284696883</v>
      </c>
      <c r="Y27" s="19"/>
      <c r="Z27" s="19">
        <f t="shared" si="12"/>
        <v>-1483475.9425088428</v>
      </c>
      <c r="AA27" s="19"/>
      <c r="AB27" s="19">
        <f t="shared" si="13"/>
        <v>-43602734.237194881</v>
      </c>
      <c r="AC27" s="13"/>
      <c r="AD27" s="19"/>
      <c r="AE27" s="19"/>
      <c r="AF27" s="19">
        <f>BB25/100*AF25</f>
        <v>5700875429.5103683</v>
      </c>
      <c r="AG27" s="33">
        <f t="shared" si="22"/>
        <v>6.4271076724000727E-3</v>
      </c>
      <c r="AH27" s="33"/>
      <c r="AI27" s="33">
        <f t="shared" si="17"/>
        <v>-8.2665696121466316E-3</v>
      </c>
      <c r="AJ27" s="35">
        <f t="shared" si="7"/>
        <v>2038</v>
      </c>
      <c r="AK27" s="36">
        <f>SUM(AB104:AB107)/AVERAGE(AF106:AF109)</f>
        <v>-1.9574344549268534E-2</v>
      </c>
      <c r="AL27" s="19">
        <v>7273150</v>
      </c>
      <c r="AM27" s="36">
        <f>AL27/AVERAGE(AF106:AF109)</f>
        <v>7.5192564335816174E-4</v>
      </c>
      <c r="AN27" s="36">
        <f>(AF109-AF105)/AF105</f>
        <v>1.8001312328692225E-2</v>
      </c>
      <c r="AO27" s="36"/>
      <c r="AP27" s="19">
        <f t="shared" si="8"/>
        <v>985095704.29831648</v>
      </c>
      <c r="AQ27" s="19">
        <f t="shared" si="10"/>
        <v>504947167.02996397</v>
      </c>
      <c r="AR27" s="37">
        <f>AP27/AF109</f>
        <v>0.1010393317646173</v>
      </c>
      <c r="AS27" s="37">
        <f>AQ27/AF109</f>
        <v>5.1791439258671169E-2</v>
      </c>
      <c r="AV27" s="26">
        <v>11230313</v>
      </c>
      <c r="AX27" s="26">
        <f t="shared" si="15"/>
        <v>2.1953982040587871E-3</v>
      </c>
      <c r="AY27" s="45">
        <v>6671.3986313801497</v>
      </c>
      <c r="AZ27" s="33">
        <f t="shared" si="16"/>
        <v>4.1169140275259756E-3</v>
      </c>
      <c r="BA27" s="26">
        <f t="shared" si="20"/>
        <v>100.46458264149122</v>
      </c>
      <c r="BB27" s="26">
        <f t="shared" si="21"/>
        <v>101.66727387562246</v>
      </c>
      <c r="BD27" s="33">
        <f t="shared" si="11"/>
        <v>1.0444268144200592E-2</v>
      </c>
      <c r="BE27" s="26">
        <f t="shared" si="9"/>
        <v>2038</v>
      </c>
      <c r="BF27" s="33">
        <f>SUM(T104:T107)/AVERAGE(AF106:AF109)</f>
        <v>4.4189300460301159E-2</v>
      </c>
      <c r="BG27" s="33">
        <f>SUM(P104:P107)/AVERAGE(AF106:AF109)</f>
        <v>6.8950212505990765E-3</v>
      </c>
      <c r="BH27" s="33">
        <f>SUM(D104:D107)/AVERAGE(AF106:AF109)</f>
        <v>5.6868623758970609E-2</v>
      </c>
      <c r="BI27" s="33">
        <f>(SUM(H104:H107)+SUM(J104:J107))/AVERAGE(AF106:AF109)</f>
        <v>1.3962847537374154E-2</v>
      </c>
      <c r="BJ27" s="36">
        <f t="shared" si="4"/>
        <v>-3.3537192086642686E-2</v>
      </c>
      <c r="BK27" s="16">
        <f t="shared" si="5"/>
        <v>7.0831471296344761E-2</v>
      </c>
    </row>
    <row r="28" spans="1:63" s="26" customFormat="1">
      <c r="A28" s="34">
        <f t="shared" si="18"/>
        <v>2019</v>
      </c>
      <c r="B28" s="34">
        <f t="shared" si="19"/>
        <v>1</v>
      </c>
      <c r="C28" s="18"/>
      <c r="D28" s="46">
        <v>106938382.898821</v>
      </c>
      <c r="E28" s="18"/>
      <c r="F28" s="46">
        <v>19437316.945561599</v>
      </c>
      <c r="G28" s="46">
        <v>265652.25861957698</v>
      </c>
      <c r="H28" s="46">
        <v>1461540.34683701</v>
      </c>
      <c r="I28" s="46">
        <v>8216.0492356569794</v>
      </c>
      <c r="J28" s="46">
        <v>45202.278768154603</v>
      </c>
      <c r="K28" s="18"/>
      <c r="L28" s="46">
        <v>3361416.4842467699</v>
      </c>
      <c r="M28" s="38"/>
      <c r="N28" s="46">
        <v>807695.16121747403</v>
      </c>
      <c r="O28" s="18"/>
      <c r="P28" s="46">
        <v>21886106.5846771</v>
      </c>
      <c r="Q28" s="38"/>
      <c r="R28" s="46">
        <v>17063726.759716898</v>
      </c>
      <c r="S28" s="38"/>
      <c r="T28" s="46">
        <v>65244638.207984097</v>
      </c>
      <c r="U28" s="18"/>
      <c r="V28" s="46">
        <v>114304.753378327</v>
      </c>
      <c r="W28" s="38"/>
      <c r="X28" s="46">
        <v>287100.58551151998</v>
      </c>
      <c r="Y28" s="18"/>
      <c r="Z28" s="18">
        <f t="shared" si="12"/>
        <v>-6428397.0779306162</v>
      </c>
      <c r="AA28" s="18"/>
      <c r="AB28" s="18">
        <f t="shared" si="13"/>
        <v>-63579851.275513999</v>
      </c>
      <c r="AC28" s="13"/>
      <c r="AD28" s="19"/>
      <c r="AE28" s="19"/>
      <c r="AF28" s="19">
        <f>BB26/100*AF25</f>
        <v>5806140537.8925953</v>
      </c>
      <c r="AG28" s="33">
        <f t="shared" si="22"/>
        <v>1.8464726985144432E-2</v>
      </c>
      <c r="AH28" s="33"/>
      <c r="AI28" s="33">
        <f t="shared" si="17"/>
        <v>-9.3813355282842282E-3</v>
      </c>
      <c r="AJ28" s="35">
        <f t="shared" si="7"/>
        <v>2039</v>
      </c>
      <c r="AK28" s="36">
        <f>SUM(AB108:AB111)/AVERAGE(AF110:AF113)</f>
        <v>-1.919460547244585E-2</v>
      </c>
      <c r="AL28" s="19">
        <v>6456775</v>
      </c>
      <c r="AM28" s="36">
        <f>AL28/AVERAGE(AF110:AF113)</f>
        <v>6.575831454292549E-4</v>
      </c>
      <c r="AN28" s="36">
        <f>(AF113-AF109)/AF109</f>
        <v>1.4142815249681062E-2</v>
      </c>
      <c r="AO28" s="36"/>
      <c r="AP28" s="19">
        <f t="shared" si="8"/>
        <v>999027730.84746194</v>
      </c>
      <c r="AQ28" s="19">
        <f t="shared" si="10"/>
        <v>505590019.03696191</v>
      </c>
      <c r="AR28" s="37">
        <f>AP28/AF113</f>
        <v>0.10103933176461728</v>
      </c>
      <c r="AS28" s="37">
        <f>AQ28/AF113</f>
        <v>5.1134193869694172E-2</v>
      </c>
      <c r="AT28" s="34"/>
      <c r="AU28" s="34"/>
      <c r="AV28" s="34">
        <v>11247865</v>
      </c>
      <c r="AW28" s="34"/>
      <c r="AX28" s="34">
        <f t="shared" si="15"/>
        <v>1.5629128057250052E-3</v>
      </c>
      <c r="AY28" s="48">
        <v>6695.8950209466902</v>
      </c>
      <c r="AZ28" s="28">
        <f t="shared" si="16"/>
        <v>3.6718521737431876E-3</v>
      </c>
      <c r="BA28" s="34">
        <f t="shared" si="20"/>
        <v>100.83347373764757</v>
      </c>
      <c r="BB28" s="34">
        <f t="shared" si="21"/>
        <v>102.20006160706882</v>
      </c>
      <c r="BC28" s="34"/>
      <c r="BD28" s="33">
        <f t="shared" si="11"/>
        <v>1.2319778877389765E-2</v>
      </c>
      <c r="BE28" s="26">
        <f t="shared" si="9"/>
        <v>2039</v>
      </c>
      <c r="BF28" s="33">
        <f>SUM(T108:T111)/AVERAGE(AF110:AF113)</f>
        <v>4.4366889779696501E-2</v>
      </c>
      <c r="BG28" s="33">
        <f>SUM(P108:P111)/AVERAGE(AF110:AF113)</f>
        <v>6.7438503677351202E-3</v>
      </c>
      <c r="BH28" s="33">
        <f>SUM(D108:D111)/AVERAGE(AF110:AF113)</f>
        <v>5.6817644884407235E-2</v>
      </c>
      <c r="BI28" s="33">
        <f>(SUM(H108:H111)+SUM(J108:J111))/AVERAGE(AF110:AF113)</f>
        <v>1.454397758392348E-2</v>
      </c>
      <c r="BJ28" s="36">
        <f t="shared" si="4"/>
        <v>-3.3738583056369328E-2</v>
      </c>
      <c r="BK28" s="16">
        <f t="shared" si="5"/>
        <v>7.1361622468330721E-2</v>
      </c>
    </row>
    <row r="29" spans="1:63" s="26" customFormat="1">
      <c r="A29" s="26">
        <f t="shared" si="18"/>
        <v>2019</v>
      </c>
      <c r="B29" s="26">
        <f t="shared" si="19"/>
        <v>2</v>
      </c>
      <c r="C29" s="19"/>
      <c r="D29" s="43">
        <v>107103016.992496</v>
      </c>
      <c r="E29" s="19"/>
      <c r="F29" s="43">
        <v>19467241.1408979</v>
      </c>
      <c r="G29" s="43">
        <v>292899.35461200197</v>
      </c>
      <c r="H29" s="43">
        <v>1611445.8297943301</v>
      </c>
      <c r="I29" s="43">
        <v>9058.7429261444504</v>
      </c>
      <c r="J29" s="43">
        <v>49838.5308183815</v>
      </c>
      <c r="K29" s="19"/>
      <c r="L29" s="43">
        <v>2776169.63923949</v>
      </c>
      <c r="M29" s="27"/>
      <c r="N29" s="43">
        <v>809767.58219510305</v>
      </c>
      <c r="O29" s="19"/>
      <c r="P29" s="43">
        <v>18860659.772543699</v>
      </c>
      <c r="Q29" s="27"/>
      <c r="R29" s="43">
        <v>20145159.1172571</v>
      </c>
      <c r="S29" s="27"/>
      <c r="T29" s="43">
        <v>77026761.900020003</v>
      </c>
      <c r="U29" s="19"/>
      <c r="V29" s="43">
        <v>113340.837482424</v>
      </c>
      <c r="W29" s="27"/>
      <c r="X29" s="43">
        <v>284679.50668567599</v>
      </c>
      <c r="Y29" s="19"/>
      <c r="Z29" s="19">
        <f t="shared" si="12"/>
        <v>-2794678.4075929709</v>
      </c>
      <c r="AA29" s="19"/>
      <c r="AB29" s="19">
        <f t="shared" si="13"/>
        <v>-48936914.865019694</v>
      </c>
      <c r="AC29" s="13"/>
      <c r="AD29" s="19"/>
      <c r="AE29" s="19"/>
      <c r="AF29" s="19">
        <f>BB27/100*AF25</f>
        <v>5842843187.2688885</v>
      </c>
      <c r="AG29" s="33">
        <f t="shared" si="22"/>
        <v>6.3213504972469761E-3</v>
      </c>
      <c r="AH29" s="33"/>
      <c r="AI29" s="33">
        <f t="shared" si="17"/>
        <v>-7.4625884761381116E-3</v>
      </c>
      <c r="AJ29" s="35">
        <f t="shared" si="7"/>
        <v>2040</v>
      </c>
      <c r="AK29" s="36">
        <f>SUM(AB112:AB115)/AVERAGE(AF114:AF117)</f>
        <v>-1.924083384154671E-2</v>
      </c>
      <c r="AL29" s="19">
        <v>5692366</v>
      </c>
      <c r="AM29" s="36">
        <f>AL29/AVERAGE(AF114:AF117)</f>
        <v>5.7170851128883547E-4</v>
      </c>
      <c r="AN29" s="36">
        <f>(AF117-AF113)/AF113</f>
        <v>9.5543482863179336E-3</v>
      </c>
      <c r="AO29" s="36"/>
      <c r="AP29" s="19">
        <f t="shared" si="8"/>
        <v>1008572789.7356684</v>
      </c>
      <c r="AQ29" s="19">
        <f t="shared" si="10"/>
        <v>504703351.66156596</v>
      </c>
      <c r="AR29" s="37">
        <f>AP29/AF117</f>
        <v>0.10103933176461728</v>
      </c>
      <c r="AS29" s="37">
        <f>AQ29/AF117</f>
        <v>5.056143682461655E-2</v>
      </c>
      <c r="AV29" s="26">
        <v>11371245</v>
      </c>
      <c r="AX29" s="26">
        <f t="shared" si="15"/>
        <v>1.0969192820148535E-2</v>
      </c>
      <c r="AY29" s="45">
        <v>6720.7718234030699</v>
      </c>
      <c r="AZ29" s="33">
        <f t="shared" si="16"/>
        <v>3.71523185153857E-3</v>
      </c>
      <c r="BA29" s="26">
        <f t="shared" si="20"/>
        <v>101.20809347097895</v>
      </c>
      <c r="BB29" s="26">
        <f t="shared" si="21"/>
        <v>103.70497568195339</v>
      </c>
      <c r="BD29" s="33">
        <f t="shared" si="11"/>
        <v>1.0497852705296273E-2</v>
      </c>
      <c r="BE29" s="26">
        <f t="shared" si="9"/>
        <v>2040</v>
      </c>
      <c r="BF29" s="33">
        <f>SUM(T112:T115)/AVERAGE(AF114:AF117)</f>
        <v>4.4445567445716337E-2</v>
      </c>
      <c r="BG29" s="33">
        <f>SUM(P112:P115)/AVERAGE(AF114:AF117)</f>
        <v>6.6157863947504218E-3</v>
      </c>
      <c r="BH29" s="33">
        <f>SUM(D112:D115)/AVERAGE(AF114:AF117)</f>
        <v>5.7070614892512625E-2</v>
      </c>
      <c r="BI29" s="33">
        <f>(SUM(H112:H115)+SUM(J112:J115))/AVERAGE(AF114:AF117)</f>
        <v>1.5299350923542267E-2</v>
      </c>
      <c r="BJ29" s="36">
        <f t="shared" si="4"/>
        <v>-3.454018476508898E-2</v>
      </c>
      <c r="BK29" s="16">
        <f t="shared" si="5"/>
        <v>7.2369965816054899E-2</v>
      </c>
    </row>
    <row r="30" spans="1:63" s="34" customFormat="1">
      <c r="A30" s="26">
        <f t="shared" si="18"/>
        <v>2019</v>
      </c>
      <c r="B30" s="26">
        <f t="shared" si="19"/>
        <v>3</v>
      </c>
      <c r="C30" s="19">
        <f>SUM(C24:C27)</f>
        <v>34312728.097767249</v>
      </c>
      <c r="D30" s="43">
        <v>107710740.941515</v>
      </c>
      <c r="E30" s="19"/>
      <c r="F30" s="43">
        <v>19577702.162397198</v>
      </c>
      <c r="G30" s="43">
        <v>316554.24927961902</v>
      </c>
      <c r="H30" s="43">
        <v>1741588.0809332901</v>
      </c>
      <c r="I30" s="43">
        <v>9790.3376065860502</v>
      </c>
      <c r="J30" s="43">
        <v>53863.548894843399</v>
      </c>
      <c r="K30" s="19"/>
      <c r="L30" s="43">
        <v>2716795.4534514099</v>
      </c>
      <c r="M30" s="27"/>
      <c r="N30" s="43">
        <v>815868.02860522701</v>
      </c>
      <c r="O30" s="19"/>
      <c r="P30" s="43">
        <v>18586129.696462199</v>
      </c>
      <c r="Q30" s="27"/>
      <c r="R30" s="43">
        <v>17534077.943711799</v>
      </c>
      <c r="S30" s="27"/>
      <c r="T30" s="43">
        <v>67043066.7261253</v>
      </c>
      <c r="U30" s="19"/>
      <c r="V30" s="43">
        <v>112809.14549230599</v>
      </c>
      <c r="W30" s="27"/>
      <c r="X30" s="43">
        <v>283344.04969755397</v>
      </c>
      <c r="Y30" s="19"/>
      <c r="Z30" s="19">
        <f t="shared" si="12"/>
        <v>-5463478.5552497283</v>
      </c>
      <c r="AA30" s="19"/>
      <c r="AB30" s="19">
        <f t="shared" si="13"/>
        <v>-59253803.911851898</v>
      </c>
      <c r="AC30" s="13"/>
      <c r="AD30" s="18"/>
      <c r="AE30" s="18"/>
      <c r="AF30" s="18">
        <f>BB28/100*AF25</f>
        <v>5873462628.9857006</v>
      </c>
      <c r="AG30" s="28">
        <f t="shared" si="22"/>
        <v>5.240503764251208E-3</v>
      </c>
      <c r="AH30" s="28"/>
      <c r="AI30" s="28">
        <f t="shared" si="17"/>
        <v>-1.082493501563212E-2</v>
      </c>
      <c r="AL30" s="18"/>
      <c r="AQ30" s="41">
        <f>(AQ29-AQ6)/AQ6</f>
        <v>-0.13083411599378952</v>
      </c>
      <c r="AT30" s="26"/>
      <c r="AU30" s="26"/>
      <c r="AV30" s="26">
        <v>11423833</v>
      </c>
      <c r="AW30" s="26"/>
      <c r="AX30" s="26">
        <f t="shared" si="15"/>
        <v>4.6246475210058357E-3</v>
      </c>
      <c r="AY30" s="45">
        <v>6761.4394100798399</v>
      </c>
      <c r="AZ30" s="33">
        <f t="shared" si="16"/>
        <v>6.0510292188699789E-3</v>
      </c>
      <c r="BA30" s="26">
        <f t="shared" si="20"/>
        <v>101.82050660175797</v>
      </c>
      <c r="BB30" s="26">
        <f t="shared" si="21"/>
        <v>104.81499854596306</v>
      </c>
      <c r="BC30" s="26"/>
      <c r="BD30" s="28">
        <f t="shared" si="11"/>
        <v>1.2380474706245611E-2</v>
      </c>
    </row>
    <row r="31" spans="1:63" s="26" customFormat="1">
      <c r="A31" s="26">
        <f t="shared" si="18"/>
        <v>2019</v>
      </c>
      <c r="B31" s="26">
        <f t="shared" si="19"/>
        <v>4</v>
      </c>
      <c r="C31" s="19"/>
      <c r="D31" s="43">
        <v>108025799.492798</v>
      </c>
      <c r="E31" s="19"/>
      <c r="F31" s="43">
        <v>19634967.783511899</v>
      </c>
      <c r="G31" s="43">
        <v>348819.15050460299</v>
      </c>
      <c r="H31" s="43">
        <v>1919100.04778825</v>
      </c>
      <c r="I31" s="43">
        <v>10788.221149626899</v>
      </c>
      <c r="J31" s="43">
        <v>59353.609725409799</v>
      </c>
      <c r="K31" s="19"/>
      <c r="L31" s="43">
        <v>2820471.30019922</v>
      </c>
      <c r="M31" s="27"/>
      <c r="N31" s="43">
        <v>819081.287228934</v>
      </c>
      <c r="O31" s="19"/>
      <c r="P31" s="43">
        <v>19141782.558973901</v>
      </c>
      <c r="Q31" s="27"/>
      <c r="R31" s="43">
        <v>20529237.768701099</v>
      </c>
      <c r="S31" s="27"/>
      <c r="T31" s="43">
        <v>78495319.912565693</v>
      </c>
      <c r="U31" s="19"/>
      <c r="V31" s="43">
        <v>109176.748419321</v>
      </c>
      <c r="W31" s="27"/>
      <c r="X31" s="43">
        <v>274220.51549935102</v>
      </c>
      <c r="Y31" s="19"/>
      <c r="Z31" s="19">
        <f t="shared" si="12"/>
        <v>-2636105.853819631</v>
      </c>
      <c r="AA31" s="19"/>
      <c r="AB31" s="19">
        <f t="shared" si="13"/>
        <v>-48672262.139206208</v>
      </c>
      <c r="AC31" s="13"/>
      <c r="AD31" s="19"/>
      <c r="AE31" s="19"/>
      <c r="AF31" s="19">
        <f>BB29/100*AF25</f>
        <v>5959950410.3008709</v>
      </c>
      <c r="AG31" s="33">
        <f t="shared" si="22"/>
        <v>1.4725177766238044E-2</v>
      </c>
      <c r="AH31" s="33"/>
      <c r="AI31" s="33">
        <f t="shared" si="17"/>
        <v>-8.2109600745066021E-3</v>
      </c>
      <c r="AL31" s="19"/>
      <c r="AV31" s="26">
        <v>11434245</v>
      </c>
      <c r="AX31" s="26">
        <f t="shared" si="15"/>
        <v>9.1142788939579207E-4</v>
      </c>
      <c r="AY31" s="45">
        <v>6776.5347719674601</v>
      </c>
      <c r="AZ31" s="33">
        <f t="shared" si="16"/>
        <v>2.2325663179228105E-3</v>
      </c>
      <c r="BA31" s="26">
        <f t="shared" si="20"/>
        <v>102.04782763527089</v>
      </c>
      <c r="BB31" s="26">
        <f t="shared" si="21"/>
        <v>105.14474957422317</v>
      </c>
      <c r="BD31" s="33">
        <f t="shared" si="11"/>
        <v>9.8715027935853111E-3</v>
      </c>
    </row>
    <row r="32" spans="1:63" s="26" customFormat="1">
      <c r="A32" s="34">
        <f t="shared" si="18"/>
        <v>2020</v>
      </c>
      <c r="B32" s="34">
        <f t="shared" si="19"/>
        <v>1</v>
      </c>
      <c r="C32" s="18"/>
      <c r="D32" s="46">
        <v>108340965.693139</v>
      </c>
      <c r="E32" s="18"/>
      <c r="F32" s="46">
        <v>19692252.971117102</v>
      </c>
      <c r="G32" s="46">
        <v>371116.76899423701</v>
      </c>
      <c r="H32" s="46">
        <v>2041774.9658571701</v>
      </c>
      <c r="I32" s="46">
        <v>11477.838216316701</v>
      </c>
      <c r="J32" s="46">
        <v>63147.679356407898</v>
      </c>
      <c r="K32" s="18"/>
      <c r="L32" s="46">
        <v>3355057.23454569</v>
      </c>
      <c r="M32" s="38"/>
      <c r="N32" s="46">
        <v>823557.18758577097</v>
      </c>
      <c r="O32" s="18"/>
      <c r="P32" s="46">
        <v>21940376.596771602</v>
      </c>
      <c r="Q32" s="38"/>
      <c r="R32" s="46">
        <v>16608523.7603637</v>
      </c>
      <c r="S32" s="38"/>
      <c r="T32" s="46">
        <v>63504130.086739302</v>
      </c>
      <c r="U32" s="18"/>
      <c r="V32" s="46">
        <v>112176.820885908</v>
      </c>
      <c r="W32" s="38"/>
      <c r="X32" s="46">
        <v>281755.83259052498</v>
      </c>
      <c r="Y32" s="18"/>
      <c r="Z32" s="18">
        <f t="shared" si="12"/>
        <v>-7150166.8119989559</v>
      </c>
      <c r="AA32" s="18"/>
      <c r="AB32" s="18">
        <f t="shared" si="13"/>
        <v>-66777212.203171298</v>
      </c>
      <c r="AC32" s="13"/>
      <c r="AD32" s="19"/>
      <c r="AE32" s="19"/>
      <c r="AF32" s="19">
        <f>BB30/100*AF25</f>
        <v>6023743696.7877893</v>
      </c>
      <c r="AG32" s="33">
        <f t="shared" si="22"/>
        <v>1.0703660617152356E-2</v>
      </c>
      <c r="AH32" s="33"/>
      <c r="AI32" s="33">
        <f t="shared" si="17"/>
        <v>-9.8367073525139313E-3</v>
      </c>
      <c r="AL32" s="19"/>
      <c r="AT32" s="34"/>
      <c r="AU32" s="34"/>
      <c r="AV32" s="34">
        <v>11433742</v>
      </c>
      <c r="AW32" s="34"/>
      <c r="AX32" s="34">
        <f t="shared" si="15"/>
        <v>-4.3990661386038172E-5</v>
      </c>
      <c r="AY32" s="48">
        <v>6818.99059069551</v>
      </c>
      <c r="AZ32" s="28">
        <f t="shared" si="16"/>
        <v>6.2651222426655662E-3</v>
      </c>
      <c r="BA32" s="34">
        <f t="shared" si="20"/>
        <v>102.68716975000433</v>
      </c>
      <c r="BB32" s="34">
        <f t="shared" si="21"/>
        <v>105.79883991778965</v>
      </c>
      <c r="BC32" s="34"/>
      <c r="BD32" s="33">
        <f t="shared" si="11"/>
        <v>1.1671619572978912E-2</v>
      </c>
    </row>
    <row r="33" spans="1:56" s="26" customFormat="1">
      <c r="A33" s="26">
        <f t="shared" si="18"/>
        <v>2020</v>
      </c>
      <c r="B33" s="26">
        <f t="shared" si="19"/>
        <v>2</v>
      </c>
      <c r="C33" s="19"/>
      <c r="D33" s="43">
        <v>108488917.628304</v>
      </c>
      <c r="E33" s="19"/>
      <c r="F33" s="43">
        <v>19719144.986673702</v>
      </c>
      <c r="G33" s="43">
        <v>395003.95164594002</v>
      </c>
      <c r="H33" s="43">
        <v>2173195.1969485399</v>
      </c>
      <c r="I33" s="43">
        <v>12216.6170612147</v>
      </c>
      <c r="J33" s="43">
        <v>67212.222586037606</v>
      </c>
      <c r="K33" s="19"/>
      <c r="L33" s="43">
        <v>2746769.6088697198</v>
      </c>
      <c r="M33" s="27"/>
      <c r="N33" s="43">
        <v>826904.90702877904</v>
      </c>
      <c r="O33" s="19"/>
      <c r="P33" s="43">
        <v>18802387.380099699</v>
      </c>
      <c r="Q33" s="27"/>
      <c r="R33" s="43">
        <v>19757377.810346399</v>
      </c>
      <c r="S33" s="27"/>
      <c r="T33" s="43">
        <v>75544046.463381901</v>
      </c>
      <c r="U33" s="19"/>
      <c r="V33" s="43">
        <v>108363.023779988</v>
      </c>
      <c r="W33" s="27"/>
      <c r="X33" s="43">
        <v>272176.67380867002</v>
      </c>
      <c r="Y33" s="19"/>
      <c r="Z33" s="19">
        <f t="shared" si="12"/>
        <v>-3427078.6684458144</v>
      </c>
      <c r="AA33" s="19"/>
      <c r="AB33" s="19">
        <f t="shared" si="13"/>
        <v>-51747258.545021802</v>
      </c>
      <c r="AC33" s="13"/>
      <c r="AD33" s="19"/>
      <c r="AE33" s="19"/>
      <c r="AF33" s="19">
        <f>BB31/100*AF25</f>
        <v>6042694569.3303308</v>
      </c>
      <c r="AG33" s="33">
        <f t="shared" si="22"/>
        <v>3.1460290305258525E-3</v>
      </c>
      <c r="AH33" s="33">
        <f>(AF33-AF29)/AF29</f>
        <v>3.4204474714793535E-2</v>
      </c>
      <c r="AI33" s="33">
        <f t="shared" si="17"/>
        <v>-8.0547281648558015E-3</v>
      </c>
      <c r="AL33" s="19"/>
      <c r="AV33" s="26">
        <v>11472898</v>
      </c>
      <c r="AX33" s="26">
        <f t="shared" si="15"/>
        <v>3.4246006250622063E-3</v>
      </c>
      <c r="AY33" s="45">
        <v>6853.4416546242201</v>
      </c>
      <c r="AZ33" s="33">
        <f t="shared" si="16"/>
        <v>5.052223414960917E-3</v>
      </c>
      <c r="BA33" s="26">
        <f t="shared" si="20"/>
        <v>103.20596827343135</v>
      </c>
      <c r="BB33" s="26">
        <f t="shared" si="21"/>
        <v>106.69750858280153</v>
      </c>
      <c r="BD33" s="33">
        <f t="shared" si="11"/>
        <v>9.9195866762480413E-3</v>
      </c>
    </row>
    <row r="34" spans="1:56" s="34" customFormat="1">
      <c r="A34" s="26">
        <f t="shared" si="18"/>
        <v>2020</v>
      </c>
      <c r="B34" s="26">
        <f t="shared" si="19"/>
        <v>3</v>
      </c>
      <c r="C34" s="19"/>
      <c r="D34" s="43">
        <v>110088660.95174301</v>
      </c>
      <c r="E34" s="19"/>
      <c r="F34" s="43">
        <v>20009917.272230402</v>
      </c>
      <c r="G34" s="43">
        <v>425339.01902680303</v>
      </c>
      <c r="H34" s="43">
        <v>2340089.7873861901</v>
      </c>
      <c r="I34" s="43">
        <v>13154.815021447601</v>
      </c>
      <c r="J34" s="43">
        <v>72373.910950088699</v>
      </c>
      <c r="K34" s="19"/>
      <c r="L34" s="43">
        <v>2664758.8535621502</v>
      </c>
      <c r="M34" s="27"/>
      <c r="N34" s="43">
        <v>839710.77473839396</v>
      </c>
      <c r="O34" s="19"/>
      <c r="P34" s="43">
        <v>18447287.286742501</v>
      </c>
      <c r="Q34" s="27"/>
      <c r="R34" s="43">
        <v>17023203.920623999</v>
      </c>
      <c r="S34" s="27"/>
      <c r="T34" s="43">
        <v>65089695.620529301</v>
      </c>
      <c r="U34" s="19"/>
      <c r="V34" s="43">
        <v>110909.87716093499</v>
      </c>
      <c r="W34" s="27"/>
      <c r="X34" s="43">
        <v>278573.63522340398</v>
      </c>
      <c r="Y34" s="19"/>
      <c r="Z34" s="19">
        <f t="shared" si="12"/>
        <v>-6380273.1027460098</v>
      </c>
      <c r="AA34" s="19"/>
      <c r="AB34" s="19">
        <f t="shared" si="13"/>
        <v>-63446252.617956206</v>
      </c>
      <c r="AC34" s="13"/>
      <c r="AD34" s="18"/>
      <c r="AE34" s="18"/>
      <c r="AF34" s="18">
        <f>BB32/100*AF25</f>
        <v>6080285301.9434738</v>
      </c>
      <c r="AG34" s="28">
        <f t="shared" si="22"/>
        <v>6.220855974408265E-3</v>
      </c>
      <c r="AH34" s="28"/>
      <c r="AI34" s="28">
        <f t="shared" si="17"/>
        <v>-1.098257875857025E-2</v>
      </c>
      <c r="AL34" s="18"/>
      <c r="AT34"/>
      <c r="AU34"/>
      <c r="AV34" s="26">
        <v>11560113</v>
      </c>
      <c r="AW34"/>
      <c r="AX34" s="26">
        <f t="shared" si="15"/>
        <v>7.6018282390377737E-3</v>
      </c>
      <c r="AY34" s="45">
        <v>6877.5571497425399</v>
      </c>
      <c r="AZ34" s="33">
        <f t="shared" si="16"/>
        <v>3.518742309865347E-3</v>
      </c>
      <c r="BA34" s="26">
        <f t="shared" si="20"/>
        <v>103.56912348062569</v>
      </c>
      <c r="BB34" s="26">
        <f t="shared" si="21"/>
        <v>107.88689979267205</v>
      </c>
      <c r="BC34"/>
      <c r="BD34" s="28">
        <f t="shared" si="11"/>
        <v>1.171994409944953E-2</v>
      </c>
    </row>
    <row r="35" spans="1:56" s="26" customFormat="1">
      <c r="A35" s="26">
        <f t="shared" si="18"/>
        <v>2020</v>
      </c>
      <c r="B35" s="26">
        <f t="shared" si="19"/>
        <v>4</v>
      </c>
      <c r="C35" s="19"/>
      <c r="D35" s="43">
        <v>110238917.69188701</v>
      </c>
      <c r="E35" s="19"/>
      <c r="F35" s="43">
        <v>20037228.213374302</v>
      </c>
      <c r="G35" s="43">
        <v>459297.02592381701</v>
      </c>
      <c r="H35" s="43">
        <v>2526916.72210172</v>
      </c>
      <c r="I35" s="43">
        <v>14205.0626574376</v>
      </c>
      <c r="J35" s="43">
        <v>78152.063570156097</v>
      </c>
      <c r="K35" s="19"/>
      <c r="L35" s="43">
        <v>2695402.8428495601</v>
      </c>
      <c r="M35" s="27"/>
      <c r="N35" s="43">
        <v>842720.00891264505</v>
      </c>
      <c r="O35" s="19"/>
      <c r="P35" s="43">
        <v>18622855.011389401</v>
      </c>
      <c r="Q35" s="27"/>
      <c r="R35" s="43">
        <v>20200144.0741685</v>
      </c>
      <c r="S35" s="27"/>
      <c r="T35" s="43">
        <v>77237001.648410395</v>
      </c>
      <c r="U35" s="19"/>
      <c r="V35" s="43">
        <v>110895.063690996</v>
      </c>
      <c r="W35" s="27"/>
      <c r="X35" s="43">
        <v>278536.42805775901</v>
      </c>
      <c r="Y35" s="19"/>
      <c r="Z35" s="19">
        <f t="shared" si="12"/>
        <v>-3264311.9272770099</v>
      </c>
      <c r="AA35" s="19"/>
      <c r="AB35" s="19">
        <f t="shared" si="13"/>
        <v>-51624771.054866016</v>
      </c>
      <c r="AC35" s="13"/>
      <c r="AD35" s="19"/>
      <c r="AE35" s="19"/>
      <c r="AF35" s="19">
        <f>BB33/100*AF25</f>
        <v>6131932010.7300243</v>
      </c>
      <c r="AG35" s="33">
        <f t="shared" si="22"/>
        <v>8.4941258874879459E-3</v>
      </c>
      <c r="AH35" s="33"/>
      <c r="AI35" s="33">
        <f t="shared" si="17"/>
        <v>-8.4389811326138851E-3</v>
      </c>
      <c r="AL35" s="50"/>
      <c r="AT35"/>
      <c r="AU35"/>
      <c r="AV35" s="26">
        <v>11587597</v>
      </c>
      <c r="AW35"/>
      <c r="AX35" s="26">
        <f t="shared" si="15"/>
        <v>2.3774854103934795E-3</v>
      </c>
      <c r="AY35" s="45">
        <v>6903.6576650199104</v>
      </c>
      <c r="AZ35" s="33">
        <f t="shared" si="16"/>
        <v>3.7950270290880205E-3</v>
      </c>
      <c r="BA35" s="26">
        <f t="shared" si="20"/>
        <v>103.96217110361363</v>
      </c>
      <c r="BB35" s="26">
        <f t="shared" si="21"/>
        <v>108.5538064463496</v>
      </c>
      <c r="BC35"/>
      <c r="BD35" s="33">
        <f t="shared" si="11"/>
        <v>9.3823309485208759E-3</v>
      </c>
    </row>
    <row r="36" spans="1:56">
      <c r="A36" s="34">
        <f t="shared" si="18"/>
        <v>2021</v>
      </c>
      <c r="B36" s="34">
        <f t="shared" si="19"/>
        <v>1</v>
      </c>
      <c r="C36" s="18"/>
      <c r="D36" s="46">
        <v>110220515.29905</v>
      </c>
      <c r="E36" s="18"/>
      <c r="F36" s="46">
        <v>20033883.360642999</v>
      </c>
      <c r="G36" s="46">
        <v>493399.67183368298</v>
      </c>
      <c r="H36" s="46">
        <v>2714539.41799057</v>
      </c>
      <c r="I36" s="46">
        <v>15259.783664959101</v>
      </c>
      <c r="J36" s="46">
        <v>83954.827360532305</v>
      </c>
      <c r="K36" s="18"/>
      <c r="L36" s="46">
        <v>3228247.0419379701</v>
      </c>
      <c r="M36" s="38"/>
      <c r="N36" s="46">
        <v>843830.65470913798</v>
      </c>
      <c r="O36" s="18"/>
      <c r="P36" s="46">
        <v>21393896.538972698</v>
      </c>
      <c r="Q36" s="38"/>
      <c r="R36" s="46">
        <v>16220829.0416809</v>
      </c>
      <c r="S36" s="38"/>
      <c r="T36" s="46">
        <v>62021745.727695502</v>
      </c>
      <c r="U36" s="18"/>
      <c r="V36" s="46">
        <v>111624.375801089</v>
      </c>
      <c r="W36" s="38"/>
      <c r="X36" s="46">
        <v>280368.249811797</v>
      </c>
      <c r="Y36" s="18"/>
      <c r="Z36" s="18">
        <f t="shared" si="12"/>
        <v>-7773507.6398081183</v>
      </c>
      <c r="AA36" s="18"/>
      <c r="AB36" s="18">
        <f t="shared" si="13"/>
        <v>-69592666.110327199</v>
      </c>
      <c r="AC36" s="13"/>
      <c r="AD36" s="19"/>
      <c r="AE36" s="19"/>
      <c r="AF36" s="19">
        <f>BB34/100*AF25</f>
        <v>6200286615.5371838</v>
      </c>
      <c r="AG36" s="33">
        <f t="shared" si="22"/>
        <v>1.1147319423559886E-2</v>
      </c>
      <c r="AH36" s="33"/>
      <c r="AI36" s="33">
        <f t="shared" si="17"/>
        <v>-1.0232793506507814E-2</v>
      </c>
      <c r="AJ36" s="26"/>
      <c r="AK36" s="26"/>
      <c r="AT36" s="34"/>
      <c r="AU36" s="34"/>
      <c r="AV36" s="34">
        <v>11630769</v>
      </c>
      <c r="AW36" s="34"/>
      <c r="AX36" s="34">
        <f t="shared" si="15"/>
        <v>3.7257077545931223E-3</v>
      </c>
      <c r="AY36" s="48">
        <v>6926.8662926822599</v>
      </c>
      <c r="AZ36" s="28">
        <f t="shared" si="16"/>
        <v>3.3617871552271655E-3</v>
      </c>
      <c r="BA36" s="34">
        <f t="shared" si="20"/>
        <v>104.31166979505929</v>
      </c>
      <c r="BB36" s="34">
        <f t="shared" si="21"/>
        <v>109.32454063736479</v>
      </c>
      <c r="BC36" s="34"/>
      <c r="BD36" s="33">
        <f t="shared" si="11"/>
        <v>1.1080200570942224E-2</v>
      </c>
    </row>
    <row r="37" spans="1:56">
      <c r="A37" s="26">
        <f t="shared" si="18"/>
        <v>2021</v>
      </c>
      <c r="B37" s="26">
        <f t="shared" si="19"/>
        <v>2</v>
      </c>
      <c r="C37" s="19"/>
      <c r="D37" s="43">
        <v>110726291.17310999</v>
      </c>
      <c r="E37" s="19"/>
      <c r="F37" s="43">
        <v>20125814.1127363</v>
      </c>
      <c r="G37" s="43">
        <v>528314.35294863896</v>
      </c>
      <c r="H37" s="43">
        <v>2906629.6919886898</v>
      </c>
      <c r="I37" s="43">
        <v>16339.619163359999</v>
      </c>
      <c r="J37" s="43">
        <v>89895.763669753607</v>
      </c>
      <c r="K37" s="19"/>
      <c r="L37" s="43">
        <v>2690741.40986337</v>
      </c>
      <c r="M37" s="27"/>
      <c r="N37" s="43">
        <v>850468.97829883196</v>
      </c>
      <c r="O37" s="19"/>
      <c r="P37" s="43">
        <v>18641299.356711701</v>
      </c>
      <c r="Q37" s="27"/>
      <c r="R37" s="43">
        <v>19316526.725474998</v>
      </c>
      <c r="S37" s="27"/>
      <c r="T37" s="43">
        <v>73858414.131062895</v>
      </c>
      <c r="U37" s="19"/>
      <c r="V37" s="43">
        <v>111010.67652949299</v>
      </c>
      <c r="W37" s="27"/>
      <c r="X37" s="43">
        <v>278826.81417595799</v>
      </c>
      <c r="Y37" s="19"/>
      <c r="Z37" s="19">
        <f t="shared" si="12"/>
        <v>-4239487.0988940094</v>
      </c>
      <c r="AA37" s="19"/>
      <c r="AB37" s="19">
        <f t="shared" si="13"/>
        <v>-55509176.398758799</v>
      </c>
      <c r="AC37" s="13"/>
      <c r="AD37" s="19"/>
      <c r="AE37" s="19"/>
      <c r="AF37" s="19">
        <f>BB35/100*AF25</f>
        <v>6238613904.6386032</v>
      </c>
      <c r="AG37" s="33">
        <f t="shared" si="22"/>
        <v>6.1815350608753795E-3</v>
      </c>
      <c r="AH37" s="33">
        <f>(AF37-AF33)/AF33</f>
        <v>3.2422511689182518E-2</v>
      </c>
      <c r="AI37" s="33">
        <f t="shared" si="17"/>
        <v>-8.2750386294111571E-3</v>
      </c>
      <c r="AJ37" s="26"/>
      <c r="AK37" s="26"/>
      <c r="AT37" s="26"/>
      <c r="AU37" s="26"/>
      <c r="AV37" s="26">
        <v>11607877</v>
      </c>
      <c r="AW37" s="26"/>
      <c r="AX37" s="26">
        <f t="shared" si="15"/>
        <v>-1.9682275522796473E-3</v>
      </c>
      <c r="AY37" s="45">
        <v>6990.3766813965804</v>
      </c>
      <c r="AZ37" s="33">
        <f t="shared" si="16"/>
        <v>9.1687042929375819E-3</v>
      </c>
      <c r="BA37" s="26">
        <f t="shared" si="20"/>
        <v>105.26807264971274</v>
      </c>
      <c r="BB37" s="26">
        <f t="shared" si="21"/>
        <v>110.10975656820715</v>
      </c>
      <c r="BC37" s="26"/>
      <c r="BD37" s="33">
        <f t="shared" si="11"/>
        <v>9.4186990553795525E-3</v>
      </c>
    </row>
    <row r="38" spans="1:56" s="34" customFormat="1">
      <c r="A38" s="26">
        <f t="shared" si="18"/>
        <v>2021</v>
      </c>
      <c r="B38" s="26">
        <f t="shared" si="19"/>
        <v>3</v>
      </c>
      <c r="C38" s="19"/>
      <c r="D38" s="43">
        <v>110960544.017005</v>
      </c>
      <c r="E38" s="19"/>
      <c r="F38" s="43">
        <v>20168392.340017699</v>
      </c>
      <c r="G38" s="43">
        <v>557332.43905646203</v>
      </c>
      <c r="H38" s="43">
        <v>3066278.6400343799</v>
      </c>
      <c r="I38" s="43">
        <v>17237.085744014399</v>
      </c>
      <c r="J38" s="43">
        <v>94833.360001063498</v>
      </c>
      <c r="K38" s="19"/>
      <c r="L38" s="43">
        <v>2600151.8902372499</v>
      </c>
      <c r="M38" s="27"/>
      <c r="N38" s="43">
        <v>854994.15627230005</v>
      </c>
      <c r="O38" s="19"/>
      <c r="P38" s="43">
        <v>18196126.102793999</v>
      </c>
      <c r="Q38" s="27"/>
      <c r="R38" s="43">
        <v>16630546.8386446</v>
      </c>
      <c r="S38" s="27"/>
      <c r="T38" s="43">
        <v>63588337.235324003</v>
      </c>
      <c r="U38" s="19"/>
      <c r="V38" s="43">
        <v>112361.12484118099</v>
      </c>
      <c r="W38" s="27"/>
      <c r="X38" s="43">
        <v>282218.75098986598</v>
      </c>
      <c r="Y38" s="19"/>
      <c r="Z38" s="19">
        <f t="shared" si="12"/>
        <v>-6880630.4230414666</v>
      </c>
      <c r="AA38" s="19"/>
      <c r="AB38" s="19">
        <f t="shared" si="13"/>
        <v>-65568332.884474993</v>
      </c>
      <c r="AC38" s="13"/>
      <c r="AD38" s="18"/>
      <c r="AE38" s="18"/>
      <c r="AF38" s="18">
        <f>BB36/100*AF25</f>
        <v>6282908187.7987623</v>
      </c>
      <c r="AG38" s="28">
        <f t="shared" si="22"/>
        <v>7.1000199462936692E-3</v>
      </c>
      <c r="AH38" s="28"/>
      <c r="AI38" s="28">
        <f t="shared" si="17"/>
        <v>-1.1076505342776499E-2</v>
      </c>
      <c r="AT38" s="26"/>
      <c r="AU38" s="26"/>
      <c r="AV38" s="26">
        <v>11665736</v>
      </c>
      <c r="AW38" s="26"/>
      <c r="AX38" s="26">
        <f t="shared" si="15"/>
        <v>4.9844601213469095E-3</v>
      </c>
      <c r="AY38" s="45">
        <v>7046.2211513950197</v>
      </c>
      <c r="AZ38" s="33">
        <f t="shared" si="16"/>
        <v>7.9887640600337945E-3</v>
      </c>
      <c r="BA38" s="26">
        <f t="shared" si="20"/>
        <v>106.10903444516579</v>
      </c>
      <c r="BB38" s="26">
        <f t="shared" si="21"/>
        <v>111.54261965954109</v>
      </c>
      <c r="BC38" s="26"/>
      <c r="BD38" s="28">
        <f t="shared" si="11"/>
        <v>1.1113157451197082E-2</v>
      </c>
    </row>
    <row r="39" spans="1:56" s="26" customFormat="1">
      <c r="A39" s="26">
        <f t="shared" si="18"/>
        <v>2021</v>
      </c>
      <c r="B39" s="26">
        <f t="shared" si="19"/>
        <v>4</v>
      </c>
      <c r="C39" s="19"/>
      <c r="D39" s="43">
        <v>111844325.641572</v>
      </c>
      <c r="E39" s="19"/>
      <c r="F39" s="43">
        <v>20329030.111804798</v>
      </c>
      <c r="G39" s="43">
        <v>623119.71170918702</v>
      </c>
      <c r="H39" s="43">
        <v>3428220.80378618</v>
      </c>
      <c r="I39" s="43">
        <v>19271.7436611091</v>
      </c>
      <c r="J39" s="43">
        <v>106027.44753978</v>
      </c>
      <c r="K39" s="19"/>
      <c r="L39" s="43">
        <v>2656944.6535541099</v>
      </c>
      <c r="M39" s="27"/>
      <c r="N39" s="43">
        <v>864871.95346417301</v>
      </c>
      <c r="O39" s="19"/>
      <c r="P39" s="43">
        <v>18545168.747354999</v>
      </c>
      <c r="Q39" s="27"/>
      <c r="R39" s="43">
        <v>19835780.079089601</v>
      </c>
      <c r="S39" s="27"/>
      <c r="T39" s="43">
        <v>75843824.333179399</v>
      </c>
      <c r="U39" s="19"/>
      <c r="V39" s="43">
        <v>116099.21169298</v>
      </c>
      <c r="W39" s="27"/>
      <c r="X39" s="43">
        <v>291607.74744124099</v>
      </c>
      <c r="Y39" s="19"/>
      <c r="Z39" s="19">
        <f t="shared" si="12"/>
        <v>-3898967.4280404989</v>
      </c>
      <c r="AA39" s="19"/>
      <c r="AB39" s="19">
        <f t="shared" si="13"/>
        <v>-54545670.055747598</v>
      </c>
      <c r="AC39" s="13"/>
      <c r="AD39" s="19"/>
      <c r="AE39" s="19"/>
      <c r="AF39" s="19">
        <f>BB37/100*AF25</f>
        <v>6328034740.1018171</v>
      </c>
      <c r="AG39" s="33">
        <f t="shared" si="22"/>
        <v>7.182430644249959E-3</v>
      </c>
      <c r="AH39" s="33"/>
      <c r="AI39" s="33">
        <f t="shared" si="17"/>
        <v>-8.7719455847781371E-3</v>
      </c>
      <c r="AV39" s="26">
        <v>11708031</v>
      </c>
      <c r="AX39" s="26">
        <f t="shared" si="15"/>
        <v>3.6255749315773989E-3</v>
      </c>
      <c r="AY39" s="45">
        <v>7087.5370346905001</v>
      </c>
      <c r="AZ39" s="33">
        <f t="shared" si="16"/>
        <v>5.8635518823164836E-3</v>
      </c>
      <c r="BA39" s="26">
        <f t="shared" si="20"/>
        <v>106.73121027381752</v>
      </c>
      <c r="BB39" s="26">
        <f t="shared" si="21"/>
        <v>112.60343297894363</v>
      </c>
      <c r="BD39" s="33">
        <f t="shared" si="11"/>
        <v>9.4476649566413006E-3</v>
      </c>
    </row>
    <row r="40" spans="1:56" s="26" customFormat="1">
      <c r="A40" s="34">
        <f t="shared" si="18"/>
        <v>2022</v>
      </c>
      <c r="B40" s="34">
        <f t="shared" si="19"/>
        <v>1</v>
      </c>
      <c r="C40" s="18"/>
      <c r="D40" s="46">
        <v>112308027.965332</v>
      </c>
      <c r="E40" s="18"/>
      <c r="F40" s="46">
        <v>20413313.498096999</v>
      </c>
      <c r="G40" s="46">
        <v>659193.34874638706</v>
      </c>
      <c r="H40" s="46">
        <v>3626687.3113212199</v>
      </c>
      <c r="I40" s="46">
        <v>20387.4231571048</v>
      </c>
      <c r="J40" s="46">
        <v>112165.586948079</v>
      </c>
      <c r="K40" s="18"/>
      <c r="L40" s="46">
        <v>3165757.3290027501</v>
      </c>
      <c r="M40" s="38"/>
      <c r="N40" s="46">
        <v>870273.27417719003</v>
      </c>
      <c r="O40" s="18"/>
      <c r="P40" s="46">
        <v>21215116.6119674</v>
      </c>
      <c r="Q40" s="38"/>
      <c r="R40" s="46">
        <v>15937922.414635001</v>
      </c>
      <c r="S40" s="38"/>
      <c r="T40" s="46">
        <v>60940027.719186999</v>
      </c>
      <c r="U40" s="18"/>
      <c r="V40" s="46">
        <v>115444.954643866</v>
      </c>
      <c r="W40" s="38"/>
      <c r="X40" s="46">
        <v>289964.44236140797</v>
      </c>
      <c r="Y40" s="18"/>
      <c r="Z40" s="18">
        <f t="shared" si="12"/>
        <v>-8395976.7319980711</v>
      </c>
      <c r="AA40" s="18"/>
      <c r="AB40" s="18">
        <f t="shared" si="13"/>
        <v>-72583116.858112395</v>
      </c>
      <c r="AC40" s="13"/>
      <c r="AD40" s="19"/>
      <c r="AE40" s="19"/>
      <c r="AF40" s="19">
        <f>BB38/100*AF25</f>
        <v>6410381733.7050066</v>
      </c>
      <c r="AG40" s="33">
        <f t="shared" si="22"/>
        <v>1.3013043857256781E-2</v>
      </c>
      <c r="AH40" s="33"/>
      <c r="AI40" s="33">
        <f t="shared" si="17"/>
        <v>-1.0228459958901462E-2</v>
      </c>
      <c r="AT40" s="34"/>
      <c r="AU40" s="34"/>
      <c r="AV40" s="34">
        <v>11735958</v>
      </c>
      <c r="AW40" s="34"/>
      <c r="AX40" s="34">
        <f t="shared" si="15"/>
        <v>2.385285792290779E-3</v>
      </c>
      <c r="AY40" s="48">
        <v>7096.7233294850803</v>
      </c>
      <c r="AZ40" s="28">
        <f t="shared" si="16"/>
        <v>1.2961194769942085E-3</v>
      </c>
      <c r="BA40" s="34">
        <f t="shared" si="20"/>
        <v>106.86954667425658</v>
      </c>
      <c r="BB40" s="34">
        <f t="shared" si="21"/>
        <v>113.01831997695642</v>
      </c>
      <c r="BC40" s="34"/>
      <c r="BD40" s="33">
        <f t="shared" si="11"/>
        <v>1.1149190592207224E-2</v>
      </c>
    </row>
    <row r="41" spans="1:56" s="26" customFormat="1">
      <c r="A41" s="26">
        <f t="shared" si="18"/>
        <v>2022</v>
      </c>
      <c r="B41" s="26">
        <f t="shared" si="19"/>
        <v>2</v>
      </c>
      <c r="C41" s="19"/>
      <c r="D41" s="43">
        <v>112498125.293477</v>
      </c>
      <c r="E41" s="19"/>
      <c r="F41" s="43">
        <v>20447865.937712099</v>
      </c>
      <c r="G41" s="43">
        <v>681758.24373213702</v>
      </c>
      <c r="H41" s="43">
        <v>3750832.70581245</v>
      </c>
      <c r="I41" s="43">
        <v>21085.306507179401</v>
      </c>
      <c r="J41" s="43">
        <v>116005.135231312</v>
      </c>
      <c r="K41" s="19"/>
      <c r="L41" s="43">
        <v>2533633.9628374302</v>
      </c>
      <c r="M41" s="27"/>
      <c r="N41" s="43">
        <v>873634.53323534899</v>
      </c>
      <c r="O41" s="19"/>
      <c r="P41" s="43">
        <v>17953518.1155538</v>
      </c>
      <c r="Q41" s="27"/>
      <c r="R41" s="43">
        <v>19044567.822698899</v>
      </c>
      <c r="S41" s="27"/>
      <c r="T41" s="43">
        <v>72818555.695158094</v>
      </c>
      <c r="U41" s="19"/>
      <c r="V41" s="43">
        <v>113515.46830320101</v>
      </c>
      <c r="W41" s="27"/>
      <c r="X41" s="43">
        <v>285118.12896000501</v>
      </c>
      <c r="Y41" s="19"/>
      <c r="Z41" s="19">
        <f t="shared" si="12"/>
        <v>-4697051.1427827794</v>
      </c>
      <c r="AA41" s="19"/>
      <c r="AB41" s="19">
        <f t="shared" si="13"/>
        <v>-57633087.713872701</v>
      </c>
      <c r="AC41" s="13"/>
      <c r="AD41" s="19"/>
      <c r="AE41" s="19"/>
      <c r="AF41" s="19">
        <f>BB39/100*AF25</f>
        <v>6471346935.5832233</v>
      </c>
      <c r="AG41" s="33">
        <f t="shared" si="22"/>
        <v>9.5103855606085263E-3</v>
      </c>
      <c r="AH41" s="33">
        <f>(AF41-AF37)/AF37</f>
        <v>3.7305246726612763E-2</v>
      </c>
      <c r="AI41" s="33">
        <f t="shared" si="17"/>
        <v>-8.4287970647692872E-3</v>
      </c>
      <c r="AV41" s="26">
        <v>11819178</v>
      </c>
      <c r="AX41" s="26">
        <f t="shared" si="15"/>
        <v>7.0910274218772768E-3</v>
      </c>
      <c r="AY41" s="45">
        <v>7130.0354149462</v>
      </c>
      <c r="AZ41" s="33">
        <f t="shared" si="16"/>
        <v>4.6940093215578106E-3</v>
      </c>
      <c r="BA41" s="26">
        <f t="shared" si="20"/>
        <v>107.37119332253619</v>
      </c>
      <c r="BB41" s="26">
        <f t="shared" si="21"/>
        <v>114.35400688476936</v>
      </c>
      <c r="BD41" s="33">
        <f t="shared" ref="BD41:BD72" si="23">T46/AF48</f>
        <v>9.460001564017953E-3</v>
      </c>
    </row>
    <row r="42" spans="1:56" s="34" customFormat="1">
      <c r="A42" s="26">
        <f t="shared" si="18"/>
        <v>2022</v>
      </c>
      <c r="B42" s="26">
        <f t="shared" si="19"/>
        <v>3</v>
      </c>
      <c r="C42" s="19"/>
      <c r="D42" s="43">
        <v>112766492.97913601</v>
      </c>
      <c r="E42" s="19"/>
      <c r="F42" s="43">
        <v>20496644.941309299</v>
      </c>
      <c r="G42" s="43">
        <v>712551.12342922494</v>
      </c>
      <c r="H42" s="43">
        <v>3920246.0445375</v>
      </c>
      <c r="I42" s="43">
        <v>22037.663611213298</v>
      </c>
      <c r="J42" s="43">
        <v>121244.72302693401</v>
      </c>
      <c r="K42" s="19"/>
      <c r="L42" s="43">
        <v>2486835.3792993701</v>
      </c>
      <c r="M42" s="27"/>
      <c r="N42" s="43">
        <v>877342.69109150395</v>
      </c>
      <c r="O42" s="19"/>
      <c r="P42" s="43">
        <v>17731081.2335448</v>
      </c>
      <c r="Q42" s="27"/>
      <c r="R42" s="43">
        <v>16293188.7996934</v>
      </c>
      <c r="S42" s="27"/>
      <c r="T42" s="43">
        <v>62298419.533999301</v>
      </c>
      <c r="U42" s="19"/>
      <c r="V42" s="43">
        <v>116441.588648326</v>
      </c>
      <c r="W42" s="27"/>
      <c r="X42" s="43">
        <v>292467.69964305498</v>
      </c>
      <c r="Y42" s="19"/>
      <c r="Z42" s="19">
        <f t="shared" si="12"/>
        <v>-7451192.6233584471</v>
      </c>
      <c r="AA42" s="19"/>
      <c r="AB42" s="19">
        <f t="shared" si="13"/>
        <v>-68199154.678681508</v>
      </c>
      <c r="AC42" s="13"/>
      <c r="AD42" s="18"/>
      <c r="AE42" s="18"/>
      <c r="AF42" s="18">
        <f>BB40/100*AF25</f>
        <v>6495190593.2069244</v>
      </c>
      <c r="AG42" s="28">
        <f t="shared" si="22"/>
        <v>3.6844968846585584E-3</v>
      </c>
      <c r="AH42" s="28"/>
      <c r="AI42" s="28">
        <f t="shared" si="17"/>
        <v>-1.1174901770245872E-2</v>
      </c>
      <c r="AT42" s="26"/>
      <c r="AU42" s="26"/>
      <c r="AV42" s="26">
        <v>11814835</v>
      </c>
      <c r="AW42" s="26"/>
      <c r="AX42" s="26">
        <f t="shared" si="15"/>
        <v>-3.674536418691723E-4</v>
      </c>
      <c r="AY42" s="45">
        <v>7178.6531328139199</v>
      </c>
      <c r="AZ42" s="33">
        <f t="shared" si="16"/>
        <v>6.8187203903371804E-3</v>
      </c>
      <c r="BA42" s="26">
        <f t="shared" si="20"/>
        <v>108.10332746777939</v>
      </c>
      <c r="BB42" s="26">
        <f t="shared" si="21"/>
        <v>115.09144856569738</v>
      </c>
      <c r="BC42" s="26"/>
      <c r="BD42" s="28">
        <f t="shared" si="23"/>
        <v>1.1119042960804165E-2</v>
      </c>
    </row>
    <row r="43" spans="1:56" s="26" customFormat="1">
      <c r="A43" s="26">
        <f t="shared" si="18"/>
        <v>2022</v>
      </c>
      <c r="B43" s="26">
        <f t="shared" si="19"/>
        <v>4</v>
      </c>
      <c r="C43" s="19"/>
      <c r="D43" s="43">
        <v>113416843.671489</v>
      </c>
      <c r="E43" s="19"/>
      <c r="F43" s="43">
        <v>20614853.877992</v>
      </c>
      <c r="G43" s="43">
        <v>741740.97689817497</v>
      </c>
      <c r="H43" s="43">
        <v>4080840.0059245299</v>
      </c>
      <c r="I43" s="43">
        <v>22940.442584479599</v>
      </c>
      <c r="J43" s="43">
        <v>126211.546574985</v>
      </c>
      <c r="K43" s="19"/>
      <c r="L43" s="43">
        <v>2535104.5724708098</v>
      </c>
      <c r="M43" s="27"/>
      <c r="N43" s="43">
        <v>885258.69158774195</v>
      </c>
      <c r="O43" s="19"/>
      <c r="P43" s="43">
        <v>18025101.805506099</v>
      </c>
      <c r="Q43" s="27"/>
      <c r="R43" s="43">
        <v>19429375.623193402</v>
      </c>
      <c r="S43" s="27"/>
      <c r="T43" s="43">
        <v>74289901.672295094</v>
      </c>
      <c r="U43" s="19"/>
      <c r="V43" s="43">
        <v>118554.306046439</v>
      </c>
      <c r="W43" s="27"/>
      <c r="X43" s="43">
        <v>297774.23663378699</v>
      </c>
      <c r="Y43" s="19"/>
      <c r="Z43" s="19">
        <f t="shared" si="12"/>
        <v>-4487287.2128107138</v>
      </c>
      <c r="AA43" s="19"/>
      <c r="AB43" s="19">
        <f t="shared" si="13"/>
        <v>-57152043.804700002</v>
      </c>
      <c r="AC43" s="13"/>
      <c r="AD43" s="19"/>
      <c r="AE43" s="19"/>
      <c r="AF43" s="19">
        <f>BB41/100*AF25</f>
        <v>6571952847.6880131</v>
      </c>
      <c r="AG43" s="33">
        <f t="shared" si="22"/>
        <v>1.1818322092252595E-2</v>
      </c>
      <c r="AH43" s="33"/>
      <c r="AI43" s="33">
        <f t="shared" si="17"/>
        <v>-8.76955283301337E-3</v>
      </c>
      <c r="AV43" s="26">
        <v>11888483</v>
      </c>
      <c r="AX43" s="26">
        <f t="shared" si="15"/>
        <v>6.2335191308215479E-3</v>
      </c>
      <c r="AY43" s="45">
        <v>7210.25121577356</v>
      </c>
      <c r="AZ43" s="33">
        <f t="shared" si="16"/>
        <v>4.4016729008961282E-3</v>
      </c>
      <c r="BA43" s="26">
        <f t="shared" si="20"/>
        <v>108.57916295479103</v>
      </c>
      <c r="BB43" s="26">
        <f t="shared" si="21"/>
        <v>116.31862609146694</v>
      </c>
      <c r="BD43" s="33">
        <f t="shared" si="23"/>
        <v>9.4778150832298836E-3</v>
      </c>
    </row>
    <row r="44" spans="1:56" s="26" customFormat="1">
      <c r="A44" s="34">
        <f t="shared" si="18"/>
        <v>2023</v>
      </c>
      <c r="B44" s="34">
        <f t="shared" si="19"/>
        <v>1</v>
      </c>
      <c r="C44" s="18"/>
      <c r="D44" s="46">
        <v>113667602.27472401</v>
      </c>
      <c r="E44" s="18"/>
      <c r="F44" s="46">
        <v>20660432.222415801</v>
      </c>
      <c r="G44" s="46">
        <v>789526.87475816102</v>
      </c>
      <c r="H44" s="46">
        <v>4343743.9168309104</v>
      </c>
      <c r="I44" s="46">
        <v>24418.356951283498</v>
      </c>
      <c r="J44" s="46">
        <v>134342.59536590599</v>
      </c>
      <c r="K44" s="18"/>
      <c r="L44" s="46">
        <v>3032084.42323572</v>
      </c>
      <c r="M44" s="38"/>
      <c r="N44" s="46">
        <v>888576.09273629601</v>
      </c>
      <c r="O44" s="18"/>
      <c r="P44" s="46">
        <v>20622183.975995701</v>
      </c>
      <c r="Q44" s="38"/>
      <c r="R44" s="46">
        <v>16612248.636677001</v>
      </c>
      <c r="S44" s="38"/>
      <c r="T44" s="46">
        <v>63518372.474164501</v>
      </c>
      <c r="U44" s="18"/>
      <c r="V44" s="46">
        <v>117364.80968476699</v>
      </c>
      <c r="W44" s="38"/>
      <c r="X44" s="46">
        <v>294786.56471458398</v>
      </c>
      <c r="Y44" s="18"/>
      <c r="Z44" s="18">
        <f t="shared" si="12"/>
        <v>-7851479.2920260504</v>
      </c>
      <c r="AA44" s="18"/>
      <c r="AB44" s="18">
        <f t="shared" si="13"/>
        <v>-70771413.77655521</v>
      </c>
      <c r="AC44" s="13"/>
      <c r="AD44" s="19"/>
      <c r="AE44" s="19"/>
      <c r="AF44" s="19">
        <f>BB42/100*AF25</f>
        <v>6614333802.1207018</v>
      </c>
      <c r="AG44" s="33">
        <f t="shared" si="22"/>
        <v>6.4487611848277589E-3</v>
      </c>
      <c r="AH44" s="33"/>
      <c r="AI44" s="33">
        <f t="shared" si="17"/>
        <v>-1.0310812353742314E-2</v>
      </c>
      <c r="AT44" s="34"/>
      <c r="AU44" s="34"/>
      <c r="AV44" s="34">
        <v>11866998</v>
      </c>
      <c r="AW44" s="34"/>
      <c r="AX44" s="34">
        <f t="shared" si="15"/>
        <v>-1.8072112312395115E-3</v>
      </c>
      <c r="AY44" s="48">
        <v>7264.7141509950097</v>
      </c>
      <c r="AZ44" s="28">
        <f t="shared" si="16"/>
        <v>7.5535419767765438E-3</v>
      </c>
      <c r="BA44" s="34">
        <f t="shared" si="20"/>
        <v>109.3993202199733</v>
      </c>
      <c r="BB44" s="34">
        <f t="shared" si="21"/>
        <v>116.98544354121533</v>
      </c>
      <c r="BC44" s="34"/>
      <c r="BD44" s="33">
        <f t="shared" si="23"/>
        <v>1.1219984064842372E-2</v>
      </c>
    </row>
    <row r="45" spans="1:56" s="26" customFormat="1">
      <c r="A45" s="26">
        <f t="shared" si="18"/>
        <v>2023</v>
      </c>
      <c r="B45" s="26">
        <f t="shared" si="19"/>
        <v>2</v>
      </c>
      <c r="C45" s="19"/>
      <c r="D45" s="43">
        <v>113989120.21373101</v>
      </c>
      <c r="E45" s="19"/>
      <c r="F45" s="43">
        <v>20718871.913710602</v>
      </c>
      <c r="G45" s="43">
        <v>818413.40433596098</v>
      </c>
      <c r="H45" s="43">
        <v>4502669.0796638597</v>
      </c>
      <c r="I45" s="43">
        <v>25311.754773277102</v>
      </c>
      <c r="J45" s="43">
        <v>139257.806587542</v>
      </c>
      <c r="K45" s="19"/>
      <c r="L45" s="43">
        <v>2447103.7630089498</v>
      </c>
      <c r="M45" s="27"/>
      <c r="N45" s="43">
        <v>892911.22764936497</v>
      </c>
      <c r="O45" s="19"/>
      <c r="P45" s="43">
        <v>17610567.182418101</v>
      </c>
      <c r="Q45" s="27"/>
      <c r="R45" s="43">
        <v>19740111.8798423</v>
      </c>
      <c r="S45" s="27"/>
      <c r="T45" s="43">
        <v>75478028.681631997</v>
      </c>
      <c r="U45" s="19"/>
      <c r="V45" s="43">
        <v>112223.59860767399</v>
      </c>
      <c r="W45" s="27"/>
      <c r="X45" s="43">
        <v>281873.32474120997</v>
      </c>
      <c r="Y45" s="19"/>
      <c r="Z45" s="19">
        <f t="shared" si="12"/>
        <v>-4206551.4259189423</v>
      </c>
      <c r="AA45" s="19"/>
      <c r="AB45" s="19">
        <f t="shared" si="13"/>
        <v>-56121658.714517109</v>
      </c>
      <c r="AC45" s="13"/>
      <c r="AD45" s="19"/>
      <c r="AE45" s="19"/>
      <c r="AF45" s="19">
        <f>BB43/100*AF25</f>
        <v>6684859995.7784967</v>
      </c>
      <c r="AG45" s="33">
        <f t="shared" si="22"/>
        <v>1.0662629943953342E-2</v>
      </c>
      <c r="AH45" s="33">
        <f>(AF45-AF41)/AF41</f>
        <v>3.299360431771238E-2</v>
      </c>
      <c r="AI45" s="33">
        <f t="shared" si="17"/>
        <v>-8.5494750586835987E-3</v>
      </c>
      <c r="AV45" s="26">
        <v>11928252</v>
      </c>
      <c r="AX45" s="26">
        <f t="shared" si="15"/>
        <v>5.1617098106867465E-3</v>
      </c>
      <c r="AY45" s="45">
        <v>7277.5454279013002</v>
      </c>
      <c r="AZ45" s="33">
        <f t="shared" si="16"/>
        <v>1.7662466326404608E-3</v>
      </c>
      <c r="BA45" s="26">
        <f t="shared" si="20"/>
        <v>109.59254640092499</v>
      </c>
      <c r="BB45" s="26">
        <f t="shared" si="21"/>
        <v>117.79698013761399</v>
      </c>
      <c r="BD45" s="33">
        <f t="shared" si="23"/>
        <v>9.547931908479846E-3</v>
      </c>
    </row>
    <row r="46" spans="1:56" s="34" customFormat="1">
      <c r="A46" s="26">
        <f t="shared" si="18"/>
        <v>2023</v>
      </c>
      <c r="B46" s="26">
        <f t="shared" si="19"/>
        <v>3</v>
      </c>
      <c r="C46" s="19"/>
      <c r="D46" s="43">
        <v>114525553.501609</v>
      </c>
      <c r="E46" s="19"/>
      <c r="F46" s="43">
        <v>20816375.013664</v>
      </c>
      <c r="G46" s="43">
        <v>837754.38317584002</v>
      </c>
      <c r="H46" s="43">
        <v>4609077.4387295498</v>
      </c>
      <c r="I46" s="43">
        <v>25909.929376572301</v>
      </c>
      <c r="J46" s="43">
        <v>142548.78676483099</v>
      </c>
      <c r="K46" s="19"/>
      <c r="L46" s="43">
        <v>2458792.0301880799</v>
      </c>
      <c r="M46" s="27"/>
      <c r="N46" s="43">
        <v>900203.75847457303</v>
      </c>
      <c r="O46" s="19"/>
      <c r="P46" s="43">
        <v>17711339.009330101</v>
      </c>
      <c r="Q46" s="27"/>
      <c r="R46" s="43">
        <v>16987411.123249099</v>
      </c>
      <c r="S46" s="27"/>
      <c r="T46" s="43">
        <v>64952838.757543802</v>
      </c>
      <c r="U46" s="19"/>
      <c r="V46" s="43">
        <v>119536.277762502</v>
      </c>
      <c r="W46" s="27"/>
      <c r="X46" s="43">
        <v>300240.666474236</v>
      </c>
      <c r="Y46" s="19"/>
      <c r="Z46" s="19">
        <f t="shared" ref="Z46:Z77" si="24">R46+V46-N46-L46-F46</f>
        <v>-7068423.4013150521</v>
      </c>
      <c r="AA46" s="19"/>
      <c r="AB46" s="19">
        <f t="shared" ref="AB46:AB77" si="25">T46-P46-D46</f>
        <v>-67284053.753395289</v>
      </c>
      <c r="AC46" s="13"/>
      <c r="AD46" s="18"/>
      <c r="AE46" s="18"/>
      <c r="AF46" s="18">
        <f>BB44/100*AF25</f>
        <v>6723182158.3082094</v>
      </c>
      <c r="AG46" s="28">
        <f t="shared" si="22"/>
        <v>5.732679899640861E-3</v>
      </c>
      <c r="AH46" s="28"/>
      <c r="AI46" s="28">
        <f t="shared" si="17"/>
        <v>-1.052647572386523E-2</v>
      </c>
      <c r="AT46" s="26"/>
      <c r="AU46" s="26"/>
      <c r="AV46" s="26">
        <v>12006385</v>
      </c>
      <c r="AW46" s="26"/>
      <c r="AX46" s="26">
        <f t="shared" si="15"/>
        <v>6.5502472617111037E-3</v>
      </c>
      <c r="AY46" s="45">
        <v>7332.9577788563902</v>
      </c>
      <c r="AZ46" s="33">
        <f t="shared" si="16"/>
        <v>7.6141539072563137E-3</v>
      </c>
      <c r="BA46" s="26">
        <f t="shared" si="20"/>
        <v>110.42700091630975</v>
      </c>
      <c r="BB46" s="26">
        <f t="shared" si="21"/>
        <v>119.47137889695567</v>
      </c>
      <c r="BC46" s="26"/>
      <c r="BD46" s="28">
        <f t="shared" si="23"/>
        <v>1.125508188836781E-2</v>
      </c>
    </row>
    <row r="47" spans="1:56" s="26" customFormat="1">
      <c r="A47" s="26">
        <f t="shared" si="18"/>
        <v>2023</v>
      </c>
      <c r="B47" s="26">
        <f t="shared" si="19"/>
        <v>4</v>
      </c>
      <c r="C47" s="19"/>
      <c r="D47" s="43">
        <v>114876040.917933</v>
      </c>
      <c r="E47" s="19"/>
      <c r="F47" s="43">
        <v>20880080.250379201</v>
      </c>
      <c r="G47" s="43">
        <v>871723.19220561697</v>
      </c>
      <c r="H47" s="43">
        <v>4795963.8035924099</v>
      </c>
      <c r="I47" s="43">
        <v>26960.511099142699</v>
      </c>
      <c r="J47" s="43">
        <v>148328.77743069301</v>
      </c>
      <c r="K47" s="19"/>
      <c r="L47" s="43">
        <v>2439443.70942104</v>
      </c>
      <c r="M47" s="27"/>
      <c r="N47" s="43">
        <v>905434.71130340605</v>
      </c>
      <c r="O47" s="19"/>
      <c r="P47" s="43">
        <v>17639719.6399756</v>
      </c>
      <c r="Q47" s="27"/>
      <c r="R47" s="43">
        <v>20136426.155880298</v>
      </c>
      <c r="S47" s="27"/>
      <c r="T47" s="43">
        <v>76993370.665295199</v>
      </c>
      <c r="U47" s="19"/>
      <c r="V47" s="43">
        <v>121663.28451529601</v>
      </c>
      <c r="W47" s="27"/>
      <c r="X47" s="43">
        <v>305583.09420419199</v>
      </c>
      <c r="Y47" s="19"/>
      <c r="Z47" s="19">
        <f t="shared" si="24"/>
        <v>-3966869.2307080515</v>
      </c>
      <c r="AA47" s="19"/>
      <c r="AB47" s="19">
        <f t="shared" si="25"/>
        <v>-55522389.892613403</v>
      </c>
      <c r="AC47" s="13"/>
      <c r="AD47" s="19"/>
      <c r="AE47" s="19"/>
      <c r="AF47" s="19">
        <f>BB45/100*AF25</f>
        <v>6769821365.7220726</v>
      </c>
      <c r="AG47" s="33">
        <f t="shared" si="22"/>
        <v>6.9370732958988065E-3</v>
      </c>
      <c r="AH47" s="33"/>
      <c r="AI47" s="33">
        <f t="shared" si="17"/>
        <v>-8.2899763055315333E-3</v>
      </c>
      <c r="AV47" s="26">
        <v>12051298</v>
      </c>
      <c r="AX47" s="26">
        <f t="shared" ref="AX47:AX78" si="26">(AV47-AV46)/AV46</f>
        <v>3.7407596041606197E-3</v>
      </c>
      <c r="AY47" s="45">
        <v>7367.7795082063503</v>
      </c>
      <c r="AZ47" s="33">
        <f t="shared" ref="AZ47:AZ78" si="27">(AY47-AY46)/AY46</f>
        <v>4.7486608269263434E-3</v>
      </c>
      <c r="BA47" s="26">
        <f t="shared" si="20"/>
        <v>110.95138128979598</v>
      </c>
      <c r="BB47" s="26">
        <f t="shared" si="21"/>
        <v>120.48774390351194</v>
      </c>
      <c r="BD47" s="33">
        <f t="shared" si="23"/>
        <v>9.5603317936353502E-3</v>
      </c>
    </row>
    <row r="48" spans="1:56" s="26" customFormat="1">
      <c r="A48" s="34">
        <f t="shared" si="18"/>
        <v>2024</v>
      </c>
      <c r="B48" s="34">
        <f t="shared" si="19"/>
        <v>1</v>
      </c>
      <c r="C48" s="18"/>
      <c r="D48" s="46">
        <v>115156756.783427</v>
      </c>
      <c r="E48" s="18"/>
      <c r="F48" s="46">
        <v>20931103.681829698</v>
      </c>
      <c r="G48" s="46">
        <v>884456.28994548204</v>
      </c>
      <c r="H48" s="46">
        <v>4866017.55048595</v>
      </c>
      <c r="I48" s="46">
        <v>27354.318245736798</v>
      </c>
      <c r="J48" s="46">
        <v>150495.38815936001</v>
      </c>
      <c r="K48" s="18"/>
      <c r="L48" s="46">
        <v>2965225.65674539</v>
      </c>
      <c r="M48" s="38"/>
      <c r="N48" s="46">
        <v>909740.09936642298</v>
      </c>
      <c r="O48" s="18"/>
      <c r="P48" s="46">
        <v>20391691.638931699</v>
      </c>
      <c r="Q48" s="38"/>
      <c r="R48" s="46">
        <v>17265984.8139528</v>
      </c>
      <c r="S48" s="38"/>
      <c r="T48" s="46">
        <v>66017989.408404402</v>
      </c>
      <c r="U48" s="18"/>
      <c r="V48" s="46">
        <v>122095.143623465</v>
      </c>
      <c r="W48" s="38"/>
      <c r="X48" s="46">
        <v>306667.79977547599</v>
      </c>
      <c r="Y48" s="18"/>
      <c r="Z48" s="18">
        <f t="shared" si="24"/>
        <v>-7417989.4803652465</v>
      </c>
      <c r="AA48" s="18"/>
      <c r="AB48" s="18">
        <f t="shared" si="25"/>
        <v>-69530459.013954297</v>
      </c>
      <c r="AC48" s="13"/>
      <c r="AD48" s="19"/>
      <c r="AE48" s="19"/>
      <c r="AF48" s="19">
        <f>BB46/100*AF25</f>
        <v>6866049473.4586849</v>
      </c>
      <c r="AG48" s="33">
        <f t="shared" si="22"/>
        <v>1.4214275759748733E-2</v>
      </c>
      <c r="AH48" s="33"/>
      <c r="AI48" s="33">
        <f t="shared" ref="AI48:AI79" si="28">AB46/AF48</f>
        <v>-9.7995294111246477E-3</v>
      </c>
      <c r="AT48" s="34"/>
      <c r="AU48" s="34"/>
      <c r="AV48" s="34">
        <v>12039342</v>
      </c>
      <c r="AW48" s="34"/>
      <c r="AX48" s="34">
        <f t="shared" si="26"/>
        <v>-9.9209230408209975E-4</v>
      </c>
      <c r="AY48" s="48">
        <v>7418.8370541122504</v>
      </c>
      <c r="AZ48" s="28">
        <f t="shared" si="27"/>
        <v>6.929841731695599E-3</v>
      </c>
      <c r="BA48" s="34">
        <f t="shared" si="20"/>
        <v>111.72025680204727</v>
      </c>
      <c r="BB48" s="34">
        <f t="shared" si="21"/>
        <v>121.20234157753126</v>
      </c>
      <c r="BC48" s="34"/>
      <c r="BD48" s="33">
        <f t="shared" si="23"/>
        <v>1.1314745925385358E-2</v>
      </c>
    </row>
    <row r="49" spans="1:56" s="26" customFormat="1">
      <c r="A49" s="26">
        <f t="shared" si="18"/>
        <v>2024</v>
      </c>
      <c r="B49" s="26">
        <f t="shared" si="19"/>
        <v>2</v>
      </c>
      <c r="C49" s="19"/>
      <c r="D49" s="43">
        <v>115847003.87622499</v>
      </c>
      <c r="E49" s="19"/>
      <c r="F49" s="43">
        <v>21056564.261555798</v>
      </c>
      <c r="G49" s="43">
        <v>905563.37606130796</v>
      </c>
      <c r="H49" s="43">
        <v>4982142.510698</v>
      </c>
      <c r="I49" s="43">
        <v>28007.114723545699</v>
      </c>
      <c r="J49" s="43">
        <v>154086.88177416599</v>
      </c>
      <c r="K49" s="19"/>
      <c r="L49" s="43">
        <v>2425655.9663045299</v>
      </c>
      <c r="M49" s="27"/>
      <c r="N49" s="43">
        <v>917104.18749564898</v>
      </c>
      <c r="O49" s="19"/>
      <c r="P49" s="43">
        <v>17632376.990357399</v>
      </c>
      <c r="Q49" s="27"/>
      <c r="R49" s="43">
        <v>20612878.369236499</v>
      </c>
      <c r="S49" s="27"/>
      <c r="T49" s="43">
        <v>78815126.997986004</v>
      </c>
      <c r="U49" s="19"/>
      <c r="V49" s="43">
        <v>122727.979334125</v>
      </c>
      <c r="W49" s="27"/>
      <c r="X49" s="43">
        <v>308257.300629056</v>
      </c>
      <c r="Y49" s="19"/>
      <c r="Z49" s="19">
        <f t="shared" si="24"/>
        <v>-3663718.0667853542</v>
      </c>
      <c r="AA49" s="19"/>
      <c r="AB49" s="19">
        <f t="shared" si="25"/>
        <v>-54664253.86859639</v>
      </c>
      <c r="AC49" s="13"/>
      <c r="AD49" s="19"/>
      <c r="AE49" s="19"/>
      <c r="AF49" s="19">
        <f>BB47/100*AF25</f>
        <v>6924460219.8862982</v>
      </c>
      <c r="AG49" s="33">
        <f t="shared" si="22"/>
        <v>8.5071840296818586E-3</v>
      </c>
      <c r="AH49" s="33">
        <f>(AF49-AF45)/AF45</f>
        <v>3.5842220219886353E-2</v>
      </c>
      <c r="AI49" s="33">
        <f t="shared" si="28"/>
        <v>-8.0182986297125548E-3</v>
      </c>
      <c r="AV49" s="26">
        <v>12081585</v>
      </c>
      <c r="AX49" s="26">
        <f t="shared" si="26"/>
        <v>3.5087465743559739E-3</v>
      </c>
      <c r="AY49" s="45">
        <v>7455.5201332528204</v>
      </c>
      <c r="AZ49" s="33">
        <f t="shared" si="27"/>
        <v>4.9445861761091879E-3</v>
      </c>
      <c r="BA49" s="26">
        <f t="shared" si="20"/>
        <v>112.27266723942205</v>
      </c>
      <c r="BB49" s="26">
        <f t="shared" si="21"/>
        <v>122.22900807678302</v>
      </c>
      <c r="BD49" s="33">
        <f t="shared" si="23"/>
        <v>9.5756758050579028E-3</v>
      </c>
    </row>
    <row r="50" spans="1:56" s="34" customFormat="1">
      <c r="A50" s="26">
        <f t="shared" ref="A50:A81" si="29">A46+1</f>
        <v>2024</v>
      </c>
      <c r="B50" s="26">
        <f t="shared" ref="B50:B81" si="30">B46</f>
        <v>3</v>
      </c>
      <c r="C50" s="19"/>
      <c r="D50" s="43">
        <v>116190727.889327</v>
      </c>
      <c r="E50" s="19"/>
      <c r="F50" s="43">
        <v>21119040.1696757</v>
      </c>
      <c r="G50" s="43">
        <v>945568.17790949903</v>
      </c>
      <c r="H50" s="43">
        <v>5202237.1271419805</v>
      </c>
      <c r="I50" s="43">
        <v>29244.376636376401</v>
      </c>
      <c r="J50" s="43">
        <v>160893.931767278</v>
      </c>
      <c r="K50" s="19"/>
      <c r="L50" s="43">
        <v>2382009.48216369</v>
      </c>
      <c r="M50" s="27"/>
      <c r="N50" s="43">
        <v>921315.394668099</v>
      </c>
      <c r="O50" s="19"/>
      <c r="P50" s="43">
        <v>17429063.996019799</v>
      </c>
      <c r="Q50" s="27"/>
      <c r="R50" s="43">
        <v>17667926.6209548</v>
      </c>
      <c r="S50" s="27"/>
      <c r="T50" s="43">
        <v>67554848.744456306</v>
      </c>
      <c r="U50" s="19"/>
      <c r="V50" s="43">
        <v>119200.787588305</v>
      </c>
      <c r="W50" s="27"/>
      <c r="X50" s="43">
        <v>299398.01188115397</v>
      </c>
      <c r="Y50" s="19"/>
      <c r="Z50" s="19">
        <f t="shared" si="24"/>
        <v>-6635237.6379643828</v>
      </c>
      <c r="AA50" s="19"/>
      <c r="AB50" s="19">
        <f t="shared" si="25"/>
        <v>-66064943.140890494</v>
      </c>
      <c r="AC50" s="13"/>
      <c r="AD50" s="18"/>
      <c r="AE50" s="18"/>
      <c r="AF50" s="18">
        <f>BB48/100*AF25</f>
        <v>6965528323.6341171</v>
      </c>
      <c r="AG50" s="28">
        <f t="shared" si="22"/>
        <v>5.930874384963006E-3</v>
      </c>
      <c r="AH50" s="28"/>
      <c r="AI50" s="28">
        <f t="shared" si="28"/>
        <v>-9.9820797193569157E-3</v>
      </c>
      <c r="AT50" s="26"/>
      <c r="AU50" s="26"/>
      <c r="AV50" s="26">
        <v>12137492</v>
      </c>
      <c r="AW50" s="26"/>
      <c r="AX50" s="26">
        <f t="shared" si="26"/>
        <v>4.6274557518736163E-3</v>
      </c>
      <c r="AY50" s="45">
        <v>7474.8550881683605</v>
      </c>
      <c r="AZ50" s="33">
        <f t="shared" si="27"/>
        <v>2.5933743816615859E-3</v>
      </c>
      <c r="BA50" s="26">
        <f t="shared" si="20"/>
        <v>112.56383229840158</v>
      </c>
      <c r="BB50" s="26">
        <f t="shared" si="21"/>
        <v>123.11306981823326</v>
      </c>
      <c r="BC50" s="26"/>
      <c r="BD50" s="28">
        <f t="shared" si="23"/>
        <v>1.1345507324180005E-2</v>
      </c>
    </row>
    <row r="51" spans="1:56" s="26" customFormat="1">
      <c r="A51" s="26">
        <f t="shared" si="29"/>
        <v>2024</v>
      </c>
      <c r="B51" s="26">
        <f t="shared" si="30"/>
        <v>4</v>
      </c>
      <c r="C51" s="19"/>
      <c r="D51" s="43">
        <v>116398409.740687</v>
      </c>
      <c r="E51" s="19"/>
      <c r="F51" s="43">
        <v>21156788.804537199</v>
      </c>
      <c r="G51" s="43">
        <v>1025577.52990095</v>
      </c>
      <c r="H51" s="43">
        <v>5642424.97522364</v>
      </c>
      <c r="I51" s="43">
        <v>31718.8926773489</v>
      </c>
      <c r="J51" s="43">
        <v>174507.98892444299</v>
      </c>
      <c r="K51" s="19"/>
      <c r="L51" s="43">
        <v>2394942.44924535</v>
      </c>
      <c r="M51" s="27"/>
      <c r="N51" s="43">
        <v>926041.82970358105</v>
      </c>
      <c r="O51" s="19"/>
      <c r="P51" s="43">
        <v>17522176.674728699</v>
      </c>
      <c r="Q51" s="27"/>
      <c r="R51" s="43">
        <v>20977216.848235</v>
      </c>
      <c r="S51" s="27"/>
      <c r="T51" s="43">
        <v>80208206.750272006</v>
      </c>
      <c r="U51" s="19"/>
      <c r="V51" s="43">
        <v>122189.121356171</v>
      </c>
      <c r="W51" s="27"/>
      <c r="X51" s="43">
        <v>306903.84474550199</v>
      </c>
      <c r="Y51" s="19"/>
      <c r="Z51" s="19">
        <f t="shared" si="24"/>
        <v>-3378367.113894958</v>
      </c>
      <c r="AA51" s="19"/>
      <c r="AB51" s="19">
        <f t="shared" si="25"/>
        <v>-53712379.665143691</v>
      </c>
      <c r="AC51" s="13"/>
      <c r="AD51" s="19"/>
      <c r="AE51" s="19"/>
      <c r="AF51" s="19">
        <f>BB49/100*AF25</f>
        <v>7024531099.3757877</v>
      </c>
      <c r="AG51" s="33">
        <f t="shared" si="22"/>
        <v>8.4706820502722692E-3</v>
      </c>
      <c r="AH51" s="33"/>
      <c r="AI51" s="33">
        <f t="shared" si="28"/>
        <v>-7.7819078733175444E-3</v>
      </c>
      <c r="AV51" s="26">
        <v>12149838</v>
      </c>
      <c r="AX51" s="26">
        <f t="shared" si="26"/>
        <v>1.0171788372754437E-3</v>
      </c>
      <c r="AY51" s="45">
        <v>7521.1488146799802</v>
      </c>
      <c r="AZ51" s="33">
        <f t="shared" si="27"/>
        <v>6.1932607342309797E-3</v>
      </c>
      <c r="BA51" s="26">
        <f t="shared" si="20"/>
        <v>113.26096946106983</v>
      </c>
      <c r="BB51" s="26">
        <f t="shared" si="21"/>
        <v>124.00154473833256</v>
      </c>
      <c r="BD51" s="33">
        <f t="shared" si="23"/>
        <v>9.6195472648383396E-3</v>
      </c>
    </row>
    <row r="52" spans="1:56" s="26" customFormat="1">
      <c r="A52" s="34">
        <f t="shared" si="29"/>
        <v>2025</v>
      </c>
      <c r="B52" s="34">
        <f t="shared" si="30"/>
        <v>1</v>
      </c>
      <c r="C52" s="18"/>
      <c r="D52" s="46">
        <v>116174772.054822</v>
      </c>
      <c r="E52" s="18"/>
      <c r="F52" s="46">
        <v>21116140.007881399</v>
      </c>
      <c r="G52" s="46">
        <v>1139174.54708009</v>
      </c>
      <c r="H52" s="46">
        <v>6267402.2472046502</v>
      </c>
      <c r="I52" s="46">
        <v>35232.202487013303</v>
      </c>
      <c r="J52" s="46">
        <v>193837.182903237</v>
      </c>
      <c r="K52" s="18"/>
      <c r="L52" s="46">
        <v>2925422.3580873702</v>
      </c>
      <c r="M52" s="38"/>
      <c r="N52" s="46">
        <v>925926.485726438</v>
      </c>
      <c r="O52" s="18"/>
      <c r="P52" s="46">
        <v>20274204.854975101</v>
      </c>
      <c r="Q52" s="38"/>
      <c r="R52" s="46">
        <v>17997183.818808299</v>
      </c>
      <c r="S52" s="38"/>
      <c r="T52" s="46">
        <v>68813792.177730501</v>
      </c>
      <c r="U52" s="18"/>
      <c r="V52" s="46">
        <v>119892.10035136199</v>
      </c>
      <c r="W52" s="38"/>
      <c r="X52" s="46">
        <v>301134.39023095299</v>
      </c>
      <c r="Y52" s="18"/>
      <c r="Z52" s="18">
        <f t="shared" si="24"/>
        <v>-6850412.9325355459</v>
      </c>
      <c r="AA52" s="18"/>
      <c r="AB52" s="18">
        <f t="shared" si="25"/>
        <v>-67635184.732066602</v>
      </c>
      <c r="AC52" s="13"/>
      <c r="AD52" s="19"/>
      <c r="AE52" s="19"/>
      <c r="AF52" s="19">
        <f>BB50/100*AF25</f>
        <v>7075338344.679493</v>
      </c>
      <c r="AG52" s="33">
        <f t="shared" si="22"/>
        <v>7.2328308587344767E-3</v>
      </c>
      <c r="AH52" s="33"/>
      <c r="AI52" s="33">
        <f t="shared" si="28"/>
        <v>-9.3373546143655384E-3</v>
      </c>
      <c r="AT52" s="34"/>
      <c r="AU52" s="34"/>
      <c r="AV52" s="34">
        <v>12231864</v>
      </c>
      <c r="AW52" s="34"/>
      <c r="AX52" s="34">
        <f t="shared" si="26"/>
        <v>6.7512011271261396E-3</v>
      </c>
      <c r="AY52" s="48">
        <v>7545.6108654455002</v>
      </c>
      <c r="AZ52" s="28">
        <f t="shared" si="27"/>
        <v>3.2524354148895812E-3</v>
      </c>
      <c r="BA52" s="34">
        <f t="shared" si="20"/>
        <v>113.62934344926974</v>
      </c>
      <c r="BB52" s="34">
        <f t="shared" si="21"/>
        <v>125.2447339293217</v>
      </c>
      <c r="BC52" s="34"/>
      <c r="BD52" s="33">
        <f t="shared" si="23"/>
        <v>1.1455363152560164E-2</v>
      </c>
    </row>
    <row r="53" spans="1:56" s="26" customFormat="1">
      <c r="A53" s="26">
        <f t="shared" si="29"/>
        <v>2025</v>
      </c>
      <c r="B53" s="26">
        <f t="shared" si="30"/>
        <v>2</v>
      </c>
      <c r="C53" s="19"/>
      <c r="D53" s="43">
        <v>116375875.71137699</v>
      </c>
      <c r="E53" s="19"/>
      <c r="F53" s="43">
        <v>21152692.977969602</v>
      </c>
      <c r="G53" s="43">
        <v>1241182.3715306299</v>
      </c>
      <c r="H53" s="43">
        <v>6828619.2001575502</v>
      </c>
      <c r="I53" s="43">
        <v>38387.083655586699</v>
      </c>
      <c r="J53" s="43">
        <v>211194.40825229601</v>
      </c>
      <c r="K53" s="19"/>
      <c r="L53" s="43">
        <v>2327499.1693544202</v>
      </c>
      <c r="M53" s="27"/>
      <c r="N53" s="43">
        <v>930250.03739517601</v>
      </c>
      <c r="O53" s="19"/>
      <c r="P53" s="43">
        <v>17195365.491859902</v>
      </c>
      <c r="Q53" s="27"/>
      <c r="R53" s="43">
        <v>21516883.972134199</v>
      </c>
      <c r="S53" s="27"/>
      <c r="T53" s="43">
        <v>82271670.772367805</v>
      </c>
      <c r="U53" s="19"/>
      <c r="V53" s="43">
        <v>124127.259685376</v>
      </c>
      <c r="W53" s="27"/>
      <c r="X53" s="43">
        <v>311771.88944767899</v>
      </c>
      <c r="Y53" s="19"/>
      <c r="Z53" s="19">
        <f t="shared" si="24"/>
        <v>-2769430.9528996237</v>
      </c>
      <c r="AA53" s="19"/>
      <c r="AB53" s="19">
        <f t="shared" si="25"/>
        <v>-51299570.430869088</v>
      </c>
      <c r="AC53" s="13"/>
      <c r="AD53" s="19"/>
      <c r="AE53" s="19"/>
      <c r="AF53" s="19">
        <f>BB51/100*AF25</f>
        <v>7126399216.4435196</v>
      </c>
      <c r="AG53" s="33">
        <f t="shared" si="22"/>
        <v>7.2167392252588678E-3</v>
      </c>
      <c r="AH53" s="33">
        <f>(AF53-AF49)/AF49</f>
        <v>2.9163139095994016E-2</v>
      </c>
      <c r="AI53" s="33">
        <f t="shared" si="28"/>
        <v>-7.537099457073251E-3</v>
      </c>
      <c r="AV53" s="26">
        <v>12299770</v>
      </c>
      <c r="AX53" s="26">
        <f t="shared" si="26"/>
        <v>5.5515659755536852E-3</v>
      </c>
      <c r="AY53" s="45">
        <v>7580.4160395979898</v>
      </c>
      <c r="AZ53" s="33">
        <f t="shared" si="27"/>
        <v>4.6126383633003139E-3</v>
      </c>
      <c r="BA53" s="26">
        <f t="shared" si="20"/>
        <v>114.15347451806046</v>
      </c>
      <c r="BB53" s="26">
        <f t="shared" si="21"/>
        <v>126.52095418511047</v>
      </c>
      <c r="BD53" s="33">
        <f t="shared" si="23"/>
        <v>9.7037235471731167E-3</v>
      </c>
    </row>
    <row r="54" spans="1:56" s="34" customFormat="1">
      <c r="A54" s="26">
        <f t="shared" si="29"/>
        <v>2025</v>
      </c>
      <c r="B54" s="26">
        <f t="shared" si="30"/>
        <v>3</v>
      </c>
      <c r="C54" s="19"/>
      <c r="D54" s="43">
        <v>116976485.25117201</v>
      </c>
      <c r="E54" s="19"/>
      <c r="F54" s="43">
        <v>21261860.871377699</v>
      </c>
      <c r="G54" s="43">
        <v>1319021.2901941</v>
      </c>
      <c r="H54" s="43">
        <v>7256865.9644499896</v>
      </c>
      <c r="I54" s="43">
        <v>40794.472892601298</v>
      </c>
      <c r="J54" s="43">
        <v>224439.15353969301</v>
      </c>
      <c r="K54" s="19"/>
      <c r="L54" s="43">
        <v>2349812.9532821099</v>
      </c>
      <c r="M54" s="27"/>
      <c r="N54" s="43">
        <v>938727.84998600197</v>
      </c>
      <c r="O54" s="19"/>
      <c r="P54" s="43">
        <v>17357794.246251602</v>
      </c>
      <c r="Q54" s="27"/>
      <c r="R54" s="43">
        <v>18279923.402088501</v>
      </c>
      <c r="S54" s="27"/>
      <c r="T54" s="43">
        <v>69894871.479922503</v>
      </c>
      <c r="U54" s="19"/>
      <c r="V54" s="43">
        <v>124929.418845562</v>
      </c>
      <c r="W54" s="27"/>
      <c r="X54" s="43">
        <v>313786.68198916299</v>
      </c>
      <c r="Y54" s="19"/>
      <c r="Z54" s="19">
        <f t="shared" si="24"/>
        <v>-6145548.8537117504</v>
      </c>
      <c r="AA54" s="19"/>
      <c r="AB54" s="19">
        <f t="shared" si="25"/>
        <v>-64439408.017501101</v>
      </c>
      <c r="AC54" s="13"/>
      <c r="AD54" s="18"/>
      <c r="AE54" s="18"/>
      <c r="AF54" s="18">
        <f>BB52/100*AF25</f>
        <v>7197845604.4320831</v>
      </c>
      <c r="AG54" s="28">
        <f t="shared" si="22"/>
        <v>1.0025594387654775E-2</v>
      </c>
      <c r="AH54" s="28"/>
      <c r="AI54" s="28">
        <f t="shared" si="28"/>
        <v>-9.3965873191861945E-3</v>
      </c>
      <c r="AT54" s="26"/>
      <c r="AU54" s="26"/>
      <c r="AV54" s="26">
        <v>12261843</v>
      </c>
      <c r="AW54" s="26"/>
      <c r="AX54" s="26">
        <f t="shared" si="26"/>
        <v>-3.0835535949046201E-3</v>
      </c>
      <c r="AY54" s="45">
        <v>7633.1649400025599</v>
      </c>
      <c r="AZ54" s="33">
        <f t="shared" si="27"/>
        <v>6.9585759052042135E-3</v>
      </c>
      <c r="BA54" s="26">
        <f t="shared" si="20"/>
        <v>114.94782013533718</v>
      </c>
      <c r="BB54" s="26">
        <f t="shared" si="21"/>
        <v>127.00851092725013</v>
      </c>
      <c r="BC54" s="26"/>
      <c r="BD54" s="28">
        <f t="shared" si="23"/>
        <v>1.1470735380061974E-2</v>
      </c>
    </row>
    <row r="55" spans="1:56" s="26" customFormat="1">
      <c r="A55" s="26">
        <f t="shared" si="29"/>
        <v>2025</v>
      </c>
      <c r="B55" s="26">
        <f t="shared" si="30"/>
        <v>4</v>
      </c>
      <c r="C55" s="19"/>
      <c r="D55" s="43">
        <v>117161878.395861</v>
      </c>
      <c r="E55" s="19"/>
      <c r="F55" s="43">
        <v>21295558.269965298</v>
      </c>
      <c r="G55" s="43">
        <v>1417524.06204914</v>
      </c>
      <c r="H55" s="43">
        <v>7798799.1521801902</v>
      </c>
      <c r="I55" s="43">
        <v>43840.950372653802</v>
      </c>
      <c r="J55" s="43">
        <v>241199.97377876801</v>
      </c>
      <c r="K55" s="19"/>
      <c r="L55" s="43">
        <v>2346774.69075571</v>
      </c>
      <c r="M55" s="27"/>
      <c r="N55" s="43">
        <v>942792.89717912301</v>
      </c>
      <c r="O55" s="19"/>
      <c r="P55" s="43">
        <v>17364393.377832599</v>
      </c>
      <c r="Q55" s="27"/>
      <c r="R55" s="43">
        <v>21832847.0196818</v>
      </c>
      <c r="S55" s="27"/>
      <c r="T55" s="43">
        <v>83479782.869720504</v>
      </c>
      <c r="U55" s="19"/>
      <c r="V55" s="43">
        <v>124253.42855668699</v>
      </c>
      <c r="W55" s="27"/>
      <c r="X55" s="43">
        <v>312088.789276917</v>
      </c>
      <c r="Y55" s="19"/>
      <c r="Z55" s="19">
        <f t="shared" si="24"/>
        <v>-2628025.4096616432</v>
      </c>
      <c r="AA55" s="19"/>
      <c r="AB55" s="19">
        <f t="shared" si="25"/>
        <v>-51046488.903973095</v>
      </c>
      <c r="AC55" s="13"/>
      <c r="AD55" s="19"/>
      <c r="AE55" s="19"/>
      <c r="AF55" s="19">
        <f>BB53/100*AF25</f>
        <v>7271190295.8232613</v>
      </c>
      <c r="AG55" s="33">
        <f t="shared" si="22"/>
        <v>1.0189811705049083E-2</v>
      </c>
      <c r="AH55" s="33"/>
      <c r="AI55" s="33">
        <f t="shared" si="28"/>
        <v>-7.0551819363518431E-3</v>
      </c>
      <c r="AV55" s="26">
        <v>12277444</v>
      </c>
      <c r="AX55" s="26">
        <f t="shared" si="26"/>
        <v>1.2723209716516515E-3</v>
      </c>
      <c r="AY55" s="45">
        <v>7684.8244292565196</v>
      </c>
      <c r="AZ55" s="33">
        <f t="shared" si="27"/>
        <v>6.767767978290584E-3</v>
      </c>
      <c r="BA55" s="26">
        <f t="shared" si="20"/>
        <v>115.7257603116234</v>
      </c>
      <c r="BB55" s="26">
        <f t="shared" si="21"/>
        <v>128.03076429397811</v>
      </c>
      <c r="BD55" s="33">
        <f t="shared" si="23"/>
        <v>9.7146892728152637E-3</v>
      </c>
    </row>
    <row r="56" spans="1:56" s="26" customFormat="1">
      <c r="A56" s="34">
        <f t="shared" si="29"/>
        <v>2026</v>
      </c>
      <c r="B56" s="34">
        <f t="shared" si="30"/>
        <v>1</v>
      </c>
      <c r="C56" s="18"/>
      <c r="D56" s="46">
        <v>117214612.879162</v>
      </c>
      <c r="E56" s="18"/>
      <c r="F56" s="46">
        <v>21305143.386535101</v>
      </c>
      <c r="G56" s="46">
        <v>1503983.72353154</v>
      </c>
      <c r="H56" s="46">
        <v>8274474.6999320602</v>
      </c>
      <c r="I56" s="46">
        <v>46514.960521594199</v>
      </c>
      <c r="J56" s="46">
        <v>255911.588657694</v>
      </c>
      <c r="K56" s="18"/>
      <c r="L56" s="46">
        <v>2862033.1386078298</v>
      </c>
      <c r="M56" s="38"/>
      <c r="N56" s="46">
        <v>945104.52650545898</v>
      </c>
      <c r="O56" s="18"/>
      <c r="P56" s="46">
        <v>20050789.815685399</v>
      </c>
      <c r="Q56" s="38"/>
      <c r="R56" s="46">
        <v>18810478.588901799</v>
      </c>
      <c r="S56" s="38"/>
      <c r="T56" s="46">
        <v>71923495.220823303</v>
      </c>
      <c r="U56" s="18"/>
      <c r="V56" s="46">
        <v>124261.710320097</v>
      </c>
      <c r="W56" s="38"/>
      <c r="X56" s="46">
        <v>312109.59067890502</v>
      </c>
      <c r="Y56" s="18"/>
      <c r="Z56" s="18">
        <f t="shared" si="24"/>
        <v>-6177540.7524264939</v>
      </c>
      <c r="AA56" s="18"/>
      <c r="AB56" s="18">
        <f t="shared" si="25"/>
        <v>-65341907.474024095</v>
      </c>
      <c r="AC56" s="13"/>
      <c r="AD56" s="19"/>
      <c r="AE56" s="19"/>
      <c r="AF56" s="19">
        <f>BB54/100*AF25</f>
        <v>7299210301.4811563</v>
      </c>
      <c r="AG56" s="33">
        <f t="shared" si="22"/>
        <v>3.8535651685516225E-3</v>
      </c>
      <c r="AH56" s="33"/>
      <c r="AI56" s="33">
        <f t="shared" si="28"/>
        <v>-8.8282711904361828E-3</v>
      </c>
      <c r="AT56" s="34"/>
      <c r="AU56" s="34"/>
      <c r="AV56" s="34">
        <v>12341823</v>
      </c>
      <c r="AW56" s="34"/>
      <c r="AX56" s="34">
        <f t="shared" si="26"/>
        <v>5.2436810137354321E-3</v>
      </c>
      <c r="AY56" s="48">
        <v>7768.2171880702099</v>
      </c>
      <c r="AZ56" s="28">
        <f t="shared" si="27"/>
        <v>1.0851615359774493E-2</v>
      </c>
      <c r="BA56" s="34">
        <f t="shared" ref="BA56:BA87" si="31">BA55*((1+AZ56))</f>
        <v>116.98157174974259</v>
      </c>
      <c r="BB56" s="34">
        <f t="shared" ref="BB56:BB87" si="32">BB55*(1+AX56)*(1+AZ56)</f>
        <v>130.09874264918622</v>
      </c>
      <c r="BC56" s="34"/>
      <c r="BD56" s="33">
        <f t="shared" si="23"/>
        <v>1.1526412479566378E-2</v>
      </c>
    </row>
    <row r="57" spans="1:56" s="26" customFormat="1">
      <c r="A57" s="26">
        <f t="shared" si="29"/>
        <v>2026</v>
      </c>
      <c r="B57" s="26">
        <f t="shared" si="30"/>
        <v>2</v>
      </c>
      <c r="C57" s="19"/>
      <c r="D57" s="43">
        <v>117472296.292283</v>
      </c>
      <c r="E57" s="19"/>
      <c r="F57" s="43">
        <v>21351980.397126399</v>
      </c>
      <c r="G57" s="43">
        <v>1600549.44138594</v>
      </c>
      <c r="H57" s="43">
        <v>8805750.7880740091</v>
      </c>
      <c r="I57" s="43">
        <v>49501.529115028898</v>
      </c>
      <c r="J57" s="43">
        <v>272342.80787857698</v>
      </c>
      <c r="K57" s="19"/>
      <c r="L57" s="43">
        <v>2225495.9086493002</v>
      </c>
      <c r="M57" s="27"/>
      <c r="N57" s="43">
        <v>951190.19936189102</v>
      </c>
      <c r="O57" s="19"/>
      <c r="P57" s="43">
        <v>16781276.679952201</v>
      </c>
      <c r="Q57" s="27"/>
      <c r="R57" s="43">
        <v>22611914.5654465</v>
      </c>
      <c r="S57" s="27"/>
      <c r="T57" s="43">
        <v>86458615.154060394</v>
      </c>
      <c r="U57" s="19"/>
      <c r="V57" s="43">
        <v>121125.616561535</v>
      </c>
      <c r="W57" s="27"/>
      <c r="X57" s="43">
        <v>304232.62731831602</v>
      </c>
      <c r="Y57" s="19"/>
      <c r="Z57" s="19">
        <f t="shared" si="24"/>
        <v>-1795626.3231295533</v>
      </c>
      <c r="AA57" s="19"/>
      <c r="AB57" s="19">
        <f t="shared" si="25"/>
        <v>-47794957.818174809</v>
      </c>
      <c r="AC57" s="13"/>
      <c r="AD57" s="19"/>
      <c r="AE57" s="19"/>
      <c r="AF57" s="19">
        <f>BB55/100*AF25</f>
        <v>7357959453.4133348</v>
      </c>
      <c r="AG57" s="33">
        <f t="shared" si="22"/>
        <v>8.0486997230723861E-3</v>
      </c>
      <c r="AH57" s="33">
        <f>(AF57-AF53)/AF53</f>
        <v>3.2493301306431306E-2</v>
      </c>
      <c r="AI57" s="33">
        <f t="shared" si="28"/>
        <v>-6.9375876867998759E-3</v>
      </c>
      <c r="AV57" s="26">
        <v>12411382</v>
      </c>
      <c r="AX57" s="26">
        <f t="shared" si="26"/>
        <v>5.6360393436204687E-3</v>
      </c>
      <c r="AY57" s="45">
        <v>7797.65097745208</v>
      </c>
      <c r="AZ57" s="33">
        <f t="shared" si="27"/>
        <v>3.7890018609510754E-3</v>
      </c>
      <c r="BA57" s="26">
        <f t="shared" si="31"/>
        <v>117.42481514279933</v>
      </c>
      <c r="BB57" s="26">
        <f t="shared" si="32"/>
        <v>131.32770691322639</v>
      </c>
      <c r="BD57" s="33">
        <f t="shared" si="23"/>
        <v>9.7065765288761336E-3</v>
      </c>
    </row>
    <row r="58" spans="1:56" s="34" customFormat="1">
      <c r="A58" s="26">
        <f t="shared" si="29"/>
        <v>2026</v>
      </c>
      <c r="B58" s="26">
        <f t="shared" si="30"/>
        <v>3</v>
      </c>
      <c r="C58" s="19"/>
      <c r="D58" s="43">
        <v>117758015.099354</v>
      </c>
      <c r="E58" s="19"/>
      <c r="F58" s="43">
        <v>21403913.172429301</v>
      </c>
      <c r="G58" s="43">
        <v>1717185.53617421</v>
      </c>
      <c r="H58" s="43">
        <v>9447448.1683875602</v>
      </c>
      <c r="I58" s="43">
        <v>53108.8310156972</v>
      </c>
      <c r="J58" s="43">
        <v>292189.11860992498</v>
      </c>
      <c r="K58" s="19"/>
      <c r="L58" s="43">
        <v>2193990.16641965</v>
      </c>
      <c r="M58" s="27"/>
      <c r="N58" s="43">
        <v>955740.55992256897</v>
      </c>
      <c r="O58" s="19"/>
      <c r="P58" s="43">
        <v>16642827.974982001</v>
      </c>
      <c r="Q58" s="27"/>
      <c r="R58" s="43">
        <v>19236627.299846999</v>
      </c>
      <c r="S58" s="27"/>
      <c r="T58" s="43">
        <v>73552911.752155498</v>
      </c>
      <c r="U58" s="19"/>
      <c r="V58" s="43">
        <v>123405.938131936</v>
      </c>
      <c r="W58" s="27"/>
      <c r="X58" s="43">
        <v>309960.137668212</v>
      </c>
      <c r="Y58" s="19"/>
      <c r="Z58" s="19">
        <f t="shared" si="24"/>
        <v>-5193610.6607925836</v>
      </c>
      <c r="AA58" s="19"/>
      <c r="AB58" s="19">
        <f t="shared" si="25"/>
        <v>-60847931.322180502</v>
      </c>
      <c r="AC58" s="13"/>
      <c r="AD58" s="18"/>
      <c r="AE58" s="18"/>
      <c r="AF58" s="18">
        <f>BB56/100*AF25</f>
        <v>7476806677.1416817</v>
      </c>
      <c r="AG58" s="28">
        <f t="shared" ref="AG58:AG89" si="33">(AF58-AF57)/AF57</f>
        <v>1.6152198782940285E-2</v>
      </c>
      <c r="AH58" s="28"/>
      <c r="AI58" s="28">
        <f t="shared" si="28"/>
        <v>-8.7392800557207582E-3</v>
      </c>
      <c r="AT58" s="26"/>
      <c r="AU58" s="26"/>
      <c r="AV58" s="26">
        <v>12416671</v>
      </c>
      <c r="AW58" s="26"/>
      <c r="AX58" s="26">
        <f t="shared" si="26"/>
        <v>4.261411017725504E-4</v>
      </c>
      <c r="AY58" s="45">
        <v>7827.8194889459201</v>
      </c>
      <c r="AZ58" s="33">
        <f t="shared" si="27"/>
        <v>3.8689230360625503E-3</v>
      </c>
      <c r="BA58" s="26">
        <f t="shared" si="31"/>
        <v>117.87912271511068</v>
      </c>
      <c r="BB58" s="26">
        <f t="shared" si="32"/>
        <v>131.89198435841962</v>
      </c>
      <c r="BC58" s="26"/>
      <c r="BD58" s="28">
        <f t="shared" si="23"/>
        <v>1.1535727777980185E-2</v>
      </c>
    </row>
    <row r="59" spans="1:56" s="26" customFormat="1">
      <c r="A59" s="26">
        <f t="shared" si="29"/>
        <v>2026</v>
      </c>
      <c r="B59" s="26">
        <f t="shared" si="30"/>
        <v>4</v>
      </c>
      <c r="C59" s="19"/>
      <c r="D59" s="43">
        <v>118450154.089608</v>
      </c>
      <c r="E59" s="19"/>
      <c r="F59" s="43">
        <v>21529717.626913</v>
      </c>
      <c r="G59" s="43">
        <v>1789924.7535281801</v>
      </c>
      <c r="H59" s="43">
        <v>9847637.8807303403</v>
      </c>
      <c r="I59" s="43">
        <v>55358.497531798901</v>
      </c>
      <c r="J59" s="43">
        <v>304566.12002258498</v>
      </c>
      <c r="K59" s="19"/>
      <c r="L59" s="43">
        <v>2225136.5365762198</v>
      </c>
      <c r="M59" s="27"/>
      <c r="N59" s="43">
        <v>964919.65566364303</v>
      </c>
      <c r="O59" s="19"/>
      <c r="P59" s="43">
        <v>16854947.314284399</v>
      </c>
      <c r="Q59" s="27"/>
      <c r="R59" s="43">
        <v>22918958.089906398</v>
      </c>
      <c r="S59" s="27"/>
      <c r="T59" s="43">
        <v>87632622.681817099</v>
      </c>
      <c r="U59" s="19"/>
      <c r="V59" s="43">
        <v>127788.290327674</v>
      </c>
      <c r="W59" s="27"/>
      <c r="X59" s="43">
        <v>320967.34291670902</v>
      </c>
      <c r="Y59" s="19"/>
      <c r="Z59" s="19">
        <f t="shared" si="24"/>
        <v>-1673027.438918788</v>
      </c>
      <c r="AA59" s="19"/>
      <c r="AB59" s="19">
        <f t="shared" si="25"/>
        <v>-47672478.722075298</v>
      </c>
      <c r="AC59" s="13"/>
      <c r="AD59" s="19"/>
      <c r="AE59" s="19"/>
      <c r="AF59" s="19">
        <f>BB57/100*AF25</f>
        <v>7547435555.086503</v>
      </c>
      <c r="AG59" s="33">
        <f t="shared" si="33"/>
        <v>9.4463961681328593E-3</v>
      </c>
      <c r="AH59" s="33"/>
      <c r="AI59" s="33">
        <f t="shared" si="28"/>
        <v>-6.3326089331049639E-3</v>
      </c>
      <c r="AV59" s="26">
        <v>12426579</v>
      </c>
      <c r="AX59" s="26">
        <f t="shared" si="26"/>
        <v>7.9795945306113049E-4</v>
      </c>
      <c r="AY59" s="45">
        <v>7883.2896676289502</v>
      </c>
      <c r="AZ59" s="33">
        <f t="shared" si="27"/>
        <v>7.0862874088195938E-3</v>
      </c>
      <c r="BA59" s="26">
        <f t="shared" si="31"/>
        <v>118.71444805816947</v>
      </c>
      <c r="BB59" s="26">
        <f t="shared" si="32"/>
        <v>132.932599114666</v>
      </c>
      <c r="BD59" s="33">
        <f t="shared" si="23"/>
        <v>9.7534799448283881E-3</v>
      </c>
    </row>
    <row r="60" spans="1:56" s="26" customFormat="1">
      <c r="A60" s="34">
        <f t="shared" si="29"/>
        <v>2027</v>
      </c>
      <c r="B60" s="34">
        <f t="shared" si="30"/>
        <v>1</v>
      </c>
      <c r="C60" s="18"/>
      <c r="D60" s="46">
        <v>118678574.336273</v>
      </c>
      <c r="E60" s="18"/>
      <c r="F60" s="46">
        <v>21571235.710606299</v>
      </c>
      <c r="G60" s="46">
        <v>1890361.7020975701</v>
      </c>
      <c r="H60" s="46">
        <v>10400212.3380685</v>
      </c>
      <c r="I60" s="46">
        <v>58464.794910234203</v>
      </c>
      <c r="J60" s="46">
        <v>321656.05169283901</v>
      </c>
      <c r="K60" s="18"/>
      <c r="L60" s="46">
        <v>2793430.7242756598</v>
      </c>
      <c r="M60" s="38"/>
      <c r="N60" s="46">
        <v>969509.87003154703</v>
      </c>
      <c r="O60" s="18"/>
      <c r="P60" s="46">
        <v>19829082.560933702</v>
      </c>
      <c r="Q60" s="38"/>
      <c r="R60" s="46">
        <v>19513786.4015809</v>
      </c>
      <c r="S60" s="38"/>
      <c r="T60" s="46">
        <v>74612653.599485397</v>
      </c>
      <c r="U60" s="18"/>
      <c r="V60" s="46">
        <v>126930.972259573</v>
      </c>
      <c r="W60" s="38"/>
      <c r="X60" s="46">
        <v>318814.00710129697</v>
      </c>
      <c r="Y60" s="18"/>
      <c r="Z60" s="18">
        <f t="shared" si="24"/>
        <v>-5693458.9310730323</v>
      </c>
      <c r="AA60" s="18"/>
      <c r="AB60" s="18">
        <f t="shared" si="25"/>
        <v>-63895003.297721304</v>
      </c>
      <c r="AC60" s="13"/>
      <c r="AD60" s="19"/>
      <c r="AE60" s="19"/>
      <c r="AF60" s="19">
        <f>BB58/100*AF25</f>
        <v>7579864718.3825521</v>
      </c>
      <c r="AG60" s="33">
        <f t="shared" si="33"/>
        <v>4.2967128449601499E-3</v>
      </c>
      <c r="AH60" s="33"/>
      <c r="AI60" s="33">
        <f t="shared" si="28"/>
        <v>-8.0275748424128452E-3</v>
      </c>
      <c r="AT60" s="34"/>
      <c r="AU60" s="34"/>
      <c r="AV60" s="34">
        <v>12455121</v>
      </c>
      <c r="AW60" s="34"/>
      <c r="AX60" s="34">
        <f t="shared" si="26"/>
        <v>2.2968509675913218E-3</v>
      </c>
      <c r="AY60" s="48">
        <v>7907.1530002130403</v>
      </c>
      <c r="AZ60" s="28">
        <f t="shared" si="27"/>
        <v>3.0270779826954506E-3</v>
      </c>
      <c r="BA60" s="34">
        <f t="shared" si="31"/>
        <v>119.07380595011421</v>
      </c>
      <c r="BB60" s="34">
        <f t="shared" si="32"/>
        <v>133.64124707425827</v>
      </c>
      <c r="BC60" s="34"/>
      <c r="BD60" s="33">
        <f t="shared" si="23"/>
        <v>1.1582930652897228E-2</v>
      </c>
    </row>
    <row r="61" spans="1:56" s="26" customFormat="1">
      <c r="A61" s="26">
        <f t="shared" si="29"/>
        <v>2027</v>
      </c>
      <c r="B61" s="26">
        <f t="shared" si="30"/>
        <v>2</v>
      </c>
      <c r="C61" s="19"/>
      <c r="D61" s="43">
        <v>119125944.65721899</v>
      </c>
      <c r="E61" s="19"/>
      <c r="F61" s="43">
        <v>21652550.562061399</v>
      </c>
      <c r="G61" s="43">
        <v>1965811.7960905901</v>
      </c>
      <c r="H61" s="43">
        <v>10815316.4938414</v>
      </c>
      <c r="I61" s="43">
        <v>60798.302971874102</v>
      </c>
      <c r="J61" s="43">
        <v>334494.32455179602</v>
      </c>
      <c r="K61" s="19"/>
      <c r="L61" s="43">
        <v>2276755.2665071301</v>
      </c>
      <c r="M61" s="27"/>
      <c r="N61" s="43">
        <v>975609.53843368997</v>
      </c>
      <c r="O61" s="19"/>
      <c r="P61" s="43">
        <v>17181609.730256401</v>
      </c>
      <c r="Q61" s="27"/>
      <c r="R61" s="43">
        <v>23246128.525914799</v>
      </c>
      <c r="S61" s="27"/>
      <c r="T61" s="43">
        <v>88883587.200312793</v>
      </c>
      <c r="U61" s="19"/>
      <c r="V61" s="43">
        <v>125555.414462631</v>
      </c>
      <c r="W61" s="27"/>
      <c r="X61" s="43">
        <v>315359.00249969598</v>
      </c>
      <c r="Y61" s="19"/>
      <c r="Z61" s="19">
        <f t="shared" si="24"/>
        <v>-1533231.4266247898</v>
      </c>
      <c r="AA61" s="19"/>
      <c r="AB61" s="19">
        <f t="shared" si="25"/>
        <v>-47423967.187162608</v>
      </c>
      <c r="AC61" s="13"/>
      <c r="AD61" s="19"/>
      <c r="AE61" s="19"/>
      <c r="AF61" s="19">
        <f>BB59/100*AF25</f>
        <v>7639669103.8777704</v>
      </c>
      <c r="AG61" s="33">
        <f t="shared" si="33"/>
        <v>7.8899014319057381E-3</v>
      </c>
      <c r="AH61" s="33">
        <f>(AF61-AF57)/AF57</f>
        <v>3.8286382555934216E-2</v>
      </c>
      <c r="AI61" s="33">
        <f t="shared" si="28"/>
        <v>-6.240123501929885E-3</v>
      </c>
      <c r="AV61" s="26">
        <v>12434257</v>
      </c>
      <c r="AX61" s="26">
        <f t="shared" si="26"/>
        <v>-1.6751342680653204E-3</v>
      </c>
      <c r="AY61" s="45">
        <v>7952.2879759262296</v>
      </c>
      <c r="AZ61" s="33">
        <f t="shared" si="27"/>
        <v>5.708119687575698E-3</v>
      </c>
      <c r="BA61" s="26">
        <f t="shared" si="31"/>
        <v>119.75349348613261</v>
      </c>
      <c r="BB61" s="26">
        <f t="shared" si="32"/>
        <v>134.17894241533776</v>
      </c>
      <c r="BD61" s="33">
        <f t="shared" si="23"/>
        <v>9.7895828322218312E-3</v>
      </c>
    </row>
    <row r="62" spans="1:56" s="34" customFormat="1">
      <c r="A62" s="26">
        <f t="shared" si="29"/>
        <v>2027</v>
      </c>
      <c r="B62" s="26">
        <f t="shared" si="30"/>
        <v>3</v>
      </c>
      <c r="C62" s="19"/>
      <c r="D62" s="43">
        <v>119647683.944787</v>
      </c>
      <c r="E62" s="19"/>
      <c r="F62" s="43">
        <v>21747382.8535221</v>
      </c>
      <c r="G62" s="43">
        <v>2106849.12983935</v>
      </c>
      <c r="H62" s="43">
        <v>11591262.2913861</v>
      </c>
      <c r="I62" s="43">
        <v>65160.282366165397</v>
      </c>
      <c r="J62" s="43">
        <v>358492.64818719903</v>
      </c>
      <c r="K62" s="19"/>
      <c r="L62" s="43">
        <v>2265163.82508526</v>
      </c>
      <c r="M62" s="27"/>
      <c r="N62" s="43">
        <v>982469.620174043</v>
      </c>
      <c r="O62" s="19"/>
      <c r="P62" s="43">
        <v>17159203.831298999</v>
      </c>
      <c r="Q62" s="27"/>
      <c r="R62" s="43">
        <v>19850419.6674679</v>
      </c>
      <c r="S62" s="27"/>
      <c r="T62" s="43">
        <v>75899800.068181694</v>
      </c>
      <c r="U62" s="19"/>
      <c r="V62" s="43">
        <v>130385.320877028</v>
      </c>
      <c r="W62" s="27"/>
      <c r="X62" s="43">
        <v>327490.33491200302</v>
      </c>
      <c r="Y62" s="19"/>
      <c r="Z62" s="19">
        <f t="shared" si="24"/>
        <v>-5014211.310436476</v>
      </c>
      <c r="AA62" s="19"/>
      <c r="AB62" s="19">
        <f t="shared" si="25"/>
        <v>-60907087.707904302</v>
      </c>
      <c r="AC62" s="13"/>
      <c r="AD62" s="18"/>
      <c r="AE62" s="18"/>
      <c r="AF62" s="18">
        <f>BB60/100*AF25</f>
        <v>7680395276.076911</v>
      </c>
      <c r="AG62" s="28">
        <f t="shared" si="33"/>
        <v>5.3308816972803983E-3</v>
      </c>
      <c r="AH62" s="28"/>
      <c r="AI62" s="28">
        <f t="shared" si="28"/>
        <v>-8.3192337114136646E-3</v>
      </c>
      <c r="AT62" s="26"/>
      <c r="AU62" s="26"/>
      <c r="AV62" s="26">
        <v>12538138</v>
      </c>
      <c r="AW62" s="26"/>
      <c r="AX62" s="26">
        <f t="shared" si="26"/>
        <v>8.3544195684551164E-3</v>
      </c>
      <c r="AY62" s="45">
        <v>7996.9802759324903</v>
      </c>
      <c r="AZ62" s="33">
        <f t="shared" si="27"/>
        <v>5.6200555288687471E-3</v>
      </c>
      <c r="BA62" s="26">
        <f t="shared" si="31"/>
        <v>120.42651476930071</v>
      </c>
      <c r="BB62" s="26">
        <f t="shared" si="32"/>
        <v>136.06032271491722</v>
      </c>
      <c r="BC62" s="26"/>
      <c r="BD62" s="28">
        <f t="shared" si="23"/>
        <v>1.162056326958248E-2</v>
      </c>
    </row>
    <row r="63" spans="1:56" s="26" customFormat="1">
      <c r="A63" s="26">
        <f t="shared" si="29"/>
        <v>2027</v>
      </c>
      <c r="B63" s="26">
        <f t="shared" si="30"/>
        <v>4</v>
      </c>
      <c r="C63" s="19"/>
      <c r="D63" s="43">
        <v>119725475.162683</v>
      </c>
      <c r="E63" s="19"/>
      <c r="F63" s="43">
        <v>21761522.328207001</v>
      </c>
      <c r="G63" s="43">
        <v>2204514.0255828202</v>
      </c>
      <c r="H63" s="43">
        <v>12128585.7319638</v>
      </c>
      <c r="I63" s="43">
        <v>68180.846152046201</v>
      </c>
      <c r="J63" s="43">
        <v>375110.898926717</v>
      </c>
      <c r="K63" s="19"/>
      <c r="L63" s="43">
        <v>2178766.2355817999</v>
      </c>
      <c r="M63" s="27"/>
      <c r="N63" s="43">
        <v>985298.47533922596</v>
      </c>
      <c r="O63" s="19"/>
      <c r="P63" s="43">
        <v>16726449.855120299</v>
      </c>
      <c r="Q63" s="27"/>
      <c r="R63" s="43">
        <v>23801509.307615999</v>
      </c>
      <c r="S63" s="27"/>
      <c r="T63" s="43">
        <v>91007133.754943997</v>
      </c>
      <c r="U63" s="19"/>
      <c r="V63" s="43">
        <v>129609.16062588101</v>
      </c>
      <c r="W63" s="27"/>
      <c r="X63" s="43">
        <v>325540.84413433098</v>
      </c>
      <c r="Y63" s="19"/>
      <c r="Z63" s="19">
        <f t="shared" si="24"/>
        <v>-994468.57088614628</v>
      </c>
      <c r="AA63" s="19"/>
      <c r="AB63" s="19">
        <f t="shared" si="25"/>
        <v>-45444791.2628593</v>
      </c>
      <c r="AC63" s="13"/>
      <c r="AD63" s="19"/>
      <c r="AE63" s="19"/>
      <c r="AF63" s="19">
        <f>BB61/100*AF25</f>
        <v>7711296759.3240757</v>
      </c>
      <c r="AG63" s="33">
        <f t="shared" si="33"/>
        <v>4.0234235526155071E-3</v>
      </c>
      <c r="AH63" s="33"/>
      <c r="AI63" s="33">
        <f t="shared" si="28"/>
        <v>-6.1499341378374725E-3</v>
      </c>
      <c r="AV63" s="26">
        <v>12596838</v>
      </c>
      <c r="AX63" s="26">
        <f t="shared" si="26"/>
        <v>4.6817158975280063E-3</v>
      </c>
      <c r="AY63" s="45">
        <v>8030.7002312528903</v>
      </c>
      <c r="AZ63" s="33">
        <f t="shared" si="27"/>
        <v>4.2165860308400072E-3</v>
      </c>
      <c r="BA63" s="26">
        <f t="shared" si="31"/>
        <v>120.9343035292197</v>
      </c>
      <c r="BB63" s="26">
        <f t="shared" si="32"/>
        <v>137.27371449439605</v>
      </c>
      <c r="BD63" s="33">
        <f t="shared" si="23"/>
        <v>9.81477911814292E-3</v>
      </c>
    </row>
    <row r="64" spans="1:56" s="26" customFormat="1">
      <c r="A64" s="34">
        <f t="shared" si="29"/>
        <v>2028</v>
      </c>
      <c r="B64" s="34">
        <f t="shared" si="30"/>
        <v>1</v>
      </c>
      <c r="C64" s="18"/>
      <c r="D64" s="46">
        <v>120340478.420113</v>
      </c>
      <c r="E64" s="18"/>
      <c r="F64" s="46">
        <v>21873306.450176701</v>
      </c>
      <c r="G64" s="46">
        <v>2299806.1720405002</v>
      </c>
      <c r="H64" s="46">
        <v>12652855.006045301</v>
      </c>
      <c r="I64" s="46">
        <v>71128.025939397499</v>
      </c>
      <c r="J64" s="46">
        <v>391325.41255810601</v>
      </c>
      <c r="K64" s="18"/>
      <c r="L64" s="46">
        <v>2752248.2488870602</v>
      </c>
      <c r="M64" s="38"/>
      <c r="N64" s="46">
        <v>993554.25180043594</v>
      </c>
      <c r="O64" s="18"/>
      <c r="P64" s="46">
        <v>19747671.5946218</v>
      </c>
      <c r="Q64" s="38"/>
      <c r="R64" s="46">
        <v>20304786.8823504</v>
      </c>
      <c r="S64" s="38"/>
      <c r="T64" s="46">
        <v>77637112.495063901</v>
      </c>
      <c r="U64" s="18"/>
      <c r="V64" s="46">
        <v>128781.113661475</v>
      </c>
      <c r="W64" s="38"/>
      <c r="X64" s="46">
        <v>323461.02889230801</v>
      </c>
      <c r="Y64" s="18"/>
      <c r="Z64" s="18">
        <f t="shared" si="24"/>
        <v>-5185540.9548523221</v>
      </c>
      <c r="AA64" s="18"/>
      <c r="AB64" s="18">
        <f t="shared" si="25"/>
        <v>-62451037.519670896</v>
      </c>
      <c r="AC64" s="13"/>
      <c r="AD64" s="19"/>
      <c r="AE64" s="19"/>
      <c r="AF64" s="19">
        <f>BB62/100*AF25</f>
        <v>7819420146.9887018</v>
      </c>
      <c r="AG64" s="33">
        <f t="shared" si="33"/>
        <v>1.4021427399210033E-2</v>
      </c>
      <c r="AH64" s="33"/>
      <c r="AI64" s="33">
        <f t="shared" si="28"/>
        <v>-7.7892077114387987E-3</v>
      </c>
      <c r="AT64" s="34"/>
      <c r="AU64" s="34"/>
      <c r="AV64" s="34">
        <v>12668660</v>
      </c>
      <c r="AW64" s="34"/>
      <c r="AX64" s="34">
        <f t="shared" si="26"/>
        <v>5.7015895576334316E-3</v>
      </c>
      <c r="AY64" s="48">
        <v>8056.81923889276</v>
      </c>
      <c r="AZ64" s="28">
        <f t="shared" si="27"/>
        <v>3.2523947959385959E-3</v>
      </c>
      <c r="BA64" s="34">
        <f t="shared" si="31"/>
        <v>121.3276296286686</v>
      </c>
      <c r="BB64" s="34">
        <f t="shared" si="32"/>
        <v>138.50540676521615</v>
      </c>
      <c r="BC64" s="34"/>
      <c r="BD64" s="33">
        <f t="shared" si="23"/>
        <v>1.1633253213541091E-2</v>
      </c>
    </row>
    <row r="65" spans="1:56" s="26" customFormat="1">
      <c r="A65" s="26">
        <f t="shared" si="29"/>
        <v>2028</v>
      </c>
      <c r="B65" s="26">
        <f t="shared" si="30"/>
        <v>2</v>
      </c>
      <c r="C65" s="19"/>
      <c r="D65" s="43">
        <v>121427872.071923</v>
      </c>
      <c r="E65" s="19"/>
      <c r="F65" s="43">
        <v>22070953.118116599</v>
      </c>
      <c r="G65" s="43">
        <v>2351713.37540296</v>
      </c>
      <c r="H65" s="43">
        <v>12938433.123844599</v>
      </c>
      <c r="I65" s="43">
        <v>72733.403362977799</v>
      </c>
      <c r="J65" s="43">
        <v>400157.72547972802</v>
      </c>
      <c r="K65" s="19"/>
      <c r="L65" s="43">
        <v>2141073.06406736</v>
      </c>
      <c r="M65" s="27"/>
      <c r="N65" s="43">
        <v>1006093.49393687</v>
      </c>
      <c r="O65" s="19"/>
      <c r="P65" s="43">
        <v>16645267.865747901</v>
      </c>
      <c r="Q65" s="27"/>
      <c r="R65" s="43">
        <v>24265927.236996599</v>
      </c>
      <c r="S65" s="27"/>
      <c r="T65" s="43">
        <v>92782875.959822193</v>
      </c>
      <c r="U65" s="19"/>
      <c r="V65" s="43">
        <v>127258.300090426</v>
      </c>
      <c r="W65" s="27"/>
      <c r="X65" s="43">
        <v>319636.16024116799</v>
      </c>
      <c r="Y65" s="19"/>
      <c r="Z65" s="19">
        <f t="shared" si="24"/>
        <v>-824934.13903380558</v>
      </c>
      <c r="AA65" s="19"/>
      <c r="AB65" s="19">
        <f t="shared" si="25"/>
        <v>-45290263.977848709</v>
      </c>
      <c r="AC65" s="13"/>
      <c r="AD65" s="19"/>
      <c r="AE65" s="19"/>
      <c r="AF65" s="19">
        <f>BB63/100*AF25</f>
        <v>7889154070.4229956</v>
      </c>
      <c r="AG65" s="33">
        <f t="shared" si="33"/>
        <v>8.9180427862222793E-3</v>
      </c>
      <c r="AH65" s="33">
        <f>(AF65-AF61)/AF61</f>
        <v>3.2656514719805164E-2</v>
      </c>
      <c r="AI65" s="33">
        <f t="shared" si="28"/>
        <v>-5.7604137094032781E-3</v>
      </c>
      <c r="AV65" s="26">
        <v>12668432</v>
      </c>
      <c r="AX65" s="26">
        <f t="shared" si="26"/>
        <v>-1.7997167814117675E-5</v>
      </c>
      <c r="AY65" s="45">
        <v>8107.9494191315398</v>
      </c>
      <c r="AZ65" s="33">
        <f t="shared" si="27"/>
        <v>6.3461992534173482E-3</v>
      </c>
      <c r="BA65" s="26">
        <f t="shared" si="31"/>
        <v>122.09759894123695</v>
      </c>
      <c r="BB65" s="26">
        <f t="shared" si="32"/>
        <v>139.38188114997217</v>
      </c>
      <c r="BD65" s="33">
        <f t="shared" si="23"/>
        <v>9.8490495730966538E-3</v>
      </c>
    </row>
    <row r="66" spans="1:56" s="34" customFormat="1">
      <c r="A66" s="26">
        <f t="shared" si="29"/>
        <v>2028</v>
      </c>
      <c r="B66" s="26">
        <f t="shared" si="30"/>
        <v>3</v>
      </c>
      <c r="C66" s="19"/>
      <c r="D66" s="43">
        <v>121411182.2147</v>
      </c>
      <c r="E66" s="19"/>
      <c r="F66" s="43">
        <v>22067919.539004698</v>
      </c>
      <c r="G66" s="43">
        <v>2440718.3565177699</v>
      </c>
      <c r="H66" s="43">
        <v>13428112.269223301</v>
      </c>
      <c r="I66" s="43">
        <v>75486.134737662505</v>
      </c>
      <c r="J66" s="43">
        <v>415302.44131618302</v>
      </c>
      <c r="K66" s="19"/>
      <c r="L66" s="43">
        <v>2190452.2630682099</v>
      </c>
      <c r="M66" s="27"/>
      <c r="N66" s="43">
        <v>1008390.3146750201</v>
      </c>
      <c r="O66" s="19"/>
      <c r="P66" s="43">
        <v>16914133.194131799</v>
      </c>
      <c r="Q66" s="27"/>
      <c r="R66" s="43">
        <v>20680696.6271015</v>
      </c>
      <c r="S66" s="27"/>
      <c r="T66" s="43">
        <v>79074435.984856397</v>
      </c>
      <c r="U66" s="19"/>
      <c r="V66" s="43">
        <v>132089.342218153</v>
      </c>
      <c r="W66" s="27"/>
      <c r="X66" s="43">
        <v>331770.34523792402</v>
      </c>
      <c r="Y66" s="19"/>
      <c r="Z66" s="19">
        <f t="shared" si="24"/>
        <v>-4453976.1474282779</v>
      </c>
      <c r="AA66" s="19"/>
      <c r="AB66" s="19">
        <f t="shared" si="25"/>
        <v>-59250879.423975401</v>
      </c>
      <c r="AC66" s="13"/>
      <c r="AD66" s="18"/>
      <c r="AE66" s="18"/>
      <c r="AF66" s="18">
        <f>BB64/100*AF25</f>
        <v>7959939727.5871391</v>
      </c>
      <c r="AG66" s="28">
        <f t="shared" si="33"/>
        <v>8.972528173777727E-3</v>
      </c>
      <c r="AH66" s="28"/>
      <c r="AI66" s="28">
        <f t="shared" si="28"/>
        <v>-7.8456671352964379E-3</v>
      </c>
      <c r="AT66" s="26"/>
      <c r="AU66" s="26"/>
      <c r="AV66" s="26">
        <v>12724071</v>
      </c>
      <c r="AW66" s="26"/>
      <c r="AX66" s="26">
        <f t="shared" si="26"/>
        <v>4.3919405337614001E-3</v>
      </c>
      <c r="AY66" s="45">
        <v>8140.1115272217903</v>
      </c>
      <c r="AZ66" s="33">
        <f t="shared" si="27"/>
        <v>3.9667376333602572E-3</v>
      </c>
      <c r="BA66" s="26">
        <f t="shared" si="31"/>
        <v>122.58192808190009</v>
      </c>
      <c r="BB66" s="26">
        <f t="shared" si="32"/>
        <v>140.54935770277842</v>
      </c>
      <c r="BC66" s="26"/>
      <c r="BD66" s="28">
        <f t="shared" si="23"/>
        <v>1.1731928942738811E-2</v>
      </c>
    </row>
    <row r="67" spans="1:56" s="26" customFormat="1">
      <c r="A67" s="26">
        <f t="shared" si="29"/>
        <v>2028</v>
      </c>
      <c r="B67" s="26">
        <f t="shared" si="30"/>
        <v>4</v>
      </c>
      <c r="C67" s="19"/>
      <c r="D67" s="43">
        <v>121814798.52838001</v>
      </c>
      <c r="E67" s="19"/>
      <c r="F67" s="43">
        <v>22141281.581713099</v>
      </c>
      <c r="G67" s="43">
        <v>2537523.1649225499</v>
      </c>
      <c r="H67" s="43">
        <v>13960703.7630304</v>
      </c>
      <c r="I67" s="43">
        <v>78480.097884202798</v>
      </c>
      <c r="J67" s="43">
        <v>431774.34318650799</v>
      </c>
      <c r="K67" s="19"/>
      <c r="L67" s="43">
        <v>2179324.08613584</v>
      </c>
      <c r="M67" s="27"/>
      <c r="N67" s="43">
        <v>1014197.78880627</v>
      </c>
      <c r="O67" s="19"/>
      <c r="P67" s="43">
        <v>16888340.040316802</v>
      </c>
      <c r="Q67" s="27"/>
      <c r="R67" s="43">
        <v>24657815.6066113</v>
      </c>
      <c r="S67" s="27"/>
      <c r="T67" s="43">
        <v>94281295.106675193</v>
      </c>
      <c r="U67" s="19"/>
      <c r="V67" s="43">
        <v>132526.01088700799</v>
      </c>
      <c r="W67" s="27"/>
      <c r="X67" s="43">
        <v>332867.131039017</v>
      </c>
      <c r="Y67" s="19"/>
      <c r="Z67" s="19">
        <f t="shared" si="24"/>
        <v>-544461.8391568996</v>
      </c>
      <c r="AA67" s="19"/>
      <c r="AB67" s="19">
        <f t="shared" si="25"/>
        <v>-44421843.462021619</v>
      </c>
      <c r="AC67" s="13"/>
      <c r="AD67" s="19"/>
      <c r="AE67" s="19"/>
      <c r="AF67" s="19">
        <f>BB65/100*AF25</f>
        <v>8010310925.6390562</v>
      </c>
      <c r="AG67" s="33">
        <f t="shared" si="33"/>
        <v>6.3280878719901906E-3</v>
      </c>
      <c r="AH67" s="33"/>
      <c r="AI67" s="33">
        <f t="shared" si="28"/>
        <v>-5.6539957560056246E-3</v>
      </c>
      <c r="AV67" s="26">
        <v>12722616</v>
      </c>
      <c r="AX67" s="26">
        <f t="shared" si="26"/>
        <v>-1.1435019499655417E-4</v>
      </c>
      <c r="AY67" s="45">
        <v>8177.2346873950301</v>
      </c>
      <c r="AZ67" s="33">
        <f t="shared" si="27"/>
        <v>4.5605223035451239E-3</v>
      </c>
      <c r="BA67" s="26">
        <f t="shared" si="31"/>
        <v>123.14096569892916</v>
      </c>
      <c r="BB67" s="26">
        <f t="shared" si="32"/>
        <v>141.17419104085673</v>
      </c>
      <c r="BD67" s="33">
        <f t="shared" si="23"/>
        <v>9.9036919369674785E-3</v>
      </c>
    </row>
    <row r="68" spans="1:56" s="26" customFormat="1">
      <c r="A68" s="34">
        <f t="shared" si="29"/>
        <v>2029</v>
      </c>
      <c r="B68" s="34">
        <f t="shared" si="30"/>
        <v>1</v>
      </c>
      <c r="C68" s="18"/>
      <c r="D68" s="46">
        <v>121827526.139634</v>
      </c>
      <c r="E68" s="18"/>
      <c r="F68" s="46">
        <v>22143594.9757182</v>
      </c>
      <c r="G68" s="46">
        <v>2607723.7544404999</v>
      </c>
      <c r="H68" s="46">
        <v>14346926.694035601</v>
      </c>
      <c r="I68" s="46">
        <v>80651.250137334195</v>
      </c>
      <c r="J68" s="46">
        <v>443719.38228975801</v>
      </c>
      <c r="K68" s="18"/>
      <c r="L68" s="46">
        <v>2707880.9109710502</v>
      </c>
      <c r="M68" s="38"/>
      <c r="N68" s="46">
        <v>1016621.87286266</v>
      </c>
      <c r="O68" s="18"/>
      <c r="P68" s="46">
        <v>19644360.5122981</v>
      </c>
      <c r="Q68" s="38"/>
      <c r="R68" s="46">
        <v>20984098.177079901</v>
      </c>
      <c r="S68" s="38"/>
      <c r="T68" s="46">
        <v>80234518.107526794</v>
      </c>
      <c r="U68" s="18"/>
      <c r="V68" s="46">
        <v>136378.164976628</v>
      </c>
      <c r="W68" s="38"/>
      <c r="X68" s="46">
        <v>342542.63150530099</v>
      </c>
      <c r="Y68" s="18"/>
      <c r="Z68" s="18">
        <f t="shared" si="24"/>
        <v>-4747621.4174953811</v>
      </c>
      <c r="AA68" s="18"/>
      <c r="AB68" s="18">
        <f t="shared" si="25"/>
        <v>-61237368.544405304</v>
      </c>
      <c r="AC68" s="13"/>
      <c r="AD68" s="19"/>
      <c r="AE68" s="19"/>
      <c r="AF68" s="19">
        <f>BB66/100*AF25</f>
        <v>8077406089.7250471</v>
      </c>
      <c r="AG68" s="33">
        <f t="shared" si="33"/>
        <v>8.3760998429206548E-3</v>
      </c>
      <c r="AH68" s="33"/>
      <c r="AI68" s="33">
        <f t="shared" si="28"/>
        <v>-7.3353844991582299E-3</v>
      </c>
      <c r="AT68" s="34"/>
      <c r="AU68" s="34"/>
      <c r="AV68" s="34">
        <v>12702127</v>
      </c>
      <c r="AW68" s="34"/>
      <c r="AX68" s="34">
        <f t="shared" si="26"/>
        <v>-1.6104392367104375E-3</v>
      </c>
      <c r="AY68" s="48">
        <v>8252.5618741830294</v>
      </c>
      <c r="AZ68" s="28">
        <f t="shared" si="27"/>
        <v>9.2118166675727257E-3</v>
      </c>
      <c r="BA68" s="34">
        <f t="shared" si="31"/>
        <v>124.27531769921556</v>
      </c>
      <c r="BB68" s="34">
        <f t="shared" si="32"/>
        <v>142.24521502130708</v>
      </c>
      <c r="BC68" s="34"/>
      <c r="BD68" s="33">
        <f t="shared" si="23"/>
        <v>1.1770684654330319E-2</v>
      </c>
    </row>
    <row r="69" spans="1:56" s="26" customFormat="1">
      <c r="A69" s="26">
        <f t="shared" si="29"/>
        <v>2029</v>
      </c>
      <c r="B69" s="26">
        <f t="shared" si="30"/>
        <v>2</v>
      </c>
      <c r="C69" s="19"/>
      <c r="D69" s="43">
        <v>122115839.958956</v>
      </c>
      <c r="E69" s="19"/>
      <c r="F69" s="43">
        <v>22195999.425215501</v>
      </c>
      <c r="G69" s="43">
        <v>2680809.0153120202</v>
      </c>
      <c r="H69" s="43">
        <v>14749020.235712601</v>
      </c>
      <c r="I69" s="43">
        <v>82911.619030269299</v>
      </c>
      <c r="J69" s="43">
        <v>456155.26502204401</v>
      </c>
      <c r="K69" s="19"/>
      <c r="L69" s="43">
        <v>2121888.1146052401</v>
      </c>
      <c r="M69" s="27"/>
      <c r="N69" s="43">
        <v>1020745.3970910501</v>
      </c>
      <c r="O69" s="19"/>
      <c r="P69" s="43">
        <v>16626327.519931599</v>
      </c>
      <c r="Q69" s="27"/>
      <c r="R69" s="43">
        <v>25011457.909079801</v>
      </c>
      <c r="S69" s="27"/>
      <c r="T69" s="43">
        <v>95633477.100943103</v>
      </c>
      <c r="U69" s="19"/>
      <c r="V69" s="43">
        <v>137011.613090561</v>
      </c>
      <c r="W69" s="27"/>
      <c r="X69" s="43">
        <v>344133.67053934198</v>
      </c>
      <c r="Y69" s="19"/>
      <c r="Z69" s="19">
        <f t="shared" si="24"/>
        <v>-190163.41474143043</v>
      </c>
      <c r="AA69" s="19"/>
      <c r="AB69" s="19">
        <f t="shared" si="25"/>
        <v>-43108690.377944499</v>
      </c>
      <c r="AC69" s="13"/>
      <c r="AD69" s="19"/>
      <c r="AE69" s="19"/>
      <c r="AF69" s="19">
        <f>BB67/100*AF25</f>
        <v>8113315415.0506735</v>
      </c>
      <c r="AG69" s="33">
        <f t="shared" si="33"/>
        <v>4.4456506119340987E-3</v>
      </c>
      <c r="AH69" s="33">
        <f>(AF69-AF65)/AF65</f>
        <v>2.8413863213557315E-2</v>
      </c>
      <c r="AI69" s="33">
        <f t="shared" si="28"/>
        <v>-5.4751776788582026E-3</v>
      </c>
      <c r="AV69" s="26">
        <v>12736755</v>
      </c>
      <c r="AX69" s="26">
        <f t="shared" si="26"/>
        <v>2.7261575954956206E-3</v>
      </c>
      <c r="AY69" s="45">
        <v>8276.26697682546</v>
      </c>
      <c r="AZ69" s="33">
        <f t="shared" si="27"/>
        <v>2.8724537911783044E-3</v>
      </c>
      <c r="BA69" s="26">
        <f t="shared" si="31"/>
        <v>124.63229280669057</v>
      </c>
      <c r="BB69" s="26">
        <f t="shared" si="32"/>
        <v>143.04270459020998</v>
      </c>
      <c r="BD69" s="33">
        <f t="shared" si="23"/>
        <v>9.9200791690672654E-3</v>
      </c>
    </row>
    <row r="70" spans="1:56" s="34" customFormat="1">
      <c r="A70" s="26">
        <f t="shared" si="29"/>
        <v>2029</v>
      </c>
      <c r="B70" s="26">
        <f t="shared" si="30"/>
        <v>3</v>
      </c>
      <c r="C70" s="19"/>
      <c r="D70" s="43">
        <v>122316300.930438</v>
      </c>
      <c r="E70" s="19"/>
      <c r="F70" s="43">
        <v>22232435.579684</v>
      </c>
      <c r="G70" s="43">
        <v>2788319.2703871201</v>
      </c>
      <c r="H70" s="43">
        <v>15340509.9384824</v>
      </c>
      <c r="I70" s="43">
        <v>86236.678465581004</v>
      </c>
      <c r="J70" s="43">
        <v>474448.76098398998</v>
      </c>
      <c r="K70" s="19"/>
      <c r="L70" s="43">
        <v>2093376.93647812</v>
      </c>
      <c r="M70" s="27"/>
      <c r="N70" s="43">
        <v>1024696.19750395</v>
      </c>
      <c r="O70" s="19"/>
      <c r="P70" s="43">
        <v>16500119.019290701</v>
      </c>
      <c r="Q70" s="27"/>
      <c r="R70" s="43">
        <v>21327180.564440601</v>
      </c>
      <c r="S70" s="27"/>
      <c r="T70" s="43">
        <v>81546323.351134196</v>
      </c>
      <c r="U70" s="19"/>
      <c r="V70" s="43">
        <v>138693.95695605801</v>
      </c>
      <c r="W70" s="27"/>
      <c r="X70" s="43">
        <v>348359.23329627601</v>
      </c>
      <c r="Y70" s="19"/>
      <c r="Z70" s="19">
        <f t="shared" si="24"/>
        <v>-3884634.1922694109</v>
      </c>
      <c r="AA70" s="19"/>
      <c r="AB70" s="19">
        <f t="shared" si="25"/>
        <v>-57270096.598594502</v>
      </c>
      <c r="AC70" s="13"/>
      <c r="AD70" s="18"/>
      <c r="AE70" s="18"/>
      <c r="AF70" s="18">
        <f>BB68/100*AF25</f>
        <v>8174867426.1258545</v>
      </c>
      <c r="AG70" s="28">
        <f t="shared" si="33"/>
        <v>7.5865423598592552E-3</v>
      </c>
      <c r="AH70" s="28"/>
      <c r="AI70" s="28">
        <f t="shared" si="28"/>
        <v>-7.4909310882153675E-3</v>
      </c>
      <c r="AT70" s="26"/>
      <c r="AU70" s="26"/>
      <c r="AV70" s="26">
        <v>12764110</v>
      </c>
      <c r="AW70" s="26"/>
      <c r="AX70" s="26">
        <f t="shared" si="26"/>
        <v>2.1477212994989699E-3</v>
      </c>
      <c r="AY70" s="45">
        <v>8317.715177565</v>
      </c>
      <c r="AZ70" s="33">
        <f t="shared" si="27"/>
        <v>5.0080792289083839E-3</v>
      </c>
      <c r="BA70" s="26">
        <f t="shared" si="31"/>
        <v>125.25646120354699</v>
      </c>
      <c r="BB70" s="26">
        <f t="shared" si="32"/>
        <v>144.06782821268564</v>
      </c>
      <c r="BC70" s="26"/>
      <c r="BD70" s="28">
        <f t="shared" si="23"/>
        <v>1.1763234698872605E-2</v>
      </c>
    </row>
    <row r="71" spans="1:56" s="26" customFormat="1">
      <c r="A71" s="26">
        <f t="shared" si="29"/>
        <v>2029</v>
      </c>
      <c r="B71" s="26">
        <f t="shared" si="30"/>
        <v>4</v>
      </c>
      <c r="C71" s="19"/>
      <c r="D71" s="43">
        <v>123027787.53193399</v>
      </c>
      <c r="E71" s="19"/>
      <c r="F71" s="43">
        <v>22361756.691532899</v>
      </c>
      <c r="G71" s="43">
        <v>2877079.0451016198</v>
      </c>
      <c r="H71" s="43">
        <v>15828840.030594099</v>
      </c>
      <c r="I71" s="43">
        <v>88981.826137163705</v>
      </c>
      <c r="J71" s="43">
        <v>489551.75352353102</v>
      </c>
      <c r="K71" s="19"/>
      <c r="L71" s="43">
        <v>2104787.6916483501</v>
      </c>
      <c r="M71" s="27"/>
      <c r="N71" s="43">
        <v>1033337.81114791</v>
      </c>
      <c r="O71" s="19"/>
      <c r="P71" s="43">
        <v>16606873.090694301</v>
      </c>
      <c r="Q71" s="27"/>
      <c r="R71" s="43">
        <v>25736311.250767399</v>
      </c>
      <c r="S71" s="27"/>
      <c r="T71" s="43">
        <v>98405016.677157</v>
      </c>
      <c r="U71" s="19"/>
      <c r="V71" s="43">
        <v>136967.2696727</v>
      </c>
      <c r="W71" s="27"/>
      <c r="X71" s="43">
        <v>344022.29265823797</v>
      </c>
      <c r="Y71" s="19"/>
      <c r="Z71" s="19">
        <f t="shared" si="24"/>
        <v>373396.32611094043</v>
      </c>
      <c r="AA71" s="19"/>
      <c r="AB71" s="19">
        <f t="shared" si="25"/>
        <v>-41229643.945471287</v>
      </c>
      <c r="AC71" s="13"/>
      <c r="AD71" s="19"/>
      <c r="AE71" s="19"/>
      <c r="AF71" s="19">
        <f>BB69/100*AF25</f>
        <v>8220699347.4212246</v>
      </c>
      <c r="AG71" s="33">
        <f t="shared" si="33"/>
        <v>5.6064421483946036E-3</v>
      </c>
      <c r="AH71" s="33"/>
      <c r="AI71" s="33">
        <f t="shared" si="28"/>
        <v>-5.2439200798004362E-3</v>
      </c>
      <c r="AV71" s="26">
        <v>12853418</v>
      </c>
      <c r="AX71" s="26">
        <f t="shared" si="26"/>
        <v>6.9968058877587233E-3</v>
      </c>
      <c r="AY71" s="45">
        <v>8367.8465137456096</v>
      </c>
      <c r="AZ71" s="33">
        <f t="shared" si="27"/>
        <v>6.0270561218333917E-3</v>
      </c>
      <c r="BA71" s="26">
        <f t="shared" si="31"/>
        <v>126.01138892484302</v>
      </c>
      <c r="BB71" s="26">
        <f t="shared" si="32"/>
        <v>145.95022308808794</v>
      </c>
      <c r="BD71" s="33">
        <f t="shared" si="23"/>
        <v>9.9342011196287064E-3</v>
      </c>
    </row>
    <row r="72" spans="1:56" s="26" customFormat="1">
      <c r="A72" s="34">
        <f t="shared" si="29"/>
        <v>2030</v>
      </c>
      <c r="B72" s="34">
        <f t="shared" si="30"/>
        <v>1</v>
      </c>
      <c r="C72" s="18"/>
      <c r="D72" s="46">
        <v>122955040.24897</v>
      </c>
      <c r="E72" s="18"/>
      <c r="F72" s="46">
        <v>22348534.011728201</v>
      </c>
      <c r="G72" s="46">
        <v>2958643.7928422601</v>
      </c>
      <c r="H72" s="46">
        <v>16277585.2071719</v>
      </c>
      <c r="I72" s="46">
        <v>91504.447201306903</v>
      </c>
      <c r="J72" s="46">
        <v>503430.47032490402</v>
      </c>
      <c r="K72" s="18"/>
      <c r="L72" s="46">
        <v>2547530.9517320702</v>
      </c>
      <c r="M72" s="38"/>
      <c r="N72" s="46">
        <v>1034494.8878231</v>
      </c>
      <c r="O72" s="18"/>
      <c r="P72" s="46">
        <v>18910635.8664557</v>
      </c>
      <c r="Q72" s="38"/>
      <c r="R72" s="46">
        <v>21873376.228112899</v>
      </c>
      <c r="S72" s="38"/>
      <c r="T72" s="46">
        <v>83634749.810892105</v>
      </c>
      <c r="U72" s="18"/>
      <c r="V72" s="46">
        <v>137857.86494558901</v>
      </c>
      <c r="W72" s="38"/>
      <c r="X72" s="46">
        <v>346259.211217993</v>
      </c>
      <c r="Y72" s="18"/>
      <c r="Z72" s="18">
        <f t="shared" si="24"/>
        <v>-3919325.7582248822</v>
      </c>
      <c r="AA72" s="18"/>
      <c r="AB72" s="18">
        <f t="shared" si="25"/>
        <v>-58230926.304533601</v>
      </c>
      <c r="AC72" s="13"/>
      <c r="AD72" s="19"/>
      <c r="AE72" s="19"/>
      <c r="AF72" s="19">
        <f>BB70/100*AF25</f>
        <v>8279613453.6558228</v>
      </c>
      <c r="AG72" s="33">
        <f t="shared" si="33"/>
        <v>7.1665564868369867E-3</v>
      </c>
      <c r="AH72" s="33"/>
      <c r="AI72" s="33">
        <f t="shared" si="28"/>
        <v>-6.9170012488091667E-3</v>
      </c>
      <c r="AT72" s="34"/>
      <c r="AU72" s="34"/>
      <c r="AV72" s="34">
        <v>12885686</v>
      </c>
      <c r="AW72" s="34"/>
      <c r="AX72" s="34">
        <f t="shared" si="26"/>
        <v>2.5104606416752337E-3</v>
      </c>
      <c r="AY72" s="48">
        <v>8403.6240751135902</v>
      </c>
      <c r="AZ72" s="28">
        <f t="shared" si="27"/>
        <v>4.2755996192341481E-3</v>
      </c>
      <c r="BA72" s="34">
        <f t="shared" si="31"/>
        <v>126.55016317134924</v>
      </c>
      <c r="BB72" s="34">
        <f t="shared" si="32"/>
        <v>146.94221668655149</v>
      </c>
      <c r="BC72" s="34"/>
      <c r="BD72" s="33">
        <f t="shared" si="23"/>
        <v>1.1785144607212411E-2</v>
      </c>
    </row>
    <row r="73" spans="1:56" s="26" customFormat="1">
      <c r="A73" s="26">
        <f t="shared" si="29"/>
        <v>2030</v>
      </c>
      <c r="B73" s="26">
        <f t="shared" si="30"/>
        <v>2</v>
      </c>
      <c r="C73" s="19"/>
      <c r="D73" s="43">
        <v>123591426.181098</v>
      </c>
      <c r="E73" s="19"/>
      <c r="F73" s="43">
        <v>22464204.6879359</v>
      </c>
      <c r="G73" s="43">
        <v>3042930.1365247201</v>
      </c>
      <c r="H73" s="43">
        <v>16741303.801620901</v>
      </c>
      <c r="I73" s="43">
        <v>94111.241335816201</v>
      </c>
      <c r="J73" s="43">
        <v>517772.28252436098</v>
      </c>
      <c r="K73" s="19"/>
      <c r="L73" s="43">
        <v>2106302.1421424402</v>
      </c>
      <c r="M73" s="27"/>
      <c r="N73" s="43">
        <v>1043645.08503314</v>
      </c>
      <c r="O73" s="19"/>
      <c r="P73" s="43">
        <v>16671439.1612866</v>
      </c>
      <c r="Q73" s="27"/>
      <c r="R73" s="43">
        <v>26134466.555126801</v>
      </c>
      <c r="S73" s="27"/>
      <c r="T73" s="43">
        <v>99927397.992172107</v>
      </c>
      <c r="U73" s="19"/>
      <c r="V73" s="43">
        <v>138713.78079062901</v>
      </c>
      <c r="W73" s="27"/>
      <c r="X73" s="43">
        <v>348409.02505334798</v>
      </c>
      <c r="Y73" s="19"/>
      <c r="Z73" s="19">
        <f t="shared" si="24"/>
        <v>659028.42080594972</v>
      </c>
      <c r="AA73" s="19"/>
      <c r="AB73" s="19">
        <f t="shared" si="25"/>
        <v>-40335467.350212499</v>
      </c>
      <c r="AC73" s="13"/>
      <c r="AD73" s="19"/>
      <c r="AE73" s="19"/>
      <c r="AF73" s="19">
        <f>BB71/100*AF25</f>
        <v>8387795149.2420492</v>
      </c>
      <c r="AG73" s="33">
        <f t="shared" si="33"/>
        <v>1.3066032151351143E-2</v>
      </c>
      <c r="AH73" s="33">
        <f>(AF73-AF69)/AF69</f>
        <v>3.383077325974531E-2</v>
      </c>
      <c r="AI73" s="33">
        <f t="shared" si="28"/>
        <v>-4.9154328654768048E-3</v>
      </c>
      <c r="AV73" s="26">
        <v>12896621</v>
      </c>
      <c r="AX73" s="26">
        <f t="shared" si="26"/>
        <v>8.4861605350308863E-4</v>
      </c>
      <c r="AY73" s="45">
        <v>8440.9521529395297</v>
      </c>
      <c r="AZ73" s="33">
        <f t="shared" si="27"/>
        <v>4.4419023854818246E-3</v>
      </c>
      <c r="BA73" s="26">
        <f t="shared" si="31"/>
        <v>127.11228664302317</v>
      </c>
      <c r="BB73" s="26">
        <f t="shared" si="32"/>
        <v>147.7201710876264</v>
      </c>
      <c r="BD73" s="33">
        <f t="shared" ref="BD73:BD104" si="34">T78/AF80</f>
        <v>9.9058838993518906E-3</v>
      </c>
    </row>
    <row r="74" spans="1:56" s="34" customFormat="1">
      <c r="A74" s="26">
        <f t="shared" si="29"/>
        <v>2030</v>
      </c>
      <c r="B74" s="26">
        <f t="shared" si="30"/>
        <v>3</v>
      </c>
      <c r="C74" s="19"/>
      <c r="D74" s="43">
        <v>124176894.9436</v>
      </c>
      <c r="E74" s="19"/>
      <c r="F74" s="43">
        <v>22570620.5658461</v>
      </c>
      <c r="G74" s="43">
        <v>3093344.0173193999</v>
      </c>
      <c r="H74" s="43">
        <v>17018666.099253699</v>
      </c>
      <c r="I74" s="43">
        <v>95670.433525342494</v>
      </c>
      <c r="J74" s="43">
        <v>526350.49791506503</v>
      </c>
      <c r="K74" s="19"/>
      <c r="L74" s="43">
        <v>2088509.4706922099</v>
      </c>
      <c r="M74" s="27"/>
      <c r="N74" s="43">
        <v>1050667.5485674101</v>
      </c>
      <c r="O74" s="19"/>
      <c r="P74" s="43">
        <v>16617748.4269525</v>
      </c>
      <c r="Q74" s="27"/>
      <c r="R74" s="43">
        <v>22067772.7172806</v>
      </c>
      <c r="S74" s="27"/>
      <c r="T74" s="43">
        <v>84378041.635899201</v>
      </c>
      <c r="U74" s="19"/>
      <c r="V74" s="43">
        <v>135974.18392064801</v>
      </c>
      <c r="W74" s="27"/>
      <c r="X74" s="43">
        <v>341527.94756365003</v>
      </c>
      <c r="Y74" s="19"/>
      <c r="Z74" s="19">
        <f t="shared" si="24"/>
        <v>-3506050.6839044727</v>
      </c>
      <c r="AA74" s="19"/>
      <c r="AB74" s="19">
        <f t="shared" si="25"/>
        <v>-56416601.734653294</v>
      </c>
      <c r="AC74" s="13"/>
      <c r="AD74" s="18"/>
      <c r="AE74" s="18"/>
      <c r="AF74" s="18">
        <f>BB72/100*AF25</f>
        <v>8444805264.8637972</v>
      </c>
      <c r="AG74" s="28">
        <f t="shared" si="33"/>
        <v>6.7967939854730007E-3</v>
      </c>
      <c r="AH74" s="28"/>
      <c r="AI74" s="28">
        <f t="shared" si="28"/>
        <v>-6.8954729538660102E-3</v>
      </c>
      <c r="AT74" s="26"/>
      <c r="AU74" s="26"/>
      <c r="AV74" s="26">
        <v>12870209</v>
      </c>
      <c r="AW74" s="26"/>
      <c r="AX74" s="26">
        <f t="shared" si="26"/>
        <v>-2.0479783037742989E-3</v>
      </c>
      <c r="AY74" s="45">
        <v>8474.4832434986401</v>
      </c>
      <c r="AZ74" s="33">
        <f t="shared" si="27"/>
        <v>3.9724298813177588E-3</v>
      </c>
      <c r="BA74" s="26">
        <f t="shared" si="31"/>
        <v>127.61723128876653</v>
      </c>
      <c r="BB74" s="26">
        <f t="shared" si="32"/>
        <v>148.00324963381402</v>
      </c>
      <c r="BC74" s="26"/>
      <c r="BD74" s="28">
        <f t="shared" si="34"/>
        <v>1.1803513730313573E-2</v>
      </c>
    </row>
    <row r="75" spans="1:56" s="26" customFormat="1">
      <c r="A75" s="26">
        <f t="shared" si="29"/>
        <v>2030</v>
      </c>
      <c r="B75" s="26">
        <f t="shared" si="30"/>
        <v>4</v>
      </c>
      <c r="C75" s="19"/>
      <c r="D75" s="43">
        <v>124580484.828493</v>
      </c>
      <c r="E75" s="19"/>
      <c r="F75" s="43">
        <v>22643977.804809701</v>
      </c>
      <c r="G75" s="43">
        <v>3192786.90927601</v>
      </c>
      <c r="H75" s="43">
        <v>17565771.550402399</v>
      </c>
      <c r="I75" s="43">
        <v>98745.986884824903</v>
      </c>
      <c r="J75" s="43">
        <v>543271.28506399202</v>
      </c>
      <c r="K75" s="19"/>
      <c r="L75" s="43">
        <v>2074272.7877505</v>
      </c>
      <c r="M75" s="27"/>
      <c r="N75" s="43">
        <v>1056078.8044114499</v>
      </c>
      <c r="O75" s="19"/>
      <c r="P75" s="43">
        <v>16573645.344564799</v>
      </c>
      <c r="Q75" s="27"/>
      <c r="R75" s="43">
        <v>26388500.441544998</v>
      </c>
      <c r="S75" s="27"/>
      <c r="T75" s="43">
        <v>100898718.574441</v>
      </c>
      <c r="U75" s="19"/>
      <c r="V75" s="43">
        <v>138991.02025597799</v>
      </c>
      <c r="W75" s="27"/>
      <c r="X75" s="43">
        <v>349105.37065994903</v>
      </c>
      <c r="Y75" s="19"/>
      <c r="Z75" s="19">
        <f t="shared" si="24"/>
        <v>753162.06482932717</v>
      </c>
      <c r="AA75" s="19"/>
      <c r="AB75" s="19">
        <f t="shared" si="25"/>
        <v>-40255411.598616794</v>
      </c>
      <c r="AC75" s="13"/>
      <c r="AD75" s="19"/>
      <c r="AE75" s="19"/>
      <c r="AF75" s="19">
        <f>BB73/100*AF25</f>
        <v>8489514495.2685318</v>
      </c>
      <c r="AG75" s="33">
        <f t="shared" si="33"/>
        <v>5.2942879086573828E-3</v>
      </c>
      <c r="AH75" s="33"/>
      <c r="AI75" s="33">
        <f t="shared" si="28"/>
        <v>-4.7512101396013518E-3</v>
      </c>
      <c r="AV75" s="26">
        <v>12891042</v>
      </c>
      <c r="AX75" s="26">
        <f t="shared" si="26"/>
        <v>1.6186994321537435E-3</v>
      </c>
      <c r="AY75" s="45">
        <v>8532.0891900077804</v>
      </c>
      <c r="AZ75" s="33">
        <f t="shared" si="27"/>
        <v>6.7975763068897155E-3</v>
      </c>
      <c r="BA75" s="26">
        <f t="shared" si="31"/>
        <v>128.48471915652593</v>
      </c>
      <c r="BB75" s="26">
        <f t="shared" si="32"/>
        <v>149.25051430723352</v>
      </c>
      <c r="BD75" s="33">
        <f t="shared" si="34"/>
        <v>9.9052445239940674E-3</v>
      </c>
    </row>
    <row r="76" spans="1:56" s="26" customFormat="1">
      <c r="A76" s="34">
        <f t="shared" si="29"/>
        <v>2031</v>
      </c>
      <c r="B76" s="34">
        <f t="shared" si="30"/>
        <v>1</v>
      </c>
      <c r="C76" s="18"/>
      <c r="D76" s="46">
        <v>125249997.13926999</v>
      </c>
      <c r="E76" s="18"/>
      <c r="F76" s="46">
        <v>22765669.5924614</v>
      </c>
      <c r="G76" s="46">
        <v>3279097.28225401</v>
      </c>
      <c r="H76" s="46">
        <v>18040625.756850399</v>
      </c>
      <c r="I76" s="46">
        <v>101415.37986352701</v>
      </c>
      <c r="J76" s="46">
        <v>557957.49763454997</v>
      </c>
      <c r="K76" s="18"/>
      <c r="L76" s="46">
        <v>2567721.6543337898</v>
      </c>
      <c r="M76" s="38"/>
      <c r="N76" s="46">
        <v>1064387.52866868</v>
      </c>
      <c r="O76" s="18"/>
      <c r="P76" s="46">
        <v>19179866.008416101</v>
      </c>
      <c r="Q76" s="38"/>
      <c r="R76" s="46">
        <v>22447587.7794814</v>
      </c>
      <c r="S76" s="38"/>
      <c r="T76" s="46">
        <v>85830297.445440993</v>
      </c>
      <c r="U76" s="18"/>
      <c r="V76" s="46">
        <v>142432.1323081</v>
      </c>
      <c r="W76" s="38"/>
      <c r="X76" s="46">
        <v>357748.45203474601</v>
      </c>
      <c r="Y76" s="18"/>
      <c r="Z76" s="18">
        <f t="shared" si="24"/>
        <v>-3807758.8636743687</v>
      </c>
      <c r="AA76" s="18"/>
      <c r="AB76" s="18">
        <f t="shared" si="25"/>
        <v>-58599565.702245101</v>
      </c>
      <c r="AC76" s="13"/>
      <c r="AD76" s="19"/>
      <c r="AE76" s="19"/>
      <c r="AF76" s="19">
        <f>BB74/100*AF25</f>
        <v>8505783088.809042</v>
      </c>
      <c r="AG76" s="33">
        <f t="shared" si="33"/>
        <v>1.9163161273329783E-3</v>
      </c>
      <c r="AH76" s="33"/>
      <c r="AI76" s="33">
        <f t="shared" si="28"/>
        <v>-6.6327345931122966E-3</v>
      </c>
      <c r="AT76" s="34"/>
      <c r="AU76" s="34"/>
      <c r="AV76" s="34">
        <v>12955445</v>
      </c>
      <c r="AW76" s="34"/>
      <c r="AX76" s="34">
        <f t="shared" si="26"/>
        <v>4.9959499007139994E-3</v>
      </c>
      <c r="AY76" s="48">
        <v>8551.4518753977009</v>
      </c>
      <c r="AZ76" s="28">
        <f t="shared" si="27"/>
        <v>2.2693955675705713E-3</v>
      </c>
      <c r="BA76" s="34">
        <f t="shared" si="31"/>
        <v>128.7763018086803</v>
      </c>
      <c r="BB76" s="34">
        <f t="shared" si="32"/>
        <v>150.33656302546996</v>
      </c>
      <c r="BC76" s="34"/>
      <c r="BD76" s="33">
        <f t="shared" si="34"/>
        <v>1.1801535044732995E-2</v>
      </c>
    </row>
    <row r="77" spans="1:56" s="26" customFormat="1">
      <c r="A77" s="26">
        <f t="shared" si="29"/>
        <v>2031</v>
      </c>
      <c r="B77" s="26">
        <f t="shared" si="30"/>
        <v>2</v>
      </c>
      <c r="C77" s="19"/>
      <c r="D77" s="43">
        <v>125227340.972966</v>
      </c>
      <c r="E77" s="19"/>
      <c r="F77" s="43">
        <v>22761551.566049501</v>
      </c>
      <c r="G77" s="43">
        <v>3399693.4315099302</v>
      </c>
      <c r="H77" s="43">
        <v>18704110.188439999</v>
      </c>
      <c r="I77" s="43">
        <v>105145.157675565</v>
      </c>
      <c r="J77" s="43">
        <v>578477.63469401898</v>
      </c>
      <c r="K77" s="19"/>
      <c r="L77" s="43">
        <v>2065365.55976746</v>
      </c>
      <c r="M77" s="27"/>
      <c r="N77" s="43">
        <v>1066403.1834237201</v>
      </c>
      <c r="O77" s="19"/>
      <c r="P77" s="43">
        <v>16584227.3833589</v>
      </c>
      <c r="Q77" s="27"/>
      <c r="R77" s="43">
        <v>26696860.7066839</v>
      </c>
      <c r="S77" s="27"/>
      <c r="T77" s="43">
        <v>102077760.774308</v>
      </c>
      <c r="U77" s="19"/>
      <c r="V77" s="43">
        <v>137392.38551799301</v>
      </c>
      <c r="W77" s="27"/>
      <c r="X77" s="43">
        <v>345090.06109731499</v>
      </c>
      <c r="Y77" s="19"/>
      <c r="Z77" s="19">
        <f t="shared" si="24"/>
        <v>940932.7829612121</v>
      </c>
      <c r="AA77" s="19"/>
      <c r="AB77" s="19">
        <f t="shared" si="25"/>
        <v>-39733807.5820169</v>
      </c>
      <c r="AC77" s="13"/>
      <c r="AD77" s="19"/>
      <c r="AE77" s="19"/>
      <c r="AF77" s="19">
        <f>BB75/100*AF25</f>
        <v>8577463695.7733402</v>
      </c>
      <c r="AG77" s="33">
        <f t="shared" si="33"/>
        <v>8.4272789719511635E-3</v>
      </c>
      <c r="AH77" s="33">
        <f>(AF77-AF73)/AF73</f>
        <v>2.2612443813488949E-2</v>
      </c>
      <c r="AI77" s="33">
        <f t="shared" si="28"/>
        <v>-4.6931602425147175E-3</v>
      </c>
      <c r="AV77" s="26">
        <v>12975545</v>
      </c>
      <c r="AX77" s="26">
        <f t="shared" si="26"/>
        <v>1.5514712153847283E-3</v>
      </c>
      <c r="AY77" s="45">
        <v>8559.63275707918</v>
      </c>
      <c r="AZ77" s="33">
        <f t="shared" si="27"/>
        <v>9.5666581542899493E-4</v>
      </c>
      <c r="BA77" s="26">
        <f t="shared" si="31"/>
        <v>128.89949769445803</v>
      </c>
      <c r="BB77" s="26">
        <f t="shared" si="32"/>
        <v>150.71385086174084</v>
      </c>
      <c r="BD77" s="33">
        <f t="shared" si="34"/>
        <v>9.9133260028380406E-3</v>
      </c>
    </row>
    <row r="78" spans="1:56" s="34" customFormat="1">
      <c r="A78" s="26">
        <f t="shared" si="29"/>
        <v>2031</v>
      </c>
      <c r="B78" s="26">
        <f t="shared" si="30"/>
        <v>3</v>
      </c>
      <c r="C78" s="19"/>
      <c r="D78" s="43">
        <v>125938146.95415001</v>
      </c>
      <c r="E78" s="19"/>
      <c r="F78" s="43">
        <v>22890748.967099998</v>
      </c>
      <c r="G78" s="43">
        <v>3520818.5209485502</v>
      </c>
      <c r="H78" s="43">
        <v>19370504.692852199</v>
      </c>
      <c r="I78" s="43">
        <v>108891.294462327</v>
      </c>
      <c r="J78" s="43">
        <v>599087.77400574402</v>
      </c>
      <c r="K78" s="19"/>
      <c r="L78" s="43">
        <v>2065087.2150911</v>
      </c>
      <c r="M78" s="27"/>
      <c r="N78" s="43">
        <v>1075454.7310866599</v>
      </c>
      <c r="O78" s="19"/>
      <c r="P78" s="43">
        <v>16632581.9961132</v>
      </c>
      <c r="Q78" s="27"/>
      <c r="R78" s="43">
        <v>22617402.178088699</v>
      </c>
      <c r="S78" s="27"/>
      <c r="T78" s="43">
        <v>86479597.516618595</v>
      </c>
      <c r="U78" s="19"/>
      <c r="V78" s="43">
        <v>141579.769514985</v>
      </c>
      <c r="W78" s="27"/>
      <c r="X78" s="43">
        <v>355607.56244145299</v>
      </c>
      <c r="Y78" s="19"/>
      <c r="Z78" s="19">
        <f t="shared" ref="Z78:Z109" si="35">R78+V78-N78-L78-F78</f>
        <v>-3272308.9656740762</v>
      </c>
      <c r="AA78" s="19"/>
      <c r="AB78" s="19">
        <f t="shared" ref="AB78:AB109" si="36">T78-P78-D78</f>
        <v>-56091131.433644608</v>
      </c>
      <c r="AC78" s="13"/>
      <c r="AD78" s="18"/>
      <c r="AE78" s="18"/>
      <c r="AF78" s="18">
        <f>BB76/100*AF25</f>
        <v>8639879182.2174149</v>
      </c>
      <c r="AG78" s="28">
        <f t="shared" si="33"/>
        <v>7.2766832548449836E-3</v>
      </c>
      <c r="AH78" s="28"/>
      <c r="AI78" s="28">
        <f t="shared" si="28"/>
        <v>-6.7824519841498052E-3</v>
      </c>
      <c r="AT78" s="26"/>
      <c r="AU78" s="26"/>
      <c r="AV78" s="26">
        <v>13010148</v>
      </c>
      <c r="AW78" s="26"/>
      <c r="AX78" s="26">
        <f t="shared" si="26"/>
        <v>2.6667858652565267E-3</v>
      </c>
      <c r="AY78" s="45">
        <v>8604.4419825089008</v>
      </c>
      <c r="AZ78" s="33">
        <f t="shared" si="27"/>
        <v>5.2349471877355513E-3</v>
      </c>
      <c r="BA78" s="26">
        <f t="shared" si="31"/>
        <v>129.57427975741416</v>
      </c>
      <c r="BB78" s="26">
        <f t="shared" si="32"/>
        <v>151.90685551681653</v>
      </c>
      <c r="BC78" s="26"/>
      <c r="BD78" s="28">
        <f t="shared" si="34"/>
        <v>1.1797458916896209E-2</v>
      </c>
    </row>
    <row r="79" spans="1:56" s="26" customFormat="1">
      <c r="A79" s="26">
        <f t="shared" si="29"/>
        <v>2031</v>
      </c>
      <c r="B79" s="26">
        <f t="shared" si="30"/>
        <v>4</v>
      </c>
      <c r="C79" s="19"/>
      <c r="D79" s="43">
        <v>126120824.288591</v>
      </c>
      <c r="E79" s="19"/>
      <c r="F79" s="43">
        <v>22923952.735027201</v>
      </c>
      <c r="G79" s="43">
        <v>3619295.7230256302</v>
      </c>
      <c r="H79" s="43">
        <v>19912297.203208301</v>
      </c>
      <c r="I79" s="43">
        <v>111936.98112450499</v>
      </c>
      <c r="J79" s="43">
        <v>615844.24339820002</v>
      </c>
      <c r="K79" s="19"/>
      <c r="L79" s="43">
        <v>2042328.19958336</v>
      </c>
      <c r="M79" s="27"/>
      <c r="N79" s="43">
        <v>1078393.54779855</v>
      </c>
      <c r="O79" s="19"/>
      <c r="P79" s="43">
        <v>16530653.858909501</v>
      </c>
      <c r="Q79" s="27"/>
      <c r="R79" s="43">
        <v>27035119.5712949</v>
      </c>
      <c r="S79" s="27"/>
      <c r="T79" s="43">
        <v>103371122.86061899</v>
      </c>
      <c r="U79" s="19"/>
      <c r="V79" s="43">
        <v>142311.75562712399</v>
      </c>
      <c r="W79" s="27"/>
      <c r="X79" s="43">
        <v>357446.10051769402</v>
      </c>
      <c r="Y79" s="19"/>
      <c r="Z79" s="19">
        <f t="shared" si="35"/>
        <v>1132756.8445129134</v>
      </c>
      <c r="AA79" s="19"/>
      <c r="AB79" s="19">
        <f t="shared" si="36"/>
        <v>-39280355.286881506</v>
      </c>
      <c r="AC79" s="13"/>
      <c r="AD79" s="19"/>
      <c r="AE79" s="19"/>
      <c r="AF79" s="19">
        <f>BB77/100*AF25</f>
        <v>8661562006.7858353</v>
      </c>
      <c r="AG79" s="33">
        <f t="shared" si="33"/>
        <v>2.5096212702890525E-3</v>
      </c>
      <c r="AH79" s="33"/>
      <c r="AI79" s="33">
        <f t="shared" si="28"/>
        <v>-4.5873720641713064E-3</v>
      </c>
      <c r="AV79" s="26">
        <v>12941154</v>
      </c>
      <c r="AX79" s="26">
        <f t="shared" ref="AX79:AX115" si="37">(AV79-AV78)/AV78</f>
        <v>-5.3030910947362009E-3</v>
      </c>
      <c r="AY79" s="45">
        <v>8677.5962679569602</v>
      </c>
      <c r="AZ79" s="33">
        <f t="shared" ref="AZ79:AZ110" si="38">(AY79-AY78)/AY78</f>
        <v>8.5019209376700315E-3</v>
      </c>
      <c r="BA79" s="26">
        <f t="shared" si="31"/>
        <v>130.67591003946723</v>
      </c>
      <c r="BB79" s="26">
        <f t="shared" si="32"/>
        <v>152.38593075704074</v>
      </c>
      <c r="BD79" s="33">
        <f t="shared" si="34"/>
        <v>9.944362388204479E-3</v>
      </c>
    </row>
    <row r="80" spans="1:56" s="26" customFormat="1">
      <c r="A80" s="34">
        <f t="shared" si="29"/>
        <v>2032</v>
      </c>
      <c r="B80" s="34">
        <f t="shared" si="30"/>
        <v>1</v>
      </c>
      <c r="C80" s="18"/>
      <c r="D80" s="46">
        <v>126355027.28905401</v>
      </c>
      <c r="E80" s="18"/>
      <c r="F80" s="46">
        <v>22966521.9026751</v>
      </c>
      <c r="G80" s="46">
        <v>3669066.4631382101</v>
      </c>
      <c r="H80" s="46">
        <v>20186121.130565301</v>
      </c>
      <c r="I80" s="46">
        <v>113476.28236510001</v>
      </c>
      <c r="J80" s="46">
        <v>624313.024656664</v>
      </c>
      <c r="K80" s="18"/>
      <c r="L80" s="46">
        <v>2544644.1549133402</v>
      </c>
      <c r="M80" s="38"/>
      <c r="N80" s="46">
        <v>1082088.16022639</v>
      </c>
      <c r="O80" s="18"/>
      <c r="P80" s="46">
        <v>19157500.406517401</v>
      </c>
      <c r="Q80" s="38"/>
      <c r="R80" s="46">
        <v>22732241.357378501</v>
      </c>
      <c r="S80" s="38"/>
      <c r="T80" s="46">
        <v>86918695.071939901</v>
      </c>
      <c r="U80" s="18"/>
      <c r="V80" s="46">
        <v>145474.871470727</v>
      </c>
      <c r="W80" s="38"/>
      <c r="X80" s="46">
        <v>365390.935565222</v>
      </c>
      <c r="Y80" s="18"/>
      <c r="Z80" s="18">
        <f t="shared" si="35"/>
        <v>-3715537.9889656007</v>
      </c>
      <c r="AA80" s="18"/>
      <c r="AB80" s="18">
        <f t="shared" si="36"/>
        <v>-58593832.623631507</v>
      </c>
      <c r="AC80" s="13"/>
      <c r="AD80" s="19"/>
      <c r="AE80" s="19"/>
      <c r="AF80" s="19">
        <f>BB78/100*AF25</f>
        <v>8730124277.1759796</v>
      </c>
      <c r="AG80" s="33">
        <f t="shared" si="33"/>
        <v>7.9156935361577689E-3</v>
      </c>
      <c r="AH80" s="33"/>
      <c r="AI80" s="33">
        <f t="shared" ref="AI80:AI111" si="39">AB78/AF80</f>
        <v>-6.4250095019024135E-3</v>
      </c>
      <c r="AT80" s="34"/>
      <c r="AU80" s="34"/>
      <c r="AV80" s="34">
        <v>12978657</v>
      </c>
      <c r="AW80" s="34"/>
      <c r="AX80" s="34">
        <f t="shared" si="37"/>
        <v>2.8979641228286134E-3</v>
      </c>
      <c r="AY80" s="48">
        <v>8669.6739111444294</v>
      </c>
      <c r="AZ80" s="28">
        <f t="shared" si="38"/>
        <v>-9.1296674423365482E-4</v>
      </c>
      <c r="BA80" s="34">
        <f t="shared" si="31"/>
        <v>130.55660727932872</v>
      </c>
      <c r="BB80" s="34">
        <f t="shared" si="32"/>
        <v>152.68801325583362</v>
      </c>
      <c r="BC80" s="34"/>
      <c r="BD80" s="33">
        <f t="shared" si="34"/>
        <v>1.182324760393964E-2</v>
      </c>
    </row>
    <row r="81" spans="1:56" s="26" customFormat="1">
      <c r="A81" s="26">
        <f t="shared" si="29"/>
        <v>2032</v>
      </c>
      <c r="B81" s="26">
        <f t="shared" si="30"/>
        <v>2</v>
      </c>
      <c r="C81" s="19"/>
      <c r="D81" s="43">
        <v>126480520.54865099</v>
      </c>
      <c r="E81" s="19"/>
      <c r="F81" s="43">
        <v>22989331.788098801</v>
      </c>
      <c r="G81" s="43">
        <v>3743941.93166639</v>
      </c>
      <c r="H81" s="43">
        <v>20598063.8665726</v>
      </c>
      <c r="I81" s="43">
        <v>115792.018505145</v>
      </c>
      <c r="J81" s="43">
        <v>637053.52164656902</v>
      </c>
      <c r="K81" s="19"/>
      <c r="L81" s="43">
        <v>2095596.6802441101</v>
      </c>
      <c r="M81" s="27"/>
      <c r="N81" s="43">
        <v>1085494.4170081699</v>
      </c>
      <c r="O81" s="19"/>
      <c r="P81" s="43">
        <v>16846131.145582099</v>
      </c>
      <c r="Q81" s="27"/>
      <c r="R81" s="43">
        <v>27252327.696964901</v>
      </c>
      <c r="S81" s="27"/>
      <c r="T81" s="43">
        <v>104201636.954916</v>
      </c>
      <c r="U81" s="19"/>
      <c r="V81" s="43">
        <v>151283.71998706699</v>
      </c>
      <c r="W81" s="27"/>
      <c r="X81" s="43">
        <v>379981.08830076997</v>
      </c>
      <c r="Y81" s="19"/>
      <c r="Z81" s="19">
        <f t="shared" si="35"/>
        <v>1233188.5316008888</v>
      </c>
      <c r="AA81" s="19"/>
      <c r="AB81" s="19">
        <f t="shared" si="36"/>
        <v>-39125014.739317089</v>
      </c>
      <c r="AC81" s="13"/>
      <c r="AD81" s="19"/>
      <c r="AE81" s="19"/>
      <c r="AF81" s="19">
        <f>BB79/100*AF25</f>
        <v>8757656848.8367252</v>
      </c>
      <c r="AG81" s="33">
        <f t="shared" si="33"/>
        <v>3.1537433817210051E-3</v>
      </c>
      <c r="AH81" s="33">
        <f>(AF81-AF77)/AF77</f>
        <v>2.1007743017574951E-2</v>
      </c>
      <c r="AI81" s="33">
        <f t="shared" si="39"/>
        <v>-4.4852585531595813E-3</v>
      </c>
      <c r="AV81" s="26">
        <v>12983148</v>
      </c>
      <c r="AX81" s="26">
        <f t="shared" si="37"/>
        <v>3.4602963927623636E-4</v>
      </c>
      <c r="AY81" s="45">
        <v>8720.4833025640801</v>
      </c>
      <c r="AZ81" s="33">
        <f t="shared" si="38"/>
        <v>5.860588522751441E-3</v>
      </c>
      <c r="BA81" s="26">
        <f t="shared" si="31"/>
        <v>131.32174583351932</v>
      </c>
      <c r="BB81" s="26">
        <f t="shared" si="32"/>
        <v>153.63599909375353</v>
      </c>
      <c r="BD81" s="33">
        <f t="shared" si="34"/>
        <v>9.973113864714292E-3</v>
      </c>
    </row>
    <row r="82" spans="1:56" s="34" customFormat="1">
      <c r="A82" s="26">
        <f t="shared" ref="A82:A113" si="40">A78+1</f>
        <v>2032</v>
      </c>
      <c r="B82" s="26">
        <f t="shared" ref="B82:B113" si="41">B78</f>
        <v>3</v>
      </c>
      <c r="C82" s="19"/>
      <c r="D82" s="43">
        <v>126987599.927395</v>
      </c>
      <c r="E82" s="19"/>
      <c r="F82" s="43">
        <v>23081499.4675982</v>
      </c>
      <c r="G82" s="43">
        <v>3849008.1381456</v>
      </c>
      <c r="H82" s="43">
        <v>21176107.135078602</v>
      </c>
      <c r="I82" s="43">
        <v>119041.488808626</v>
      </c>
      <c r="J82" s="43">
        <v>654931.148507584</v>
      </c>
      <c r="K82" s="19"/>
      <c r="L82" s="43">
        <v>2044062.81815899</v>
      </c>
      <c r="M82" s="27"/>
      <c r="N82" s="43">
        <v>1092474.01368036</v>
      </c>
      <c r="O82" s="19"/>
      <c r="P82" s="43">
        <v>16617121.371817101</v>
      </c>
      <c r="Q82" s="27"/>
      <c r="R82" s="43">
        <v>23027229.1806756</v>
      </c>
      <c r="S82" s="27"/>
      <c r="T82" s="43">
        <v>88046606.581412494</v>
      </c>
      <c r="U82" s="19"/>
      <c r="V82" s="43">
        <v>147837.961967718</v>
      </c>
      <c r="W82" s="27"/>
      <c r="X82" s="43">
        <v>371326.33759576897</v>
      </c>
      <c r="Y82" s="19"/>
      <c r="Z82" s="19">
        <f t="shared" si="35"/>
        <v>-3042969.1567942351</v>
      </c>
      <c r="AA82" s="19"/>
      <c r="AB82" s="19">
        <f t="shared" si="36"/>
        <v>-55558114.717799604</v>
      </c>
      <c r="AC82" s="13"/>
      <c r="AD82" s="18"/>
      <c r="AE82" s="18"/>
      <c r="AF82" s="18">
        <f>BB80/100*AF25</f>
        <v>8775017604.1986179</v>
      </c>
      <c r="AG82" s="28">
        <f t="shared" si="33"/>
        <v>1.9823516337248038E-3</v>
      </c>
      <c r="AH82" s="28"/>
      <c r="AI82" s="28">
        <f t="shared" si="39"/>
        <v>-6.6773464472134943E-3</v>
      </c>
      <c r="AT82" s="26"/>
      <c r="AU82" s="26"/>
      <c r="AV82" s="26">
        <v>13059551</v>
      </c>
      <c r="AW82" s="26"/>
      <c r="AX82" s="26">
        <f t="shared" si="37"/>
        <v>5.8847823347619541E-3</v>
      </c>
      <c r="AY82" s="45">
        <v>8720.6631172280195</v>
      </c>
      <c r="AZ82" s="33">
        <f t="shared" si="38"/>
        <v>2.0619804854912735E-5</v>
      </c>
      <c r="BA82" s="26">
        <f t="shared" si="31"/>
        <v>131.3244536622916</v>
      </c>
      <c r="BB82" s="26">
        <f t="shared" si="32"/>
        <v>154.54330009418669</v>
      </c>
      <c r="BC82" s="26"/>
      <c r="BD82" s="28">
        <f t="shared" si="34"/>
        <v>1.1816231937657259E-2</v>
      </c>
    </row>
    <row r="83" spans="1:56" s="26" customFormat="1">
      <c r="A83" s="26">
        <f t="shared" si="40"/>
        <v>2032</v>
      </c>
      <c r="B83" s="26">
        <f t="shared" si="41"/>
        <v>4</v>
      </c>
      <c r="C83" s="19"/>
      <c r="D83" s="43">
        <v>127611590.90851299</v>
      </c>
      <c r="E83" s="19"/>
      <c r="F83" s="43">
        <v>23194917.214738101</v>
      </c>
      <c r="G83" s="43">
        <v>3941396.9773010798</v>
      </c>
      <c r="H83" s="43">
        <v>21684403.268997598</v>
      </c>
      <c r="I83" s="43">
        <v>121898.87558663099</v>
      </c>
      <c r="J83" s="43">
        <v>670651.64749476803</v>
      </c>
      <c r="K83" s="19"/>
      <c r="L83" s="43">
        <v>1964909.23518052</v>
      </c>
      <c r="M83" s="27"/>
      <c r="N83" s="43">
        <v>1100052.1336254501</v>
      </c>
      <c r="O83" s="19"/>
      <c r="P83" s="43">
        <v>16248085.6334926</v>
      </c>
      <c r="Q83" s="27"/>
      <c r="R83" s="43">
        <v>27379042.2413955</v>
      </c>
      <c r="S83" s="27"/>
      <c r="T83" s="43">
        <v>104686140.99811099</v>
      </c>
      <c r="U83" s="19"/>
      <c r="V83" s="43">
        <v>152779.280669331</v>
      </c>
      <c r="W83" s="27"/>
      <c r="X83" s="43">
        <v>383737.505552508</v>
      </c>
      <c r="Y83" s="19"/>
      <c r="Z83" s="19">
        <f t="shared" si="35"/>
        <v>1271942.9385207593</v>
      </c>
      <c r="AA83" s="19"/>
      <c r="AB83" s="19">
        <f t="shared" si="36"/>
        <v>-39173535.543894604</v>
      </c>
      <c r="AC83" s="13"/>
      <c r="AD83" s="19"/>
      <c r="AE83" s="19"/>
      <c r="AF83" s="19">
        <f>BB81/100*AF25</f>
        <v>8829498583.0187416</v>
      </c>
      <c r="AG83" s="33">
        <f t="shared" si="33"/>
        <v>6.208646099360067E-3</v>
      </c>
      <c r="AH83" s="33"/>
      <c r="AI83" s="33">
        <f t="shared" si="39"/>
        <v>-4.4311706232745699E-3</v>
      </c>
      <c r="AV83" s="26">
        <v>12987179</v>
      </c>
      <c r="AX83" s="26">
        <f t="shared" si="37"/>
        <v>-5.5416912878551491E-3</v>
      </c>
      <c r="AY83" s="45">
        <v>8761.3375404639391</v>
      </c>
      <c r="AZ83" s="33">
        <f t="shared" si="38"/>
        <v>4.6641433901472148E-3</v>
      </c>
      <c r="BA83" s="26">
        <f t="shared" si="31"/>
        <v>131.93696974480528</v>
      </c>
      <c r="BB83" s="26">
        <f t="shared" si="32"/>
        <v>154.40368642788502</v>
      </c>
      <c r="BD83" s="33">
        <f t="shared" si="34"/>
        <v>9.9476867022207007E-3</v>
      </c>
    </row>
    <row r="84" spans="1:56" s="26" customFormat="1">
      <c r="A84" s="34">
        <f t="shared" si="40"/>
        <v>2033</v>
      </c>
      <c r="B84" s="34">
        <f t="shared" si="41"/>
        <v>1</v>
      </c>
      <c r="C84" s="18"/>
      <c r="D84" s="46">
        <v>128205454.53519499</v>
      </c>
      <c r="E84" s="18"/>
      <c r="F84" s="46">
        <v>23302858.958585002</v>
      </c>
      <c r="G84" s="46">
        <v>3994285.5386305298</v>
      </c>
      <c r="H84" s="46">
        <v>21975380.528783899</v>
      </c>
      <c r="I84" s="46">
        <v>123534.604287542</v>
      </c>
      <c r="J84" s="46">
        <v>679650.94418919296</v>
      </c>
      <c r="K84" s="18"/>
      <c r="L84" s="46">
        <v>2409647.72001258</v>
      </c>
      <c r="M84" s="38"/>
      <c r="N84" s="46">
        <v>1108145.32264164</v>
      </c>
      <c r="O84" s="18"/>
      <c r="P84" s="46">
        <v>18600362.083574198</v>
      </c>
      <c r="Q84" s="38"/>
      <c r="R84" s="46">
        <v>23146022.669046398</v>
      </c>
      <c r="S84" s="38"/>
      <c r="T84" s="46">
        <v>88500823.780231997</v>
      </c>
      <c r="U84" s="18"/>
      <c r="V84" s="46">
        <v>153280.43953938599</v>
      </c>
      <c r="W84" s="38"/>
      <c r="X84" s="46">
        <v>384996.27214597497</v>
      </c>
      <c r="Y84" s="18"/>
      <c r="Z84" s="18">
        <f t="shared" si="35"/>
        <v>-3521348.8926534355</v>
      </c>
      <c r="AA84" s="18"/>
      <c r="AB84" s="18">
        <f t="shared" si="36"/>
        <v>-58304992.838537186</v>
      </c>
      <c r="AC84" s="13"/>
      <c r="AD84" s="19"/>
      <c r="AE84" s="19"/>
      <c r="AF84" s="19">
        <f>BB82/100*AF25</f>
        <v>8881641394.2410488</v>
      </c>
      <c r="AG84" s="33">
        <f t="shared" si="33"/>
        <v>5.9055234826800272E-3</v>
      </c>
      <c r="AH84" s="33"/>
      <c r="AI84" s="33">
        <f t="shared" si="39"/>
        <v>-6.2553881936534932E-3</v>
      </c>
      <c r="AT84" s="34"/>
      <c r="AU84" s="34"/>
      <c r="AV84" s="34">
        <v>12992887</v>
      </c>
      <c r="AW84" s="34"/>
      <c r="AX84" s="34">
        <f t="shared" si="37"/>
        <v>4.3951038173879021E-4</v>
      </c>
      <c r="AY84" s="48">
        <v>8783.1283856308492</v>
      </c>
      <c r="AZ84" s="28">
        <f t="shared" si="38"/>
        <v>2.4871596450050837E-3</v>
      </c>
      <c r="BA84" s="34">
        <f t="shared" si="31"/>
        <v>132.26511805163884</v>
      </c>
      <c r="BB84" s="34">
        <f t="shared" si="32"/>
        <v>154.85574385265772</v>
      </c>
      <c r="BC84" s="34"/>
      <c r="BD84" s="33">
        <f t="shared" si="34"/>
        <v>1.1833302087274995E-2</v>
      </c>
    </row>
    <row r="85" spans="1:56" s="26" customFormat="1">
      <c r="A85" s="26">
        <f t="shared" si="40"/>
        <v>2033</v>
      </c>
      <c r="B85" s="26">
        <f t="shared" si="41"/>
        <v>2</v>
      </c>
      <c r="C85" s="19"/>
      <c r="D85" s="43">
        <v>128951090.69742499</v>
      </c>
      <c r="E85" s="19"/>
      <c r="F85" s="43">
        <v>23438387.1573333</v>
      </c>
      <c r="G85" s="43">
        <v>4078642.4559743698</v>
      </c>
      <c r="H85" s="43">
        <v>22439487.398695201</v>
      </c>
      <c r="I85" s="43">
        <v>126143.581112609</v>
      </c>
      <c r="J85" s="43">
        <v>694004.76490809896</v>
      </c>
      <c r="K85" s="19"/>
      <c r="L85" s="43">
        <v>1930579.97731832</v>
      </c>
      <c r="M85" s="27"/>
      <c r="N85" s="43">
        <v>1117137.1415367599</v>
      </c>
      <c r="O85" s="19"/>
      <c r="P85" s="43">
        <v>16163947.6238869</v>
      </c>
      <c r="Q85" s="27"/>
      <c r="R85" s="43">
        <v>27751606.642990299</v>
      </c>
      <c r="S85" s="27"/>
      <c r="T85" s="43">
        <v>106110673.27839901</v>
      </c>
      <c r="U85" s="19"/>
      <c r="V85" s="43">
        <v>155828.785708738</v>
      </c>
      <c r="W85" s="27"/>
      <c r="X85" s="43">
        <v>391396.9830148</v>
      </c>
      <c r="Y85" s="19"/>
      <c r="Z85" s="19">
        <f t="shared" si="35"/>
        <v>1421331.1525106542</v>
      </c>
      <c r="AA85" s="19"/>
      <c r="AB85" s="19">
        <f t="shared" si="36"/>
        <v>-39004365.042912886</v>
      </c>
      <c r="AC85" s="13"/>
      <c r="AD85" s="19"/>
      <c r="AE85" s="19"/>
      <c r="AF85" s="19">
        <f>BB83/100*AF25</f>
        <v>8873617762.5658436</v>
      </c>
      <c r="AG85" s="33">
        <f t="shared" si="33"/>
        <v>-9.033951404982236E-4</v>
      </c>
      <c r="AH85" s="33">
        <f>(AF85-AF81)/AF81</f>
        <v>1.3241088995685116E-2</v>
      </c>
      <c r="AI85" s="33">
        <f t="shared" si="39"/>
        <v>-4.4146070511569355E-3</v>
      </c>
      <c r="AV85" s="26">
        <v>13004695</v>
      </c>
      <c r="AX85" s="26">
        <f t="shared" si="37"/>
        <v>9.0880494843062975E-4</v>
      </c>
      <c r="AY85" s="45">
        <v>8849.2534901671206</v>
      </c>
      <c r="AZ85" s="33">
        <f t="shared" si="38"/>
        <v>7.5286505710712116E-3</v>
      </c>
      <c r="BA85" s="26">
        <f t="shared" si="31"/>
        <v>133.26089590819112</v>
      </c>
      <c r="BB85" s="26">
        <f t="shared" si="32"/>
        <v>156.16339183795111</v>
      </c>
      <c r="BD85" s="33">
        <f t="shared" si="34"/>
        <v>9.9804808963079514E-3</v>
      </c>
    </row>
    <row r="86" spans="1:56" s="34" customFormat="1">
      <c r="A86" s="26">
        <f t="shared" si="40"/>
        <v>2033</v>
      </c>
      <c r="B86" s="26">
        <f t="shared" si="41"/>
        <v>3</v>
      </c>
      <c r="C86" s="19"/>
      <c r="D86" s="43">
        <v>129575165.775059</v>
      </c>
      <c r="E86" s="19"/>
      <c r="F86" s="43">
        <v>23551820.190010399</v>
      </c>
      <c r="G86" s="43">
        <v>4169153.2681125202</v>
      </c>
      <c r="H86" s="43">
        <v>22937451.182072401</v>
      </c>
      <c r="I86" s="43">
        <v>128942.8845808</v>
      </c>
      <c r="J86" s="43">
        <v>709405.70666203403</v>
      </c>
      <c r="K86" s="19"/>
      <c r="L86" s="43">
        <v>1925201.34547317</v>
      </c>
      <c r="M86" s="27"/>
      <c r="N86" s="43">
        <v>1125359.29377943</v>
      </c>
      <c r="O86" s="19"/>
      <c r="P86" s="43">
        <v>16181273.7333855</v>
      </c>
      <c r="Q86" s="27"/>
      <c r="R86" s="43">
        <v>23468089.893909499</v>
      </c>
      <c r="S86" s="27"/>
      <c r="T86" s="43">
        <v>89732275.728609905</v>
      </c>
      <c r="U86" s="19"/>
      <c r="V86" s="43">
        <v>158439.90983225501</v>
      </c>
      <c r="W86" s="27"/>
      <c r="X86" s="43">
        <v>397955.37400510098</v>
      </c>
      <c r="Y86" s="19"/>
      <c r="Z86" s="19">
        <f t="shared" si="35"/>
        <v>-2975851.0255212449</v>
      </c>
      <c r="AA86" s="19"/>
      <c r="AB86" s="19">
        <f t="shared" si="36"/>
        <v>-56024163.779834598</v>
      </c>
      <c r="AC86" s="13"/>
      <c r="AD86" s="18"/>
      <c r="AE86" s="18"/>
      <c r="AF86" s="18">
        <f>BB84/100*AF25</f>
        <v>8899597613.7401619</v>
      </c>
      <c r="AG86" s="28">
        <f t="shared" si="33"/>
        <v>2.9277631592287711E-3</v>
      </c>
      <c r="AH86" s="28"/>
      <c r="AI86" s="28">
        <f t="shared" si="39"/>
        <v>-6.5514189932047743E-3</v>
      </c>
      <c r="AT86" s="26"/>
      <c r="AU86" s="26"/>
      <c r="AV86" s="26">
        <v>13010508</v>
      </c>
      <c r="AW86" s="26"/>
      <c r="AX86" s="26">
        <f t="shared" si="37"/>
        <v>4.4699241312464458E-4</v>
      </c>
      <c r="AY86" s="45">
        <v>8867.6424169037291</v>
      </c>
      <c r="AZ86" s="33">
        <f t="shared" si="38"/>
        <v>2.0780201128876466E-3</v>
      </c>
      <c r="BA86" s="26">
        <f t="shared" si="31"/>
        <v>133.53781473014976</v>
      </c>
      <c r="BB86" s="26">
        <f t="shared" si="32"/>
        <v>156.55785141225357</v>
      </c>
      <c r="BC86" s="26"/>
      <c r="BD86" s="28">
        <f t="shared" si="34"/>
        <v>1.183840787275748E-2</v>
      </c>
    </row>
    <row r="87" spans="1:56" s="26" customFormat="1">
      <c r="A87" s="26">
        <f t="shared" si="40"/>
        <v>2033</v>
      </c>
      <c r="B87" s="26">
        <f t="shared" si="41"/>
        <v>4</v>
      </c>
      <c r="C87" s="19"/>
      <c r="D87" s="43">
        <v>130018574.245967</v>
      </c>
      <c r="E87" s="19"/>
      <c r="F87" s="43">
        <v>23632414.928323701</v>
      </c>
      <c r="G87" s="43">
        <v>4246730.37351547</v>
      </c>
      <c r="H87" s="43">
        <v>23364257.527052902</v>
      </c>
      <c r="I87" s="43">
        <v>131342.17650047899</v>
      </c>
      <c r="J87" s="43">
        <v>722605.90289854503</v>
      </c>
      <c r="K87" s="19"/>
      <c r="L87" s="43">
        <v>1928848.75986332</v>
      </c>
      <c r="M87" s="27"/>
      <c r="N87" s="43">
        <v>1131978.9474402401</v>
      </c>
      <c r="O87" s="19"/>
      <c r="P87" s="43">
        <v>16236619.565323301</v>
      </c>
      <c r="Q87" s="27"/>
      <c r="R87" s="43">
        <v>27849938.875602402</v>
      </c>
      <c r="S87" s="27"/>
      <c r="T87" s="43">
        <v>106486655.09241299</v>
      </c>
      <c r="U87" s="19"/>
      <c r="V87" s="43">
        <v>156939.88330525899</v>
      </c>
      <c r="W87" s="27"/>
      <c r="X87" s="43">
        <v>394187.73983893503</v>
      </c>
      <c r="Y87" s="19"/>
      <c r="Z87" s="19">
        <f t="shared" si="35"/>
        <v>1313636.1232803985</v>
      </c>
      <c r="AA87" s="19"/>
      <c r="AB87" s="19">
        <f t="shared" si="36"/>
        <v>-39768538.718877316</v>
      </c>
      <c r="AC87" s="13"/>
      <c r="AD87" s="19"/>
      <c r="AE87" s="19"/>
      <c r="AF87" s="19">
        <f>BB85/100*AF25</f>
        <v>8974748464.4609604</v>
      </c>
      <c r="AG87" s="33">
        <f t="shared" si="33"/>
        <v>8.4442975943960063E-3</v>
      </c>
      <c r="AH87" s="33"/>
      <c r="AI87" s="33">
        <f t="shared" si="39"/>
        <v>-4.3460120578717029E-3</v>
      </c>
      <c r="AV87" s="26">
        <v>13004711</v>
      </c>
      <c r="AX87" s="26">
        <f t="shared" si="37"/>
        <v>-4.4556292498340572E-4</v>
      </c>
      <c r="AY87" s="45">
        <v>8885.8708015228895</v>
      </c>
      <c r="AZ87" s="33">
        <f t="shared" si="38"/>
        <v>2.0556066384017622E-3</v>
      </c>
      <c r="BA87" s="26">
        <f t="shared" si="31"/>
        <v>133.8123159485867</v>
      </c>
      <c r="BB87" s="26">
        <f t="shared" si="32"/>
        <v>156.80977300504026</v>
      </c>
      <c r="BD87" s="33">
        <f t="shared" si="34"/>
        <v>9.9739755713831972E-3</v>
      </c>
    </row>
    <row r="88" spans="1:56" s="26" customFormat="1">
      <c r="A88" s="34">
        <f t="shared" si="40"/>
        <v>2034</v>
      </c>
      <c r="B88" s="34">
        <f t="shared" si="41"/>
        <v>1</v>
      </c>
      <c r="C88" s="18"/>
      <c r="D88" s="46">
        <v>130275965.105533</v>
      </c>
      <c r="E88" s="18"/>
      <c r="F88" s="46">
        <v>23679198.763843302</v>
      </c>
      <c r="G88" s="46">
        <v>4317911.0814177701</v>
      </c>
      <c r="H88" s="46">
        <v>23755872.780227199</v>
      </c>
      <c r="I88" s="46">
        <v>133543.641693335</v>
      </c>
      <c r="J88" s="46">
        <v>734717.71485239803</v>
      </c>
      <c r="K88" s="18"/>
      <c r="L88" s="46">
        <v>2411827.9607180902</v>
      </c>
      <c r="M88" s="38"/>
      <c r="N88" s="46">
        <v>1135394.60662873</v>
      </c>
      <c r="O88" s="18"/>
      <c r="P88" s="46">
        <v>18761592.8836179</v>
      </c>
      <c r="Q88" s="38"/>
      <c r="R88" s="46">
        <v>23464262.425442699</v>
      </c>
      <c r="S88" s="38"/>
      <c r="T88" s="46">
        <v>89717641.071193904</v>
      </c>
      <c r="U88" s="18"/>
      <c r="V88" s="46">
        <v>153304.250383103</v>
      </c>
      <c r="W88" s="38"/>
      <c r="X88" s="46">
        <v>385056.07812053501</v>
      </c>
      <c r="Y88" s="18"/>
      <c r="Z88" s="18">
        <f t="shared" si="35"/>
        <v>-3608854.6553643234</v>
      </c>
      <c r="AA88" s="18"/>
      <c r="AB88" s="18">
        <f t="shared" si="36"/>
        <v>-59319916.917957008</v>
      </c>
      <c r="AC88" s="13"/>
      <c r="AD88" s="19"/>
      <c r="AE88" s="19"/>
      <c r="AF88" s="19">
        <f>BB86/100*AF25</f>
        <v>8997418153.0294342</v>
      </c>
      <c r="AG88" s="33">
        <f t="shared" si="33"/>
        <v>2.525941385236962E-3</v>
      </c>
      <c r="AH88" s="33"/>
      <c r="AI88" s="33">
        <f t="shared" si="39"/>
        <v>-6.2266933499107455E-3</v>
      </c>
      <c r="AT88" s="34"/>
      <c r="AU88" s="34"/>
      <c r="AV88" s="34">
        <v>13006978</v>
      </c>
      <c r="AW88" s="34"/>
      <c r="AX88" s="34">
        <f t="shared" si="37"/>
        <v>1.7432144397518714E-4</v>
      </c>
      <c r="AY88" s="48">
        <v>8891.2713210391503</v>
      </c>
      <c r="AZ88" s="28">
        <f t="shared" si="38"/>
        <v>6.0776480289756972E-4</v>
      </c>
      <c r="BA88" s="34">
        <f t="shared" ref="BA88:BA119" si="42">BA87*((1+AZ88))</f>
        <v>133.89364236441446</v>
      </c>
      <c r="BB88" s="34">
        <f t="shared" ref="BB88:BB115" si="43">BB87*(1+AX88)*(1+AZ88)</f>
        <v>156.93242838531961</v>
      </c>
      <c r="BC88" s="34"/>
      <c r="BD88" s="33">
        <f t="shared" si="34"/>
        <v>1.183425413372757E-2</v>
      </c>
    </row>
    <row r="89" spans="1:56" s="26" customFormat="1">
      <c r="A89" s="26">
        <f t="shared" si="40"/>
        <v>2034</v>
      </c>
      <c r="B89" s="26">
        <f t="shared" si="41"/>
        <v>2</v>
      </c>
      <c r="C89" s="19"/>
      <c r="D89" s="43">
        <v>130890714.958509</v>
      </c>
      <c r="E89" s="19"/>
      <c r="F89" s="43">
        <v>23790936.826554101</v>
      </c>
      <c r="G89" s="43">
        <v>4374113.8675493598</v>
      </c>
      <c r="H89" s="43">
        <v>24065083.927020401</v>
      </c>
      <c r="I89" s="43">
        <v>135281.87219225001</v>
      </c>
      <c r="J89" s="43">
        <v>744280.946196515</v>
      </c>
      <c r="K89" s="19"/>
      <c r="L89" s="43">
        <v>1917538.16081948</v>
      </c>
      <c r="M89" s="27"/>
      <c r="N89" s="43">
        <v>1142408.11258581</v>
      </c>
      <c r="O89" s="19"/>
      <c r="P89" s="43">
        <v>16235307.002646299</v>
      </c>
      <c r="Q89" s="27"/>
      <c r="R89" s="43">
        <v>28053158.573929001</v>
      </c>
      <c r="S89" s="27"/>
      <c r="T89" s="43">
        <v>107263683.222361</v>
      </c>
      <c r="U89" s="19"/>
      <c r="V89" s="43">
        <v>158268.40103118299</v>
      </c>
      <c r="W89" s="27"/>
      <c r="X89" s="43">
        <v>397524.59334416699</v>
      </c>
      <c r="Y89" s="19"/>
      <c r="Z89" s="19">
        <f t="shared" si="35"/>
        <v>1360543.8750007935</v>
      </c>
      <c r="AA89" s="19"/>
      <c r="AB89" s="19">
        <f t="shared" si="36"/>
        <v>-39862338.738794297</v>
      </c>
      <c r="AC89" s="13"/>
      <c r="AD89" s="19"/>
      <c r="AE89" s="19"/>
      <c r="AF89" s="19">
        <f>BB87/100*AF25</f>
        <v>9011896148.8094769</v>
      </c>
      <c r="AG89" s="33">
        <f t="shared" si="33"/>
        <v>1.6091278113119485E-3</v>
      </c>
      <c r="AH89" s="33">
        <f>(AF89-AF85)/AF85</f>
        <v>1.5583090228088604E-2</v>
      </c>
      <c r="AI89" s="33">
        <f t="shared" si="39"/>
        <v>-4.4128935866766467E-3</v>
      </c>
      <c r="AV89" s="26">
        <v>12976223</v>
      </c>
      <c r="AX89" s="26">
        <f t="shared" si="37"/>
        <v>-2.3645000399016591E-3</v>
      </c>
      <c r="AY89" s="45">
        <v>8957.4207650614699</v>
      </c>
      <c r="AZ89" s="33">
        <f t="shared" si="38"/>
        <v>7.4398184054728063E-3</v>
      </c>
      <c r="BA89" s="26">
        <f t="shared" si="42"/>
        <v>134.88978674925301</v>
      </c>
      <c r="BB89" s="26">
        <f t="shared" si="43"/>
        <v>157.72614975214614</v>
      </c>
      <c r="BD89" s="33">
        <f t="shared" si="34"/>
        <v>1.0017172734273152E-2</v>
      </c>
    </row>
    <row r="90" spans="1:56" s="34" customFormat="1">
      <c r="A90" s="26">
        <f t="shared" si="40"/>
        <v>2034</v>
      </c>
      <c r="B90" s="26">
        <f t="shared" si="41"/>
        <v>3</v>
      </c>
      <c r="C90" s="19"/>
      <c r="D90" s="43">
        <v>131053116.937279</v>
      </c>
      <c r="E90" s="19"/>
      <c r="F90" s="43">
        <v>23820455.308584299</v>
      </c>
      <c r="G90" s="43">
        <v>4494614.5530244103</v>
      </c>
      <c r="H90" s="43">
        <v>24728043.145054098</v>
      </c>
      <c r="I90" s="43">
        <v>139008.697516218</v>
      </c>
      <c r="J90" s="43">
        <v>764784.83953774802</v>
      </c>
      <c r="K90" s="19"/>
      <c r="L90" s="43">
        <v>1939734.1883346301</v>
      </c>
      <c r="M90" s="27"/>
      <c r="N90" s="43">
        <v>1145829.28406498</v>
      </c>
      <c r="O90" s="19"/>
      <c r="P90" s="43">
        <v>16369304.571007401</v>
      </c>
      <c r="Q90" s="27"/>
      <c r="R90" s="43">
        <v>23667260.258788399</v>
      </c>
      <c r="S90" s="27"/>
      <c r="T90" s="43">
        <v>90493820.881158501</v>
      </c>
      <c r="U90" s="19"/>
      <c r="V90" s="43">
        <v>157264.606839238</v>
      </c>
      <c r="W90" s="27"/>
      <c r="X90" s="43">
        <v>395003.35173589701</v>
      </c>
      <c r="Y90" s="19"/>
      <c r="Z90" s="19">
        <f t="shared" si="35"/>
        <v>-3081493.9153562672</v>
      </c>
      <c r="AA90" s="19"/>
      <c r="AB90" s="19">
        <f t="shared" si="36"/>
        <v>-56928600.627127901</v>
      </c>
      <c r="AC90" s="13"/>
      <c r="AD90" s="18"/>
      <c r="AE90" s="18"/>
      <c r="AF90" s="18">
        <f>BB88/100*AF25</f>
        <v>9018945183.6240005</v>
      </c>
      <c r="AG90" s="28">
        <f t="shared" ref="AG90:AG121" si="44">(AF90-AF89)/AF89</f>
        <v>7.82192193310496E-4</v>
      </c>
      <c r="AH90" s="28"/>
      <c r="AI90" s="28">
        <f t="shared" si="39"/>
        <v>-6.5772566203934979E-3</v>
      </c>
      <c r="AT90" s="26"/>
      <c r="AU90" s="26"/>
      <c r="AV90" s="26">
        <v>12968366</v>
      </c>
      <c r="AW90" s="26"/>
      <c r="AX90" s="26">
        <f t="shared" si="37"/>
        <v>-6.0549206036301939E-4</v>
      </c>
      <c r="AY90" s="45">
        <v>8965.3390957072497</v>
      </c>
      <c r="AZ90" s="33">
        <f t="shared" si="38"/>
        <v>8.8399672779305028E-4</v>
      </c>
      <c r="BA90" s="26">
        <f t="shared" si="42"/>
        <v>135.00902887935206</v>
      </c>
      <c r="BB90" s="26">
        <f t="shared" si="43"/>
        <v>157.76999279763308</v>
      </c>
      <c r="BC90" s="26"/>
      <c r="BD90" s="28">
        <f t="shared" si="34"/>
        <v>1.1902678901303263E-2</v>
      </c>
    </row>
    <row r="91" spans="1:56" s="26" customFormat="1">
      <c r="A91" s="26">
        <f t="shared" si="40"/>
        <v>2034</v>
      </c>
      <c r="B91" s="26">
        <f t="shared" si="41"/>
        <v>4</v>
      </c>
      <c r="C91" s="19"/>
      <c r="D91" s="43">
        <v>131340580.425593</v>
      </c>
      <c r="E91" s="19"/>
      <c r="F91" s="43">
        <v>23872705.200355399</v>
      </c>
      <c r="G91" s="43">
        <v>4586296.0288403397</v>
      </c>
      <c r="H91" s="43">
        <v>25232447.5745847</v>
      </c>
      <c r="I91" s="43">
        <v>141844.20707753699</v>
      </c>
      <c r="J91" s="43">
        <v>780384.976533551</v>
      </c>
      <c r="K91" s="19"/>
      <c r="L91" s="43">
        <v>1934749.73751329</v>
      </c>
      <c r="M91" s="27"/>
      <c r="N91" s="43">
        <v>1150577.1512613101</v>
      </c>
      <c r="O91" s="19"/>
      <c r="P91" s="43">
        <v>16369561.596467299</v>
      </c>
      <c r="Q91" s="27"/>
      <c r="R91" s="43">
        <v>28217116.8777234</v>
      </c>
      <c r="S91" s="27"/>
      <c r="T91" s="43">
        <v>107890592.00746401</v>
      </c>
      <c r="U91" s="19"/>
      <c r="V91" s="43">
        <v>159808.006765275</v>
      </c>
      <c r="W91" s="27"/>
      <c r="X91" s="43">
        <v>401391.63906755601</v>
      </c>
      <c r="Y91" s="19"/>
      <c r="Z91" s="19">
        <f t="shared" si="35"/>
        <v>1418892.7953586765</v>
      </c>
      <c r="AA91" s="19"/>
      <c r="AB91" s="19">
        <f t="shared" si="36"/>
        <v>-39819550.014596298</v>
      </c>
      <c r="AC91" s="13"/>
      <c r="AD91" s="19"/>
      <c r="AE91" s="19"/>
      <c r="AF91" s="19">
        <f>BB89/100*AF25</f>
        <v>9064560545.4210091</v>
      </c>
      <c r="AG91" s="33">
        <f t="shared" si="44"/>
        <v>5.0577269146544817E-3</v>
      </c>
      <c r="AH91" s="33"/>
      <c r="AI91" s="33">
        <f t="shared" si="39"/>
        <v>-4.3976030099915743E-3</v>
      </c>
      <c r="AV91" s="26">
        <v>12984922</v>
      </c>
      <c r="AX91" s="26">
        <f t="shared" si="37"/>
        <v>1.2766450299135604E-3</v>
      </c>
      <c r="AY91" s="45">
        <v>8999.8537819339708</v>
      </c>
      <c r="AZ91" s="33">
        <f t="shared" si="38"/>
        <v>3.8497914979308801E-3</v>
      </c>
      <c r="BA91" s="26">
        <f t="shared" si="42"/>
        <v>135.52878549087569</v>
      </c>
      <c r="BB91" s="26">
        <f t="shared" si="43"/>
        <v>158.57956606238002</v>
      </c>
      <c r="BD91" s="33">
        <f t="shared" si="34"/>
        <v>1.0008226723068125E-2</v>
      </c>
    </row>
    <row r="92" spans="1:56" s="26" customFormat="1">
      <c r="A92" s="34">
        <f t="shared" si="40"/>
        <v>2035</v>
      </c>
      <c r="B92" s="34">
        <f t="shared" si="41"/>
        <v>1</v>
      </c>
      <c r="C92" s="18"/>
      <c r="D92" s="46">
        <v>131020836.71855401</v>
      </c>
      <c r="E92" s="18"/>
      <c r="F92" s="46">
        <v>23814587.996722799</v>
      </c>
      <c r="G92" s="46">
        <v>4683862.6858846098</v>
      </c>
      <c r="H92" s="46">
        <v>25769230.534824599</v>
      </c>
      <c r="I92" s="46">
        <v>144861.73255313301</v>
      </c>
      <c r="J92" s="46">
        <v>796986.51138632896</v>
      </c>
      <c r="K92" s="18"/>
      <c r="L92" s="46">
        <v>2383542.0538564399</v>
      </c>
      <c r="M92" s="38"/>
      <c r="N92" s="46">
        <v>1149255.9889281001</v>
      </c>
      <c r="O92" s="18"/>
      <c r="P92" s="46">
        <v>18691078.4140894</v>
      </c>
      <c r="Q92" s="38"/>
      <c r="R92" s="46">
        <v>24063066.497231402</v>
      </c>
      <c r="S92" s="38"/>
      <c r="T92" s="46">
        <v>92007220.339044899</v>
      </c>
      <c r="U92" s="18"/>
      <c r="V92" s="46">
        <v>165698.82726280301</v>
      </c>
      <c r="W92" s="38"/>
      <c r="X92" s="46">
        <v>416187.68178667099</v>
      </c>
      <c r="Y92" s="18"/>
      <c r="Z92" s="18">
        <f t="shared" si="35"/>
        <v>-3118620.7150131352</v>
      </c>
      <c r="AA92" s="18"/>
      <c r="AB92" s="18">
        <f t="shared" si="36"/>
        <v>-57704694.793598503</v>
      </c>
      <c r="AC92" s="13"/>
      <c r="AD92" s="19"/>
      <c r="AE92" s="19"/>
      <c r="AF92" s="19">
        <f>BB90/100*AF25</f>
        <v>9067080216.0078888</v>
      </c>
      <c r="AG92" s="33">
        <f t="shared" si="44"/>
        <v>2.7796941443041602E-4</v>
      </c>
      <c r="AH92" s="33"/>
      <c r="AI92" s="33">
        <f t="shared" si="39"/>
        <v>-6.278603395018025E-3</v>
      </c>
      <c r="AT92" s="34"/>
      <c r="AU92" s="34"/>
      <c r="AV92" s="34">
        <v>13073425</v>
      </c>
      <c r="AW92" s="34"/>
      <c r="AX92" s="34">
        <f t="shared" si="37"/>
        <v>6.8158283892656418E-3</v>
      </c>
      <c r="AY92" s="48">
        <v>9047.9199965307198</v>
      </c>
      <c r="AZ92" s="28">
        <f t="shared" si="38"/>
        <v>5.3407772794304299E-3</v>
      </c>
      <c r="BA92" s="34">
        <f t="shared" si="42"/>
        <v>136.25261454913417</v>
      </c>
      <c r="BB92" s="34">
        <f t="shared" si="43"/>
        <v>160.51312789915511</v>
      </c>
      <c r="BC92" s="34"/>
      <c r="BD92" s="33">
        <f t="shared" si="34"/>
        <v>1.1926545040970429E-2</v>
      </c>
    </row>
    <row r="93" spans="1:56" s="26" customFormat="1">
      <c r="A93" s="26">
        <f t="shared" si="40"/>
        <v>2035</v>
      </c>
      <c r="B93" s="26">
        <f t="shared" si="41"/>
        <v>2</v>
      </c>
      <c r="C93" s="19"/>
      <c r="D93" s="43">
        <v>132043540.788222</v>
      </c>
      <c r="E93" s="19"/>
      <c r="F93" s="43">
        <v>24000476.567363098</v>
      </c>
      <c r="G93" s="43">
        <v>4756483.8776252698</v>
      </c>
      <c r="H93" s="43">
        <v>26168770.905066099</v>
      </c>
      <c r="I93" s="43">
        <v>147107.748792534</v>
      </c>
      <c r="J93" s="43">
        <v>809343.43005358696</v>
      </c>
      <c r="K93" s="19"/>
      <c r="L93" s="43">
        <v>1878218.1298319499</v>
      </c>
      <c r="M93" s="27"/>
      <c r="N93" s="43">
        <v>1160476.22376158</v>
      </c>
      <c r="O93" s="19"/>
      <c r="P93" s="43">
        <v>16130680.591666801</v>
      </c>
      <c r="Q93" s="27"/>
      <c r="R93" s="43">
        <v>28580109.146069199</v>
      </c>
      <c r="S93" s="27"/>
      <c r="T93" s="43">
        <v>109278524.406642</v>
      </c>
      <c r="U93" s="19"/>
      <c r="V93" s="43">
        <v>166252.35180011101</v>
      </c>
      <c r="W93" s="27"/>
      <c r="X93" s="43">
        <v>417577.97583883599</v>
      </c>
      <c r="Y93" s="19"/>
      <c r="Z93" s="19">
        <f t="shared" si="35"/>
        <v>1707190.5769126788</v>
      </c>
      <c r="AA93" s="19"/>
      <c r="AB93" s="19">
        <f t="shared" si="36"/>
        <v>-38895696.973246798</v>
      </c>
      <c r="AC93" s="13"/>
      <c r="AD93" s="19"/>
      <c r="AE93" s="19"/>
      <c r="AF93" s="19">
        <f>BB91/100*AF25</f>
        <v>9113606590.269762</v>
      </c>
      <c r="AG93" s="33">
        <f t="shared" si="44"/>
        <v>5.1313513450262794E-3</v>
      </c>
      <c r="AH93" s="33">
        <f>(AF93-AF89)/AF89</f>
        <v>1.1286242071677858E-2</v>
      </c>
      <c r="AI93" s="33">
        <f t="shared" si="39"/>
        <v>-4.3692417069121749E-3</v>
      </c>
      <c r="AV93" s="26">
        <v>13100071</v>
      </c>
      <c r="AX93" s="26">
        <f t="shared" si="37"/>
        <v>2.0381805074033777E-3</v>
      </c>
      <c r="AY93" s="45">
        <v>9038.6756642834207</v>
      </c>
      <c r="AZ93" s="33">
        <f t="shared" si="38"/>
        <v>-1.0217080003850265E-3</v>
      </c>
      <c r="BA93" s="26">
        <f t="shared" si="42"/>
        <v>136.11340416277594</v>
      </c>
      <c r="BB93" s="26">
        <f t="shared" si="43"/>
        <v>160.67595082407669</v>
      </c>
      <c r="BD93" s="33">
        <f t="shared" si="34"/>
        <v>1.00360103112032E-2</v>
      </c>
    </row>
    <row r="94" spans="1:56" s="34" customFormat="1">
      <c r="A94" s="26">
        <f t="shared" si="40"/>
        <v>2035</v>
      </c>
      <c r="B94" s="26">
        <f t="shared" si="41"/>
        <v>3</v>
      </c>
      <c r="C94" s="19"/>
      <c r="D94" s="43">
        <v>132877249.568569</v>
      </c>
      <c r="E94" s="19"/>
      <c r="F94" s="43">
        <v>24152013.006989699</v>
      </c>
      <c r="G94" s="43">
        <v>4858245.8881379096</v>
      </c>
      <c r="H94" s="43">
        <v>26728635.462259401</v>
      </c>
      <c r="I94" s="43">
        <v>150255.02746818299</v>
      </c>
      <c r="J94" s="43">
        <v>826658.82872967503</v>
      </c>
      <c r="K94" s="19"/>
      <c r="L94" s="43">
        <v>1844031.4248611601</v>
      </c>
      <c r="M94" s="27"/>
      <c r="N94" s="43">
        <v>1170160.03503825</v>
      </c>
      <c r="O94" s="19"/>
      <c r="P94" s="43">
        <v>16006563.0895146</v>
      </c>
      <c r="Q94" s="27"/>
      <c r="R94" s="43">
        <v>24371857.199376401</v>
      </c>
      <c r="S94" s="27"/>
      <c r="T94" s="43">
        <v>93187908.352111399</v>
      </c>
      <c r="U94" s="19"/>
      <c r="V94" s="43">
        <v>163841.023651542</v>
      </c>
      <c r="W94" s="27"/>
      <c r="X94" s="43">
        <v>411521.41473482701</v>
      </c>
      <c r="Y94" s="19"/>
      <c r="Z94" s="19">
        <f t="shared" si="35"/>
        <v>-2630506.2438611686</v>
      </c>
      <c r="AA94" s="19"/>
      <c r="AB94" s="19">
        <f t="shared" si="36"/>
        <v>-55695904.305972204</v>
      </c>
      <c r="AC94" s="13"/>
      <c r="AD94" s="18"/>
      <c r="AE94" s="18"/>
      <c r="AF94" s="18">
        <f>BB92/100*AF25</f>
        <v>9224728863.6867275</v>
      </c>
      <c r="AG94" s="28">
        <f t="shared" si="44"/>
        <v>1.2193007490097977E-2</v>
      </c>
      <c r="AH94" s="28"/>
      <c r="AI94" s="28">
        <f t="shared" si="39"/>
        <v>-6.2554353245821486E-3</v>
      </c>
      <c r="AT94" s="26"/>
      <c r="AU94" s="26"/>
      <c r="AV94" s="26">
        <v>13071157</v>
      </c>
      <c r="AW94" s="26"/>
      <c r="AX94" s="26">
        <f t="shared" si="37"/>
        <v>-2.2071636100292891E-3</v>
      </c>
      <c r="AY94" s="45">
        <v>9126.0930295411999</v>
      </c>
      <c r="AZ94" s="33">
        <f t="shared" si="38"/>
        <v>9.6714793742640193E-3</v>
      </c>
      <c r="BA94" s="26">
        <f t="shared" si="42"/>
        <v>137.42982214369709</v>
      </c>
      <c r="BB94" s="26">
        <f t="shared" si="43"/>
        <v>161.87185698156395</v>
      </c>
      <c r="BC94" s="26"/>
      <c r="BD94" s="28">
        <f t="shared" si="34"/>
        <v>1.1930834553831334E-2</v>
      </c>
    </row>
    <row r="95" spans="1:56" s="26" customFormat="1">
      <c r="A95" s="26">
        <f t="shared" si="40"/>
        <v>2035</v>
      </c>
      <c r="B95" s="26">
        <f t="shared" si="41"/>
        <v>4</v>
      </c>
      <c r="C95" s="19"/>
      <c r="D95" s="43">
        <v>133171274.14946701</v>
      </c>
      <c r="E95" s="19"/>
      <c r="F95" s="43">
        <v>24205455.4550029</v>
      </c>
      <c r="G95" s="43">
        <v>4961403.9853023002</v>
      </c>
      <c r="H95" s="43">
        <v>27296180.876298599</v>
      </c>
      <c r="I95" s="43">
        <v>153445.48408151499</v>
      </c>
      <c r="J95" s="43">
        <v>844211.77967934299</v>
      </c>
      <c r="K95" s="19"/>
      <c r="L95" s="43">
        <v>1872405.1552812301</v>
      </c>
      <c r="M95" s="27"/>
      <c r="N95" s="43">
        <v>1174935.0828393099</v>
      </c>
      <c r="O95" s="19"/>
      <c r="P95" s="43">
        <v>16180065.415681999</v>
      </c>
      <c r="Q95" s="27"/>
      <c r="R95" s="43">
        <v>28991495.977719299</v>
      </c>
      <c r="S95" s="27"/>
      <c r="T95" s="43">
        <v>110851497.613052</v>
      </c>
      <c r="U95" s="19"/>
      <c r="V95" s="43">
        <v>162549.34670533499</v>
      </c>
      <c r="W95" s="27"/>
      <c r="X95" s="43">
        <v>408277.094646752</v>
      </c>
      <c r="Y95" s="19"/>
      <c r="Z95" s="19">
        <f t="shared" si="35"/>
        <v>1901249.6313011944</v>
      </c>
      <c r="AA95" s="19"/>
      <c r="AB95" s="19">
        <f t="shared" si="36"/>
        <v>-38499841.952097014</v>
      </c>
      <c r="AC95" s="13"/>
      <c r="AD95" s="19"/>
      <c r="AE95" s="19"/>
      <c r="AF95" s="19">
        <f>BB93/100*AF25</f>
        <v>9234086337.1523113</v>
      </c>
      <c r="AG95" s="33">
        <f t="shared" si="44"/>
        <v>1.0143900816878884E-3</v>
      </c>
      <c r="AH95" s="33"/>
      <c r="AI95" s="33">
        <f t="shared" si="39"/>
        <v>-4.2121868426499677E-3</v>
      </c>
      <c r="AV95" s="26">
        <v>13042341</v>
      </c>
      <c r="AX95" s="26">
        <f t="shared" si="37"/>
        <v>-2.2045485338444025E-3</v>
      </c>
      <c r="AY95" s="45">
        <v>9156.4223679721108</v>
      </c>
      <c r="AZ95" s="33">
        <f t="shared" si="38"/>
        <v>3.3233650295624506E-3</v>
      </c>
      <c r="BA95" s="26">
        <f t="shared" si="42"/>
        <v>137.88655160862845</v>
      </c>
      <c r="BB95" s="26">
        <f t="shared" si="43"/>
        <v>162.05177592803022</v>
      </c>
      <c r="BD95" s="33">
        <f t="shared" si="34"/>
        <v>1.0016217815032119E-2</v>
      </c>
    </row>
    <row r="96" spans="1:56" s="26" customFormat="1">
      <c r="A96" s="34">
        <f t="shared" si="40"/>
        <v>2036</v>
      </c>
      <c r="B96" s="34">
        <f t="shared" si="41"/>
        <v>1</v>
      </c>
      <c r="C96" s="18"/>
      <c r="D96" s="46">
        <v>133855966.52435499</v>
      </c>
      <c r="E96" s="18"/>
      <c r="F96" s="46">
        <v>24329906.398996599</v>
      </c>
      <c r="G96" s="46">
        <v>5054753.91856765</v>
      </c>
      <c r="H96" s="46">
        <v>27809764.6664415</v>
      </c>
      <c r="I96" s="46">
        <v>156332.59541961801</v>
      </c>
      <c r="J96" s="46">
        <v>860095.81442602596</v>
      </c>
      <c r="K96" s="18"/>
      <c r="L96" s="46">
        <v>2356624.2839118801</v>
      </c>
      <c r="M96" s="38"/>
      <c r="N96" s="46">
        <v>1182995.03362424</v>
      </c>
      <c r="O96" s="18"/>
      <c r="P96" s="46">
        <v>18737024.2471761</v>
      </c>
      <c r="Q96" s="38"/>
      <c r="R96" s="46">
        <v>24428998.3787762</v>
      </c>
      <c r="S96" s="38"/>
      <c r="T96" s="46">
        <v>93406392.604069605</v>
      </c>
      <c r="U96" s="18"/>
      <c r="V96" s="46">
        <v>169283.83979900001</v>
      </c>
      <c r="W96" s="38"/>
      <c r="X96" s="46">
        <v>425192.199689803</v>
      </c>
      <c r="Y96" s="18"/>
      <c r="Z96" s="18">
        <f t="shared" si="35"/>
        <v>-3271243.4979575165</v>
      </c>
      <c r="AA96" s="18"/>
      <c r="AB96" s="18">
        <f t="shared" si="36"/>
        <v>-59186598.167461485</v>
      </c>
      <c r="AC96" s="13"/>
      <c r="AD96" s="19"/>
      <c r="AE96" s="19"/>
      <c r="AF96" s="19">
        <f>BB94/100*AF25</f>
        <v>9302815357.5983162</v>
      </c>
      <c r="AG96" s="33">
        <f t="shared" si="44"/>
        <v>7.4429692269045999E-3</v>
      </c>
      <c r="AH96" s="33"/>
      <c r="AI96" s="33">
        <f t="shared" si="39"/>
        <v>-5.9869944919933435E-3</v>
      </c>
      <c r="AT96" s="34"/>
      <c r="AU96" s="34"/>
      <c r="AV96" s="34">
        <v>13018434</v>
      </c>
      <c r="AW96" s="34"/>
      <c r="AX96" s="34">
        <f t="shared" si="37"/>
        <v>-1.8330298218701688E-3</v>
      </c>
      <c r="AY96" s="48">
        <v>9192.7455744416693</v>
      </c>
      <c r="AZ96" s="28">
        <f t="shared" si="38"/>
        <v>3.9669649356294454E-3</v>
      </c>
      <c r="BA96" s="34">
        <f t="shared" si="42"/>
        <v>138.43354272395476</v>
      </c>
      <c r="BB96" s="34">
        <f t="shared" si="43"/>
        <v>162.39640553290334</v>
      </c>
      <c r="BC96" s="34"/>
      <c r="BD96" s="33">
        <f t="shared" si="34"/>
        <v>1.1920276123908502E-2</v>
      </c>
    </row>
    <row r="97" spans="1:56" s="26" customFormat="1">
      <c r="A97" s="26">
        <f t="shared" si="40"/>
        <v>2036</v>
      </c>
      <c r="B97" s="26">
        <f t="shared" si="41"/>
        <v>2</v>
      </c>
      <c r="C97" s="19"/>
      <c r="D97" s="43">
        <v>134327715.52509999</v>
      </c>
      <c r="E97" s="19"/>
      <c r="F97" s="43">
        <v>24415652.364080999</v>
      </c>
      <c r="G97" s="43">
        <v>5126286.8145496603</v>
      </c>
      <c r="H97" s="43">
        <v>28203317.5545181</v>
      </c>
      <c r="I97" s="43">
        <v>158544.95302731101</v>
      </c>
      <c r="J97" s="43">
        <v>872267.55323252699</v>
      </c>
      <c r="K97" s="19"/>
      <c r="L97" s="43">
        <v>1900883.3460287601</v>
      </c>
      <c r="M97" s="27"/>
      <c r="N97" s="43">
        <v>1189051.32945532</v>
      </c>
      <c r="O97" s="19"/>
      <c r="P97" s="43">
        <v>16405502.3067657</v>
      </c>
      <c r="Q97" s="27"/>
      <c r="R97" s="43">
        <v>29328303.239914902</v>
      </c>
      <c r="S97" s="27"/>
      <c r="T97" s="43">
        <v>112139309.37171499</v>
      </c>
      <c r="U97" s="19"/>
      <c r="V97" s="43">
        <v>167105.40044512501</v>
      </c>
      <c r="W97" s="27"/>
      <c r="X97" s="43">
        <v>419720.58809436299</v>
      </c>
      <c r="Y97" s="19"/>
      <c r="Z97" s="19">
        <f t="shared" si="35"/>
        <v>1989821.6007949486</v>
      </c>
      <c r="AA97" s="19"/>
      <c r="AB97" s="19">
        <f t="shared" si="36"/>
        <v>-38593908.460150704</v>
      </c>
      <c r="AC97" s="13"/>
      <c r="AD97" s="19"/>
      <c r="AE97" s="19"/>
      <c r="AF97" s="19">
        <f>BB95/100*AF25</f>
        <v>9313155343.6188641</v>
      </c>
      <c r="AG97" s="33">
        <f t="shared" si="44"/>
        <v>1.1114899762148256E-3</v>
      </c>
      <c r="AH97" s="33">
        <f>(AF97-AF93)/AF93</f>
        <v>2.1895695339993318E-2</v>
      </c>
      <c r="AI97" s="33">
        <f t="shared" si="39"/>
        <v>-4.1339203021536755E-3</v>
      </c>
      <c r="AV97" s="26">
        <v>13102133</v>
      </c>
      <c r="AX97" s="26">
        <f t="shared" si="37"/>
        <v>6.4292679134832957E-3</v>
      </c>
      <c r="AY97" s="45">
        <v>9202.0744427299505</v>
      </c>
      <c r="AZ97" s="33">
        <f t="shared" si="38"/>
        <v>1.0148076233305115E-3</v>
      </c>
      <c r="BA97" s="26">
        <f t="shared" si="42"/>
        <v>138.57402613843567</v>
      </c>
      <c r="BB97" s="26">
        <f t="shared" si="43"/>
        <v>163.60635619308812</v>
      </c>
      <c r="BD97" s="33">
        <f t="shared" si="34"/>
        <v>1.0033360417474093E-2</v>
      </c>
    </row>
    <row r="98" spans="1:56" s="34" customFormat="1">
      <c r="A98" s="26">
        <f t="shared" si="40"/>
        <v>2036</v>
      </c>
      <c r="B98" s="26">
        <f t="shared" si="41"/>
        <v>3</v>
      </c>
      <c r="C98" s="19"/>
      <c r="D98" s="43">
        <v>134704783.26309401</v>
      </c>
      <c r="E98" s="19"/>
      <c r="F98" s="43">
        <v>24484188.888897199</v>
      </c>
      <c r="G98" s="43">
        <v>5231548.0514326803</v>
      </c>
      <c r="H98" s="43">
        <v>28782433.822762601</v>
      </c>
      <c r="I98" s="43">
        <v>161800.455198949</v>
      </c>
      <c r="J98" s="43">
        <v>890178.36565245304</v>
      </c>
      <c r="K98" s="19"/>
      <c r="L98" s="43">
        <v>1886347.0970555299</v>
      </c>
      <c r="M98" s="27"/>
      <c r="N98" s="43">
        <v>1194215.9530835201</v>
      </c>
      <c r="O98" s="19"/>
      <c r="P98" s="43">
        <v>16358487.8771332</v>
      </c>
      <c r="Q98" s="27"/>
      <c r="R98" s="43">
        <v>24783771.4493341</v>
      </c>
      <c r="S98" s="27"/>
      <c r="T98" s="43">
        <v>94762898.188132703</v>
      </c>
      <c r="U98" s="19"/>
      <c r="V98" s="43">
        <v>171859.95128706799</v>
      </c>
      <c r="W98" s="27"/>
      <c r="X98" s="43">
        <v>431662.64903427899</v>
      </c>
      <c r="Y98" s="19"/>
      <c r="Z98" s="19">
        <f t="shared" si="35"/>
        <v>-2609120.5384150781</v>
      </c>
      <c r="AA98" s="19"/>
      <c r="AB98" s="19">
        <f t="shared" si="36"/>
        <v>-56300372.95209451</v>
      </c>
      <c r="AC98" s="13"/>
      <c r="AD98" s="18"/>
      <c r="AE98" s="18"/>
      <c r="AF98" s="18">
        <f>BB96/100*AF25</f>
        <v>9332961291.6117992</v>
      </c>
      <c r="AG98" s="28">
        <f t="shared" si="44"/>
        <v>2.1266635487300991E-3</v>
      </c>
      <c r="AH98" s="28"/>
      <c r="AI98" s="28">
        <f t="shared" si="39"/>
        <v>-6.3416740215837732E-3</v>
      </c>
      <c r="AT98" s="26"/>
      <c r="AU98" s="26"/>
      <c r="AV98" s="26">
        <v>13132125</v>
      </c>
      <c r="AW98" s="26"/>
      <c r="AX98" s="26">
        <f t="shared" si="37"/>
        <v>2.2890929286094102E-3</v>
      </c>
      <c r="AY98" s="45">
        <v>9219.9114326445106</v>
      </c>
      <c r="AZ98" s="33">
        <f t="shared" si="38"/>
        <v>1.9383661831438512E-3</v>
      </c>
      <c r="BA98" s="26">
        <f t="shared" si="42"/>
        <v>138.84263334456449</v>
      </c>
      <c r="BB98" s="26">
        <f t="shared" si="43"/>
        <v>164.29872131213324</v>
      </c>
      <c r="BC98" s="26"/>
      <c r="BD98" s="28">
        <f t="shared" si="34"/>
        <v>1.196883047929838E-2</v>
      </c>
    </row>
    <row r="99" spans="1:56" s="26" customFormat="1">
      <c r="A99" s="26">
        <f t="shared" si="40"/>
        <v>2036</v>
      </c>
      <c r="B99" s="26">
        <f t="shared" si="41"/>
        <v>4</v>
      </c>
      <c r="C99" s="19"/>
      <c r="D99" s="43">
        <v>134977727.55507901</v>
      </c>
      <c r="E99" s="19"/>
      <c r="F99" s="43">
        <v>24533799.744868401</v>
      </c>
      <c r="G99" s="43">
        <v>5368549.8050679499</v>
      </c>
      <c r="H99" s="43">
        <v>29536177.049211498</v>
      </c>
      <c r="I99" s="43">
        <v>166037.62283715399</v>
      </c>
      <c r="J99" s="43">
        <v>913490.01183129102</v>
      </c>
      <c r="K99" s="19"/>
      <c r="L99" s="43">
        <v>1847677.6509698799</v>
      </c>
      <c r="M99" s="27"/>
      <c r="N99" s="43">
        <v>1198426.8971070901</v>
      </c>
      <c r="O99" s="19"/>
      <c r="P99" s="43">
        <v>16180999.309156399</v>
      </c>
      <c r="Q99" s="27"/>
      <c r="R99" s="43">
        <v>29528621.9074849</v>
      </c>
      <c r="S99" s="27"/>
      <c r="T99" s="43">
        <v>112905245.159128</v>
      </c>
      <c r="U99" s="19"/>
      <c r="V99" s="43">
        <v>172440.071623514</v>
      </c>
      <c r="W99" s="27"/>
      <c r="X99" s="43">
        <v>433119.74406609801</v>
      </c>
      <c r="Y99" s="19"/>
      <c r="Z99" s="19">
        <f t="shared" si="35"/>
        <v>2121157.6861630417</v>
      </c>
      <c r="AA99" s="19"/>
      <c r="AB99" s="19">
        <f t="shared" si="36"/>
        <v>-38253481.705107421</v>
      </c>
      <c r="AC99" s="13"/>
      <c r="AD99" s="19"/>
      <c r="AE99" s="19"/>
      <c r="AF99" s="19">
        <f>BB97/100*AF25</f>
        <v>9402497453.0755253</v>
      </c>
      <c r="AG99" s="33">
        <f t="shared" si="44"/>
        <v>7.4506000069049011E-3</v>
      </c>
      <c r="AH99" s="33"/>
      <c r="AI99" s="33">
        <f t="shared" si="39"/>
        <v>-4.1046443939771306E-3</v>
      </c>
      <c r="AV99" s="26">
        <v>13064011</v>
      </c>
      <c r="AX99" s="26">
        <f t="shared" si="37"/>
        <v>-5.1868223916540545E-3</v>
      </c>
      <c r="AY99" s="45">
        <v>9288.6217689273308</v>
      </c>
      <c r="AZ99" s="33">
        <f t="shared" si="38"/>
        <v>7.4523857181036171E-3</v>
      </c>
      <c r="BA99" s="26">
        <f t="shared" si="42"/>
        <v>139.87734220236544</v>
      </c>
      <c r="BB99" s="26">
        <f t="shared" si="43"/>
        <v>164.66459963390423</v>
      </c>
      <c r="BD99" s="33">
        <f t="shared" si="34"/>
        <v>1.0071639679568282E-2</v>
      </c>
    </row>
    <row r="100" spans="1:56" s="26" customFormat="1">
      <c r="A100" s="34">
        <f t="shared" si="40"/>
        <v>2037</v>
      </c>
      <c r="B100" s="34">
        <f t="shared" si="41"/>
        <v>1</v>
      </c>
      <c r="C100" s="18"/>
      <c r="D100" s="46">
        <v>135223735.65846899</v>
      </c>
      <c r="E100" s="18"/>
      <c r="F100" s="46">
        <v>24578514.629712801</v>
      </c>
      <c r="G100" s="46">
        <v>5448789.5145061901</v>
      </c>
      <c r="H100" s="46">
        <v>29977632.255998999</v>
      </c>
      <c r="I100" s="46">
        <v>168519.26333524301</v>
      </c>
      <c r="J100" s="46">
        <v>927143.26564945304</v>
      </c>
      <c r="K100" s="18"/>
      <c r="L100" s="46">
        <v>2262342.5161473099</v>
      </c>
      <c r="M100" s="38"/>
      <c r="N100" s="46">
        <v>1202532.9094880701</v>
      </c>
      <c r="O100" s="18"/>
      <c r="P100" s="46">
        <v>18355287.334446501</v>
      </c>
      <c r="Q100" s="38"/>
      <c r="R100" s="46">
        <v>24805808.232939199</v>
      </c>
      <c r="S100" s="38"/>
      <c r="T100" s="46">
        <v>94847157.740212396</v>
      </c>
      <c r="U100" s="18"/>
      <c r="V100" s="46">
        <v>172835.66957315599</v>
      </c>
      <c r="W100" s="38"/>
      <c r="X100" s="46">
        <v>434113.37206154497</v>
      </c>
      <c r="Y100" s="18"/>
      <c r="Z100" s="18">
        <f t="shared" si="35"/>
        <v>-3064746.1528358273</v>
      </c>
      <c r="AA100" s="18"/>
      <c r="AB100" s="18">
        <f t="shared" si="36"/>
        <v>-58731865.2527031</v>
      </c>
      <c r="AC100" s="13"/>
      <c r="AD100" s="19"/>
      <c r="AE100" s="19"/>
      <c r="AF100" s="19">
        <f>BB98/100*AF25</f>
        <v>9442287846.4312515</v>
      </c>
      <c r="AG100" s="33">
        <f t="shared" si="44"/>
        <v>4.2318962120761793E-3</v>
      </c>
      <c r="AH100" s="33"/>
      <c r="AI100" s="33">
        <f t="shared" si="39"/>
        <v>-5.9625774883968882E-3</v>
      </c>
      <c r="AT100" s="34"/>
      <c r="AU100" s="34"/>
      <c r="AV100" s="34">
        <v>13110398</v>
      </c>
      <c r="AW100" s="34"/>
      <c r="AX100" s="34">
        <f t="shared" si="37"/>
        <v>3.5507471633329153E-3</v>
      </c>
      <c r="AY100" s="48">
        <v>9261.6679430942404</v>
      </c>
      <c r="AZ100" s="28">
        <f t="shared" si="38"/>
        <v>-2.9018111086466449E-3</v>
      </c>
      <c r="BA100" s="34">
        <f t="shared" si="42"/>
        <v>139.47144457691465</v>
      </c>
      <c r="BB100" s="34">
        <f t="shared" si="43"/>
        <v>164.76975979176973</v>
      </c>
      <c r="BC100" s="34"/>
      <c r="BD100" s="33">
        <f t="shared" si="34"/>
        <v>1.2009741126920674E-2</v>
      </c>
    </row>
    <row r="101" spans="1:56" s="26" customFormat="1">
      <c r="A101" s="26">
        <f t="shared" si="40"/>
        <v>2037</v>
      </c>
      <c r="B101" s="26">
        <f t="shared" si="41"/>
        <v>2</v>
      </c>
      <c r="C101" s="19"/>
      <c r="D101" s="43">
        <v>136082426.54854301</v>
      </c>
      <c r="E101" s="19"/>
      <c r="F101" s="43">
        <v>24734591.863501001</v>
      </c>
      <c r="G101" s="43">
        <v>5553828.2501470298</v>
      </c>
      <c r="H101" s="43">
        <v>30555524.388057601</v>
      </c>
      <c r="I101" s="43">
        <v>171767.88402516599</v>
      </c>
      <c r="J101" s="43">
        <v>945016.21818734705</v>
      </c>
      <c r="K101" s="19"/>
      <c r="L101" s="43">
        <v>1847202.92209656</v>
      </c>
      <c r="M101" s="27"/>
      <c r="N101" s="43">
        <v>1212410.4147975401</v>
      </c>
      <c r="O101" s="19"/>
      <c r="P101" s="43">
        <v>16255469.127304001</v>
      </c>
      <c r="Q101" s="27"/>
      <c r="R101" s="43">
        <v>29670368.840883899</v>
      </c>
      <c r="S101" s="27"/>
      <c r="T101" s="43">
        <v>113447226.844427</v>
      </c>
      <c r="U101" s="19"/>
      <c r="V101" s="43">
        <v>170212.303534348</v>
      </c>
      <c r="W101" s="27"/>
      <c r="X101" s="43">
        <v>427524.23290947499</v>
      </c>
      <c r="Y101" s="19"/>
      <c r="Z101" s="19">
        <f t="shared" si="35"/>
        <v>2046375.9440231435</v>
      </c>
      <c r="AA101" s="19"/>
      <c r="AB101" s="19">
        <f t="shared" si="36"/>
        <v>-38890668.831420004</v>
      </c>
      <c r="AC101" s="13"/>
      <c r="AD101" s="19"/>
      <c r="AE101" s="19"/>
      <c r="AF101" s="19">
        <f>BB99/100*AF25</f>
        <v>9463314963.4005165</v>
      </c>
      <c r="AG101" s="33">
        <f t="shared" si="44"/>
        <v>2.2269091253357908E-3</v>
      </c>
      <c r="AH101" s="33">
        <f>(AF101-AF97)/AF97</f>
        <v>1.6123388286928768E-2</v>
      </c>
      <c r="AI101" s="33">
        <f t="shared" si="39"/>
        <v>-4.042291929736379E-3</v>
      </c>
      <c r="AV101" s="26">
        <v>13100449</v>
      </c>
      <c r="AX101" s="26">
        <f t="shared" si="37"/>
        <v>-7.5886330834502511E-4</v>
      </c>
      <c r="AY101" s="45">
        <v>9315.4944058090205</v>
      </c>
      <c r="AZ101" s="33">
        <f t="shared" si="38"/>
        <v>5.811746118032075E-3</v>
      </c>
      <c r="BA101" s="26">
        <f t="shared" si="42"/>
        <v>140.28201720351086</v>
      </c>
      <c r="BB101" s="26">
        <f t="shared" si="43"/>
        <v>165.60159539106476</v>
      </c>
      <c r="BD101" s="33">
        <f t="shared" si="34"/>
        <v>1.0101790954335613E-2</v>
      </c>
    </row>
    <row r="102" spans="1:56" s="34" customFormat="1">
      <c r="A102" s="26">
        <f t="shared" si="40"/>
        <v>2037</v>
      </c>
      <c r="B102" s="26">
        <f t="shared" si="41"/>
        <v>3</v>
      </c>
      <c r="C102" s="19"/>
      <c r="D102" s="43">
        <v>136501619.69601899</v>
      </c>
      <c r="E102" s="19"/>
      <c r="F102" s="43">
        <v>24810785.180138402</v>
      </c>
      <c r="G102" s="43">
        <v>5634982.1725228196</v>
      </c>
      <c r="H102" s="43">
        <v>31002009.324691001</v>
      </c>
      <c r="I102" s="43">
        <v>174277.79915019</v>
      </c>
      <c r="J102" s="43">
        <v>958825.03066054697</v>
      </c>
      <c r="K102" s="19"/>
      <c r="L102" s="43">
        <v>1845978.23650388</v>
      </c>
      <c r="M102" s="27"/>
      <c r="N102" s="43">
        <v>1217906.2619783401</v>
      </c>
      <c r="O102" s="19"/>
      <c r="P102" s="43">
        <v>16279350.7575933</v>
      </c>
      <c r="Q102" s="27"/>
      <c r="R102" s="43">
        <v>25018791.148091</v>
      </c>
      <c r="S102" s="27"/>
      <c r="T102" s="43">
        <v>95661516.375886798</v>
      </c>
      <c r="U102" s="19"/>
      <c r="V102" s="43">
        <v>170243.73655711699</v>
      </c>
      <c r="W102" s="27"/>
      <c r="X102" s="43">
        <v>427603.18360027898</v>
      </c>
      <c r="Y102" s="19"/>
      <c r="Z102" s="19">
        <f t="shared" si="35"/>
        <v>-2685634.7939725034</v>
      </c>
      <c r="AA102" s="19"/>
      <c r="AB102" s="19">
        <f t="shared" si="36"/>
        <v>-57119454.0777255</v>
      </c>
      <c r="AC102" s="13"/>
      <c r="AD102" s="18"/>
      <c r="AE102" s="18"/>
      <c r="AF102" s="18">
        <f>BB100/100*AF25</f>
        <v>9469358543.4881287</v>
      </c>
      <c r="AG102" s="28">
        <f t="shared" si="44"/>
        <v>6.3863245712372145E-4</v>
      </c>
      <c r="AH102" s="28"/>
      <c r="AI102" s="28">
        <f t="shared" si="39"/>
        <v>-6.2023066275267106E-3</v>
      </c>
      <c r="AT102" s="26"/>
      <c r="AU102" s="26"/>
      <c r="AV102" s="26">
        <v>13085969</v>
      </c>
      <c r="AW102" s="26"/>
      <c r="AX102" s="26">
        <f t="shared" si="37"/>
        <v>-1.1053056273109417E-3</v>
      </c>
      <c r="AY102" s="45">
        <v>9342.6371480743492</v>
      </c>
      <c r="AZ102" s="33">
        <f t="shared" si="38"/>
        <v>2.9137199898271473E-3</v>
      </c>
      <c r="BA102" s="26">
        <f t="shared" si="42"/>
        <v>140.69075972125003</v>
      </c>
      <c r="BB102" s="26">
        <f t="shared" si="43"/>
        <v>165.90053836622519</v>
      </c>
      <c r="BC102" s="26"/>
      <c r="BD102" s="28">
        <f t="shared" si="34"/>
        <v>1.1996825056534887E-2</v>
      </c>
    </row>
    <row r="103" spans="1:56" s="26" customFormat="1">
      <c r="A103" s="26">
        <f t="shared" si="40"/>
        <v>2037</v>
      </c>
      <c r="B103" s="26">
        <f t="shared" si="41"/>
        <v>4</v>
      </c>
      <c r="C103" s="19"/>
      <c r="D103" s="43">
        <v>136499681.11241901</v>
      </c>
      <c r="E103" s="19"/>
      <c r="F103" s="43">
        <v>24810432.819621701</v>
      </c>
      <c r="G103" s="43">
        <v>5735934.8207173701</v>
      </c>
      <c r="H103" s="43">
        <v>31557421.009210799</v>
      </c>
      <c r="I103" s="43">
        <v>177400.04600156899</v>
      </c>
      <c r="J103" s="43">
        <v>976002.71162508195</v>
      </c>
      <c r="K103" s="19"/>
      <c r="L103" s="43">
        <v>1765457.79054325</v>
      </c>
      <c r="M103" s="27"/>
      <c r="N103" s="43">
        <v>1219143.71000403</v>
      </c>
      <c r="O103" s="19"/>
      <c r="P103" s="43">
        <v>15868337.8546567</v>
      </c>
      <c r="Q103" s="27"/>
      <c r="R103" s="43">
        <v>29979224.813469701</v>
      </c>
      <c r="S103" s="27"/>
      <c r="T103" s="43">
        <v>114628164.42468099</v>
      </c>
      <c r="U103" s="19"/>
      <c r="V103" s="43">
        <v>177692.00707123699</v>
      </c>
      <c r="W103" s="27"/>
      <c r="X103" s="43">
        <v>446311.09173577302</v>
      </c>
      <c r="Y103" s="19"/>
      <c r="Z103" s="19">
        <f t="shared" si="35"/>
        <v>2361882.5003719553</v>
      </c>
      <c r="AA103" s="19"/>
      <c r="AB103" s="19">
        <f t="shared" si="36"/>
        <v>-37739854.542394713</v>
      </c>
      <c r="AC103" s="13"/>
      <c r="AD103" s="19"/>
      <c r="AE103" s="19"/>
      <c r="AF103" s="19">
        <f>BB101/100*AF25</f>
        <v>9517164339.5815182</v>
      </c>
      <c r="AG103" s="33">
        <f t="shared" si="44"/>
        <v>5.0484724888006814E-3</v>
      </c>
      <c r="AH103" s="33"/>
      <c r="AI103" s="33">
        <f t="shared" si="39"/>
        <v>-4.0863714698794488E-3</v>
      </c>
      <c r="AV103" s="26">
        <v>13058446</v>
      </c>
      <c r="AX103" s="26">
        <f t="shared" si="37"/>
        <v>-2.1032450863974995E-3</v>
      </c>
      <c r="AY103" s="45">
        <v>9404.4336354793104</v>
      </c>
      <c r="AZ103" s="33">
        <f t="shared" si="38"/>
        <v>6.6144586828675422E-3</v>
      </c>
      <c r="BA103" s="26">
        <f t="shared" si="42"/>
        <v>141.62135293848749</v>
      </c>
      <c r="BB103" s="26">
        <f t="shared" si="43"/>
        <v>166.64664315085557</v>
      </c>
      <c r="BD103" s="33">
        <f t="shared" si="34"/>
        <v>1.0137029573606337E-2</v>
      </c>
    </row>
    <row r="104" spans="1:56" s="26" customFormat="1">
      <c r="A104" s="34">
        <f t="shared" si="40"/>
        <v>2038</v>
      </c>
      <c r="B104" s="34">
        <f t="shared" si="41"/>
        <v>1</v>
      </c>
      <c r="C104" s="18"/>
      <c r="D104" s="46">
        <v>136683713.35185999</v>
      </c>
      <c r="E104" s="18"/>
      <c r="F104" s="46">
        <v>24843882.857570998</v>
      </c>
      <c r="G104" s="46">
        <v>5818361.6640846999</v>
      </c>
      <c r="H104" s="46">
        <v>32010909.1815673</v>
      </c>
      <c r="I104" s="46">
        <v>179949.32981705401</v>
      </c>
      <c r="J104" s="46">
        <v>990028.11901755095</v>
      </c>
      <c r="K104" s="18"/>
      <c r="L104" s="46">
        <v>2228776.54910619</v>
      </c>
      <c r="M104" s="38"/>
      <c r="N104" s="46">
        <v>1222472.3086055201</v>
      </c>
      <c r="O104" s="18"/>
      <c r="P104" s="46">
        <v>18290814.062774599</v>
      </c>
      <c r="Q104" s="38"/>
      <c r="R104" s="46">
        <v>25344193.490750901</v>
      </c>
      <c r="S104" s="38"/>
      <c r="T104" s="46">
        <v>96905720.436220899</v>
      </c>
      <c r="U104" s="18"/>
      <c r="V104" s="46">
        <v>181187.718692475</v>
      </c>
      <c r="W104" s="38"/>
      <c r="X104" s="46">
        <v>455091.31148669601</v>
      </c>
      <c r="Y104" s="18"/>
      <c r="Z104" s="18">
        <f t="shared" si="35"/>
        <v>-2769750.5058393329</v>
      </c>
      <c r="AA104" s="18"/>
      <c r="AB104" s="18">
        <f t="shared" si="36"/>
        <v>-58068806.978413686</v>
      </c>
      <c r="AC104" s="13"/>
      <c r="AD104" s="19"/>
      <c r="AE104" s="19"/>
      <c r="AF104" s="19">
        <f>BB102/100*AF25</f>
        <v>9534344665.7495499</v>
      </c>
      <c r="AG104" s="33">
        <f t="shared" si="44"/>
        <v>1.805193811414959E-3</v>
      </c>
      <c r="AH104" s="33"/>
      <c r="AI104" s="33">
        <f t="shared" si="39"/>
        <v>-5.9909155878239912E-3</v>
      </c>
      <c r="AT104" s="34"/>
      <c r="AU104" s="34"/>
      <c r="AV104" s="34">
        <v>13057668</v>
      </c>
      <c r="AW104" s="34"/>
      <c r="AX104" s="34">
        <f t="shared" si="37"/>
        <v>-5.957829897983267E-5</v>
      </c>
      <c r="AY104" s="48">
        <v>9448.6145753263809</v>
      </c>
      <c r="AZ104" s="28">
        <f t="shared" si="38"/>
        <v>4.6978841639535619E-3</v>
      </c>
      <c r="BA104" s="34">
        <f t="shared" si="42"/>
        <v>142.28667364973489</v>
      </c>
      <c r="BB104" s="34">
        <f t="shared" si="43"/>
        <v>167.4195546101069</v>
      </c>
      <c r="BC104" s="34"/>
      <c r="BD104" s="33">
        <f t="shared" si="34"/>
        <v>1.2048201008431595E-2</v>
      </c>
    </row>
    <row r="105" spans="1:56" s="26" customFormat="1">
      <c r="A105" s="26">
        <f t="shared" si="40"/>
        <v>2038</v>
      </c>
      <c r="B105" s="26">
        <f t="shared" si="41"/>
        <v>2</v>
      </c>
      <c r="C105" s="19"/>
      <c r="D105" s="43">
        <v>137358953.46404999</v>
      </c>
      <c r="E105" s="19"/>
      <c r="F105" s="43">
        <v>24966615.740930799</v>
      </c>
      <c r="G105" s="43">
        <v>5904074.4387475802</v>
      </c>
      <c r="H105" s="43">
        <v>32482475.578405399</v>
      </c>
      <c r="I105" s="43">
        <v>182600.240373637</v>
      </c>
      <c r="J105" s="43">
        <v>1004612.64675481</v>
      </c>
      <c r="K105" s="19"/>
      <c r="L105" s="43">
        <v>1803911.8179174999</v>
      </c>
      <c r="M105" s="27"/>
      <c r="N105" s="43">
        <v>1229126.88193839</v>
      </c>
      <c r="O105" s="19"/>
      <c r="P105" s="43">
        <v>16122800.4519754</v>
      </c>
      <c r="Q105" s="27"/>
      <c r="R105" s="43">
        <v>30287202.8751898</v>
      </c>
      <c r="S105" s="27"/>
      <c r="T105" s="43">
        <v>115805745.23664901</v>
      </c>
      <c r="U105" s="19"/>
      <c r="V105" s="43">
        <v>175259.42607820799</v>
      </c>
      <c r="W105" s="27"/>
      <c r="X105" s="43">
        <v>440201.14961384499</v>
      </c>
      <c r="Y105" s="19"/>
      <c r="Z105" s="19">
        <f t="shared" si="35"/>
        <v>2462807.8604813181</v>
      </c>
      <c r="AA105" s="19"/>
      <c r="AB105" s="19">
        <f t="shared" si="36"/>
        <v>-37676008.679376394</v>
      </c>
      <c r="AC105" s="13"/>
      <c r="AD105" s="19"/>
      <c r="AE105" s="19"/>
      <c r="AF105" s="19">
        <f>BB103/100*AF25</f>
        <v>9577223490.878664</v>
      </c>
      <c r="AG105" s="33">
        <f t="shared" si="44"/>
        <v>4.497301768746494E-3</v>
      </c>
      <c r="AH105" s="33">
        <f>(AF105-AF101)/AF101</f>
        <v>1.2036852616518641E-2</v>
      </c>
      <c r="AI105" s="33">
        <f t="shared" si="39"/>
        <v>-3.940584092909402E-3</v>
      </c>
      <c r="AV105" s="26">
        <v>13039339</v>
      </c>
      <c r="AX105" s="26">
        <f t="shared" si="37"/>
        <v>-1.4036962802240031E-3</v>
      </c>
      <c r="AY105" s="45">
        <v>9482.5557488531103</v>
      </c>
      <c r="AZ105" s="33">
        <f t="shared" si="38"/>
        <v>3.5921852093916159E-3</v>
      </c>
      <c r="BA105" s="26">
        <f t="shared" si="42"/>
        <v>142.79779373431302</v>
      </c>
      <c r="BB105" s="26">
        <f t="shared" si="43"/>
        <v>167.78510626607985</v>
      </c>
      <c r="BD105" s="33">
        <f t="shared" ref="BD105:BD136" si="45">T110/AF112</f>
        <v>1.0132163839448385E-2</v>
      </c>
    </row>
    <row r="106" spans="1:56" s="34" customFormat="1">
      <c r="A106" s="26">
        <f t="shared" si="40"/>
        <v>2038</v>
      </c>
      <c r="B106" s="26">
        <f t="shared" si="41"/>
        <v>3</v>
      </c>
      <c r="C106" s="19"/>
      <c r="D106" s="43">
        <v>137820727.65218499</v>
      </c>
      <c r="E106" s="19"/>
      <c r="F106" s="43">
        <v>25050548.6657492</v>
      </c>
      <c r="G106" s="43">
        <v>5986784.7232267</v>
      </c>
      <c r="H106" s="43">
        <v>32937523.1601303</v>
      </c>
      <c r="I106" s="43">
        <v>185158.290409073</v>
      </c>
      <c r="J106" s="43">
        <v>1018686.283303</v>
      </c>
      <c r="K106" s="19"/>
      <c r="L106" s="43">
        <v>1785918.9763132399</v>
      </c>
      <c r="M106" s="27"/>
      <c r="N106" s="43">
        <v>1234571.32904359</v>
      </c>
      <c r="O106" s="19"/>
      <c r="P106" s="43">
        <v>16059389.2529577</v>
      </c>
      <c r="Q106" s="27"/>
      <c r="R106" s="43">
        <v>25565983.465130799</v>
      </c>
      <c r="S106" s="27"/>
      <c r="T106" s="43">
        <v>97753753.626176596</v>
      </c>
      <c r="U106" s="19"/>
      <c r="V106" s="43">
        <v>179919.790251197</v>
      </c>
      <c r="W106" s="27"/>
      <c r="X106" s="43">
        <v>451906.640796119</v>
      </c>
      <c r="Y106" s="19"/>
      <c r="Z106" s="19">
        <f t="shared" si="35"/>
        <v>-2325135.7157240361</v>
      </c>
      <c r="AA106" s="19"/>
      <c r="AB106" s="19">
        <f t="shared" si="36"/>
        <v>-56126363.278966099</v>
      </c>
      <c r="AC106" s="13"/>
      <c r="AD106" s="18"/>
      <c r="AE106" s="18"/>
      <c r="AF106" s="18">
        <f>BB104/100*AF25</f>
        <v>9621642902.1788368</v>
      </c>
      <c r="AG106" s="28">
        <f t="shared" si="44"/>
        <v>4.6380259730262954E-3</v>
      </c>
      <c r="AH106" s="28"/>
      <c r="AI106" s="28">
        <f t="shared" si="39"/>
        <v>-6.0352278263480254E-3</v>
      </c>
      <c r="AT106" s="26"/>
      <c r="AU106" s="26"/>
      <c r="AV106" s="26">
        <v>13028738</v>
      </c>
      <c r="AW106" s="26"/>
      <c r="AX106" s="26">
        <f t="shared" si="37"/>
        <v>-8.1300133388663334E-4</v>
      </c>
      <c r="AY106" s="45">
        <v>9523.9528452654195</v>
      </c>
      <c r="AZ106" s="33">
        <f t="shared" si="38"/>
        <v>4.3656053820000981E-3</v>
      </c>
      <c r="BA106" s="26">
        <f t="shared" si="42"/>
        <v>143.42119255117726</v>
      </c>
      <c r="BB106" s="26">
        <f t="shared" si="43"/>
        <v>168.38058480370015</v>
      </c>
      <c r="BC106" s="26"/>
      <c r="BD106" s="28">
        <f t="shared" si="45"/>
        <v>1.2039328246911399E-2</v>
      </c>
    </row>
    <row r="107" spans="1:56" s="26" customFormat="1">
      <c r="A107" s="26">
        <f t="shared" si="40"/>
        <v>2038</v>
      </c>
      <c r="B107" s="26">
        <f t="shared" si="41"/>
        <v>4</v>
      </c>
      <c r="C107" s="19"/>
      <c r="D107" s="43">
        <v>138209654.03883299</v>
      </c>
      <c r="E107" s="19"/>
      <c r="F107" s="43">
        <v>25121240.640331801</v>
      </c>
      <c r="G107" s="43">
        <v>6102790.6077933097</v>
      </c>
      <c r="H107" s="43">
        <v>33575753.3097464</v>
      </c>
      <c r="I107" s="43">
        <v>188746.10127195701</v>
      </c>
      <c r="J107" s="43">
        <v>1038425.3600952399</v>
      </c>
      <c r="K107" s="19"/>
      <c r="L107" s="43">
        <v>1810975.6741760599</v>
      </c>
      <c r="M107" s="27"/>
      <c r="N107" s="43">
        <v>1240214.8472948701</v>
      </c>
      <c r="O107" s="19"/>
      <c r="P107" s="43">
        <v>16220457.549593899</v>
      </c>
      <c r="Q107" s="27"/>
      <c r="R107" s="43">
        <v>30590272.567964401</v>
      </c>
      <c r="S107" s="27"/>
      <c r="T107" s="43">
        <v>116964558.474539</v>
      </c>
      <c r="U107" s="19"/>
      <c r="V107" s="43">
        <v>177149.59670323899</v>
      </c>
      <c r="W107" s="27"/>
      <c r="X107" s="43">
        <v>444948.71327260998</v>
      </c>
      <c r="Y107" s="19"/>
      <c r="Z107" s="19">
        <f t="shared" si="35"/>
        <v>2594991.0028649084</v>
      </c>
      <c r="AA107" s="19"/>
      <c r="AB107" s="19">
        <f t="shared" si="36"/>
        <v>-37465553.113887891</v>
      </c>
      <c r="AC107" s="13"/>
      <c r="AD107" s="19"/>
      <c r="AE107" s="19"/>
      <c r="AF107" s="19">
        <f>BB105/100*AF25</f>
        <v>9642651245.5844975</v>
      </c>
      <c r="AG107" s="33">
        <f t="shared" si="44"/>
        <v>2.1834465921514563E-3</v>
      </c>
      <c r="AH107" s="33"/>
      <c r="AI107" s="33">
        <f t="shared" si="39"/>
        <v>-3.9072250691041801E-3</v>
      </c>
      <c r="AV107" s="26">
        <v>13082440</v>
      </c>
      <c r="AX107" s="26">
        <f t="shared" si="37"/>
        <v>4.1218113373682084E-3</v>
      </c>
      <c r="AY107" s="45">
        <v>9556.1669804126595</v>
      </c>
      <c r="AZ107" s="33">
        <f t="shared" si="38"/>
        <v>3.3824332890575459E-3</v>
      </c>
      <c r="BA107" s="26">
        <f t="shared" si="42"/>
        <v>143.90630516721868</v>
      </c>
      <c r="BB107" s="26">
        <f t="shared" si="43"/>
        <v>169.64650142274226</v>
      </c>
      <c r="BD107" s="33">
        <f t="shared" si="45"/>
        <v>1.0161181443516614E-2</v>
      </c>
    </row>
    <row r="108" spans="1:56" s="26" customFormat="1">
      <c r="A108" s="34">
        <f t="shared" si="40"/>
        <v>2039</v>
      </c>
      <c r="B108" s="34">
        <f t="shared" si="41"/>
        <v>1</v>
      </c>
      <c r="C108" s="18"/>
      <c r="D108" s="46">
        <v>138572512.31130099</v>
      </c>
      <c r="E108" s="18"/>
      <c r="F108" s="46">
        <v>25187194.426587801</v>
      </c>
      <c r="G108" s="46">
        <v>6150608.2596745696</v>
      </c>
      <c r="H108" s="46">
        <v>33838831.921908803</v>
      </c>
      <c r="I108" s="46">
        <v>190224.99772189601</v>
      </c>
      <c r="J108" s="46">
        <v>1046561.8120178099</v>
      </c>
      <c r="K108" s="18"/>
      <c r="L108" s="46">
        <v>2187364.0760575202</v>
      </c>
      <c r="M108" s="38"/>
      <c r="N108" s="46">
        <v>1245054.9680162</v>
      </c>
      <c r="O108" s="18"/>
      <c r="P108" s="46">
        <v>18200167.6723742</v>
      </c>
      <c r="Q108" s="38"/>
      <c r="R108" s="46">
        <v>25885104.9608288</v>
      </c>
      <c r="S108" s="38"/>
      <c r="T108" s="46">
        <v>98973942.323780403</v>
      </c>
      <c r="U108" s="18"/>
      <c r="V108" s="46">
        <v>177895.239738334</v>
      </c>
      <c r="W108" s="38"/>
      <c r="X108" s="46">
        <v>446821.553601917</v>
      </c>
      <c r="Y108" s="18"/>
      <c r="Z108" s="18">
        <f t="shared" si="35"/>
        <v>-2556613.2700943872</v>
      </c>
      <c r="AA108" s="18"/>
      <c r="AB108" s="18">
        <f t="shared" si="36"/>
        <v>-57798737.659894794</v>
      </c>
      <c r="AC108" s="13"/>
      <c r="AD108" s="19"/>
      <c r="AE108" s="19"/>
      <c r="AF108" s="19">
        <f>BB106/100*AF25</f>
        <v>9676873543.3216839</v>
      </c>
      <c r="AG108" s="33">
        <f t="shared" si="44"/>
        <v>3.5490548051146506E-3</v>
      </c>
      <c r="AH108" s="33"/>
      <c r="AI108" s="33">
        <f t="shared" si="39"/>
        <v>-5.8000513314241534E-3</v>
      </c>
      <c r="AT108" s="34"/>
      <c r="AU108" s="34"/>
      <c r="AV108" s="34">
        <v>13018666</v>
      </c>
      <c r="AW108" s="34"/>
      <c r="AX108" s="34">
        <f t="shared" si="37"/>
        <v>-4.8747787110049803E-3</v>
      </c>
      <c r="AY108" s="48">
        <v>9616.7470356801296</v>
      </c>
      <c r="AZ108" s="28">
        <f t="shared" si="38"/>
        <v>6.3393675928477772E-3</v>
      </c>
      <c r="BA108" s="34">
        <f t="shared" si="42"/>
        <v>144.8185801346022</v>
      </c>
      <c r="BB108" s="34">
        <f t="shared" si="43"/>
        <v>169.88972121433002</v>
      </c>
      <c r="BC108" s="34"/>
      <c r="BD108" s="33">
        <f t="shared" si="45"/>
        <v>1.2074369553751827E-2</v>
      </c>
    </row>
    <row r="109" spans="1:56" s="26" customFormat="1">
      <c r="A109" s="26">
        <f t="shared" si="40"/>
        <v>2039</v>
      </c>
      <c r="B109" s="26">
        <f t="shared" si="41"/>
        <v>2</v>
      </c>
      <c r="C109" s="19"/>
      <c r="D109" s="43">
        <v>139440940.02368701</v>
      </c>
      <c r="E109" s="19"/>
      <c r="F109" s="43">
        <v>25345041.4430882</v>
      </c>
      <c r="G109" s="43">
        <v>6220236.2195712002</v>
      </c>
      <c r="H109" s="43">
        <v>34221904.413690701</v>
      </c>
      <c r="I109" s="43">
        <v>192378.439780552</v>
      </c>
      <c r="J109" s="43">
        <v>1058409.4148564099</v>
      </c>
      <c r="K109" s="19"/>
      <c r="L109" s="43">
        <v>1752272.13745577</v>
      </c>
      <c r="M109" s="27"/>
      <c r="N109" s="43">
        <v>1255573.8152731101</v>
      </c>
      <c r="O109" s="19"/>
      <c r="P109" s="43">
        <v>16000345.128675601</v>
      </c>
      <c r="Q109" s="27"/>
      <c r="R109" s="43">
        <v>30889280.7568761</v>
      </c>
      <c r="S109" s="27"/>
      <c r="T109" s="43">
        <v>118107842.20039099</v>
      </c>
      <c r="U109" s="19"/>
      <c r="V109" s="43">
        <v>181257.40297168799</v>
      </c>
      <c r="W109" s="27"/>
      <c r="X109" s="43">
        <v>455266.33830554399</v>
      </c>
      <c r="Y109" s="19"/>
      <c r="Z109" s="19">
        <f t="shared" si="35"/>
        <v>2717650.7640307099</v>
      </c>
      <c r="AA109" s="19"/>
      <c r="AB109" s="19">
        <f t="shared" si="36"/>
        <v>-37333442.951971605</v>
      </c>
      <c r="AC109" s="13"/>
      <c r="AD109" s="19"/>
      <c r="AE109" s="19"/>
      <c r="AF109" s="19">
        <f>BB107/100*AF25</f>
        <v>9749626082.1796589</v>
      </c>
      <c r="AG109" s="33">
        <f t="shared" si="44"/>
        <v>7.5181863783043675E-3</v>
      </c>
      <c r="AH109" s="33">
        <f>(AF109-AF105)/AF105</f>
        <v>1.8001312328692225E-2</v>
      </c>
      <c r="AI109" s="33">
        <f t="shared" si="39"/>
        <v>-3.8427682044511768E-3</v>
      </c>
      <c r="AV109" s="26">
        <v>13021686</v>
      </c>
      <c r="AX109" s="26">
        <f t="shared" si="37"/>
        <v>2.3197461245261228E-4</v>
      </c>
      <c r="AY109" s="45">
        <v>9653.2562157624907</v>
      </c>
      <c r="AZ109" s="33">
        <f t="shared" si="38"/>
        <v>3.7964168077734063E-3</v>
      </c>
      <c r="BA109" s="26">
        <f t="shared" si="42"/>
        <v>145.36837182630308</v>
      </c>
      <c r="BB109" s="26">
        <f t="shared" si="43"/>
        <v>170.57425312682895</v>
      </c>
      <c r="BD109" s="33">
        <f t="shared" si="45"/>
        <v>1.014262443143975E-2</v>
      </c>
    </row>
    <row r="110" spans="1:56" s="34" customFormat="1">
      <c r="A110" s="26">
        <f t="shared" si="40"/>
        <v>2039</v>
      </c>
      <c r="B110" s="26">
        <f t="shared" si="41"/>
        <v>3</v>
      </c>
      <c r="C110" s="19"/>
      <c r="D110" s="43">
        <v>139639612.60945001</v>
      </c>
      <c r="E110" s="19"/>
      <c r="F110" s="43">
        <v>25381152.537282702</v>
      </c>
      <c r="G110" s="43">
        <v>6351356.9930802695</v>
      </c>
      <c r="H110" s="43">
        <v>34943292.222654998</v>
      </c>
      <c r="I110" s="43">
        <v>196433.72143547301</v>
      </c>
      <c r="J110" s="43">
        <v>1080720.37802026</v>
      </c>
      <c r="K110" s="19"/>
      <c r="L110" s="43">
        <v>1752696.8976646699</v>
      </c>
      <c r="M110" s="27"/>
      <c r="N110" s="43">
        <v>1259662.46179451</v>
      </c>
      <c r="O110" s="19"/>
      <c r="P110" s="43">
        <v>16025043.738233799</v>
      </c>
      <c r="Q110" s="27"/>
      <c r="R110" s="43">
        <v>26026715.1598882</v>
      </c>
      <c r="S110" s="27"/>
      <c r="T110" s="43">
        <v>99515401.193480894</v>
      </c>
      <c r="U110" s="19"/>
      <c r="V110" s="43">
        <v>181659.33783497399</v>
      </c>
      <c r="W110" s="27"/>
      <c r="X110" s="43">
        <v>456275.88280108199</v>
      </c>
      <c r="Y110" s="19"/>
      <c r="Z110" s="19">
        <f t="shared" ref="Z110:Z115" si="46">R110+V110-N110-L110-F110</f>
        <v>-2185137.3990187086</v>
      </c>
      <c r="AA110" s="19"/>
      <c r="AB110" s="19">
        <f t="shared" ref="AB110:AB115" si="47">T110-P110-D110</f>
        <v>-56149255.154202923</v>
      </c>
      <c r="AC110" s="13"/>
      <c r="AD110" s="18"/>
      <c r="AE110" s="18"/>
      <c r="AF110" s="18">
        <f>BB108/100*AF25</f>
        <v>9763603983.3086491</v>
      </c>
      <c r="AG110" s="28">
        <f t="shared" si="44"/>
        <v>1.4336858676599858E-3</v>
      </c>
      <c r="AH110" s="28"/>
      <c r="AI110" s="28">
        <f t="shared" si="39"/>
        <v>-5.9198158547504095E-3</v>
      </c>
      <c r="AT110" s="26"/>
      <c r="AU110" s="26"/>
      <c r="AV110" s="26">
        <v>13043713</v>
      </c>
      <c r="AW110" s="26"/>
      <c r="AX110" s="26">
        <f t="shared" si="37"/>
        <v>1.6915628283464984E-3</v>
      </c>
      <c r="AY110" s="45">
        <v>9655.4247026040193</v>
      </c>
      <c r="AZ110" s="33">
        <f t="shared" si="38"/>
        <v>2.2463786240209757E-4</v>
      </c>
      <c r="BA110" s="26">
        <f t="shared" si="42"/>
        <v>145.40102706661099</v>
      </c>
      <c r="BB110" s="26">
        <f t="shared" si="43"/>
        <v>170.90117244484424</v>
      </c>
      <c r="BC110" s="26"/>
      <c r="BD110" s="28">
        <f t="shared" si="45"/>
        <v>1.2063284713162176E-2</v>
      </c>
    </row>
    <row r="111" spans="1:56" s="26" customFormat="1">
      <c r="A111" s="26">
        <f t="shared" si="40"/>
        <v>2039</v>
      </c>
      <c r="B111" s="26">
        <f t="shared" si="41"/>
        <v>4</v>
      </c>
      <c r="C111" s="19"/>
      <c r="D111" s="43">
        <v>140236460.659266</v>
      </c>
      <c r="E111" s="19"/>
      <c r="F111" s="43">
        <v>25489636.735361401</v>
      </c>
      <c r="G111" s="43">
        <v>6455878.8191745803</v>
      </c>
      <c r="H111" s="43">
        <v>35518340.470901497</v>
      </c>
      <c r="I111" s="43">
        <v>199666.35523220201</v>
      </c>
      <c r="J111" s="43">
        <v>1098505.37538869</v>
      </c>
      <c r="K111" s="19"/>
      <c r="L111" s="43">
        <v>1739088.6615073199</v>
      </c>
      <c r="M111" s="27"/>
      <c r="N111" s="43">
        <v>1266484.3420954701</v>
      </c>
      <c r="O111" s="19"/>
      <c r="P111" s="43">
        <v>15991962.5087582</v>
      </c>
      <c r="Q111" s="27"/>
      <c r="R111" s="43">
        <v>31132815.258135799</v>
      </c>
      <c r="S111" s="27"/>
      <c r="T111" s="43">
        <v>119039017.473506</v>
      </c>
      <c r="U111" s="19"/>
      <c r="V111" s="43">
        <v>186267.11529501699</v>
      </c>
      <c r="W111" s="27"/>
      <c r="X111" s="43">
        <v>467849.29132160603</v>
      </c>
      <c r="Y111" s="19"/>
      <c r="Z111" s="19">
        <f t="shared" si="46"/>
        <v>2823872.6344666258</v>
      </c>
      <c r="AA111" s="19"/>
      <c r="AB111" s="19">
        <f t="shared" si="47"/>
        <v>-37189405.694518194</v>
      </c>
      <c r="AC111" s="13"/>
      <c r="AD111" s="19"/>
      <c r="AE111" s="19"/>
      <c r="AF111" s="19">
        <f>BB109/100*AF25</f>
        <v>9802944200.3612442</v>
      </c>
      <c r="AG111" s="33">
        <f t="shared" si="44"/>
        <v>4.0292720925438124E-3</v>
      </c>
      <c r="AH111" s="33"/>
      <c r="AI111" s="33">
        <f t="shared" si="39"/>
        <v>-3.8083908455375931E-3</v>
      </c>
      <c r="AV111" s="26">
        <v>13058593</v>
      </c>
      <c r="AX111" s="26">
        <f t="shared" si="37"/>
        <v>1.1407794697721424E-3</v>
      </c>
      <c r="AY111" s="45">
        <v>9709.0159224305207</v>
      </c>
      <c r="AZ111" s="33">
        <f t="shared" ref="AZ111:AZ142" si="48">(AY111-AY110)/AY110</f>
        <v>5.5503741655246012E-3</v>
      </c>
      <c r="BA111" s="26">
        <f t="shared" si="42"/>
        <v>146.20805717088223</v>
      </c>
      <c r="BB111" s="26">
        <f t="shared" si="43"/>
        <v>172.04578055011885</v>
      </c>
      <c r="BD111" s="33" t="e">
        <f t="shared" si="45"/>
        <v>#DIV/0!</v>
      </c>
    </row>
    <row r="112" spans="1:56" s="26" customFormat="1">
      <c r="A112" s="34">
        <f t="shared" si="40"/>
        <v>2040</v>
      </c>
      <c r="B112" s="34">
        <f t="shared" si="41"/>
        <v>1</v>
      </c>
      <c r="C112" s="18"/>
      <c r="D112" s="46">
        <v>140989551.457753</v>
      </c>
      <c r="E112" s="18"/>
      <c r="F112" s="46">
        <v>25626519.902491599</v>
      </c>
      <c r="G112" s="46">
        <v>6578094.4150593802</v>
      </c>
      <c r="H112" s="46">
        <v>36190734.620029204</v>
      </c>
      <c r="I112" s="46">
        <v>203446.219022456</v>
      </c>
      <c r="J112" s="46">
        <v>1119301.0707225499</v>
      </c>
      <c r="K112" s="18"/>
      <c r="L112" s="46">
        <v>2095327.2948197799</v>
      </c>
      <c r="M112" s="38"/>
      <c r="N112" s="46">
        <v>1275282.7635432</v>
      </c>
      <c r="O112" s="18"/>
      <c r="P112" s="46">
        <v>17888892.7893552</v>
      </c>
      <c r="Q112" s="38"/>
      <c r="R112" s="46">
        <v>26408803.7291613</v>
      </c>
      <c r="S112" s="38"/>
      <c r="T112" s="46">
        <v>100976349.954362</v>
      </c>
      <c r="U112" s="18"/>
      <c r="V112" s="46">
        <v>186866.26353649501</v>
      </c>
      <c r="W112" s="38"/>
      <c r="X112" s="46">
        <v>469354.17896496801</v>
      </c>
      <c r="Y112" s="18"/>
      <c r="Z112" s="18">
        <f t="shared" si="46"/>
        <v>-2401459.9681567848</v>
      </c>
      <c r="AA112" s="18"/>
      <c r="AB112" s="18">
        <f t="shared" si="47"/>
        <v>-57902094.292746201</v>
      </c>
      <c r="AC112" s="13"/>
      <c r="AD112" s="19"/>
      <c r="AE112" s="19"/>
      <c r="AF112" s="19">
        <f>BB110/100*AF25</f>
        <v>9821732333.8208771</v>
      </c>
      <c r="AG112" s="33">
        <f t="shared" si="44"/>
        <v>1.916580679806432E-3</v>
      </c>
      <c r="AH112" s="33"/>
      <c r="AI112" s="33">
        <f t="shared" ref="AI112:AI143" si="49">AB110/AF112</f>
        <v>-5.7168382568169203E-3</v>
      </c>
      <c r="AT112" s="34"/>
      <c r="AU112" s="34"/>
      <c r="AV112" s="34">
        <v>13091048</v>
      </c>
      <c r="AW112" s="34"/>
      <c r="AX112" s="34">
        <f t="shared" si="37"/>
        <v>2.4853366668216095E-3</v>
      </c>
      <c r="AY112" s="48">
        <v>9733.8705829300707</v>
      </c>
      <c r="AZ112" s="28">
        <f t="shared" si="48"/>
        <v>2.5599567142668674E-3</v>
      </c>
      <c r="BA112" s="34">
        <f t="shared" si="42"/>
        <v>146.58234346851674</v>
      </c>
      <c r="BB112" s="34">
        <f t="shared" si="43"/>
        <v>172.91489660418208</v>
      </c>
      <c r="BC112" s="34"/>
      <c r="BD112" s="33" t="e">
        <f t="shared" si="45"/>
        <v>#DIV/0!</v>
      </c>
    </row>
    <row r="113" spans="1:56" s="26" customFormat="1">
      <c r="A113" s="26">
        <f t="shared" si="40"/>
        <v>2040</v>
      </c>
      <c r="B113" s="26">
        <f t="shared" si="41"/>
        <v>2</v>
      </c>
      <c r="C113" s="19"/>
      <c r="D113" s="43">
        <v>141643472.93749899</v>
      </c>
      <c r="E113" s="19"/>
      <c r="F113" s="43">
        <v>25745377.872051299</v>
      </c>
      <c r="G113" s="43">
        <v>6685417.4035113696</v>
      </c>
      <c r="H113" s="43">
        <v>36781194.037091099</v>
      </c>
      <c r="I113" s="43">
        <v>206765.486706536</v>
      </c>
      <c r="J113" s="43">
        <v>1137562.7021780701</v>
      </c>
      <c r="K113" s="19"/>
      <c r="L113" s="43">
        <v>1683052.3103887199</v>
      </c>
      <c r="M113" s="27"/>
      <c r="N113" s="43">
        <v>1283574.1970369201</v>
      </c>
      <c r="O113" s="19"/>
      <c r="P113" s="43">
        <v>15795212.9559836</v>
      </c>
      <c r="Q113" s="27"/>
      <c r="R113" s="43">
        <v>31430366.1902759</v>
      </c>
      <c r="S113" s="27"/>
      <c r="T113" s="43">
        <v>120176729.251789</v>
      </c>
      <c r="U113" s="19"/>
      <c r="V113" s="43">
        <v>190861.11526285901</v>
      </c>
      <c r="W113" s="27"/>
      <c r="X113" s="43">
        <v>479388.09475388302</v>
      </c>
      <c r="Y113" s="19"/>
      <c r="Z113" s="19">
        <f t="shared" si="46"/>
        <v>2909222.9260618165</v>
      </c>
      <c r="AA113" s="19"/>
      <c r="AB113" s="19">
        <f t="shared" si="47"/>
        <v>-37261956.641693577</v>
      </c>
      <c r="AC113" s="13"/>
      <c r="AD113" s="19"/>
      <c r="AE113" s="19"/>
      <c r="AF113" s="19">
        <f>BB111/100*AF25</f>
        <v>9887513242.6133976</v>
      </c>
      <c r="AG113" s="33">
        <f t="shared" si="44"/>
        <v>6.6974853881942697E-3</v>
      </c>
      <c r="AH113" s="33">
        <f>(AF113-AF109)/AF109</f>
        <v>1.4142815249681062E-2</v>
      </c>
      <c r="AI113" s="33">
        <f t="shared" si="49"/>
        <v>-3.7612496471042451E-3</v>
      </c>
      <c r="AV113" s="26">
        <v>13029256</v>
      </c>
      <c r="AX113" s="26">
        <f t="shared" si="37"/>
        <v>-4.7201721359512241E-3</v>
      </c>
      <c r="AY113" s="45">
        <v>9795.3694386610296</v>
      </c>
      <c r="AZ113" s="33">
        <f t="shared" si="48"/>
        <v>6.3180268534499696E-3</v>
      </c>
      <c r="BA113" s="26">
        <f t="shared" si="42"/>
        <v>147.50845465079246</v>
      </c>
      <c r="BB113" s="26">
        <f t="shared" si="43"/>
        <v>173.18603278925994</v>
      </c>
      <c r="BD113" s="33" t="e">
        <f t="shared" si="45"/>
        <v>#DIV/0!</v>
      </c>
    </row>
    <row r="114" spans="1:56" s="34" customFormat="1">
      <c r="A114" s="26">
        <f t="shared" ref="A114:A145" si="50">A110+1</f>
        <v>2040</v>
      </c>
      <c r="B114" s="26">
        <f t="shared" ref="B114:B145" si="51">B110</f>
        <v>3</v>
      </c>
      <c r="C114" s="19"/>
      <c r="D114" s="43">
        <v>142480804.061488</v>
      </c>
      <c r="E114" s="19"/>
      <c r="F114" s="43">
        <v>25897572.7155132</v>
      </c>
      <c r="G114" s="43">
        <v>6745294.4103395501</v>
      </c>
      <c r="H114" s="43">
        <v>37110619.662086599</v>
      </c>
      <c r="I114" s="43">
        <v>208617.352897098</v>
      </c>
      <c r="J114" s="43">
        <v>1147751.1235696799</v>
      </c>
      <c r="K114" s="19"/>
      <c r="L114" s="43">
        <v>1719961.88032934</v>
      </c>
      <c r="M114" s="27"/>
      <c r="N114" s="43">
        <v>1292800.77867723</v>
      </c>
      <c r="O114" s="19"/>
      <c r="P114" s="43">
        <v>16037498.8197695</v>
      </c>
      <c r="Q114" s="27"/>
      <c r="R114" s="43">
        <v>26405939.8632989</v>
      </c>
      <c r="S114" s="27"/>
      <c r="T114" s="43">
        <v>100965399.715021</v>
      </c>
      <c r="U114" s="19"/>
      <c r="V114" s="43">
        <v>194304.52447870799</v>
      </c>
      <c r="W114" s="27"/>
      <c r="X114" s="43">
        <v>488036.94594167097</v>
      </c>
      <c r="Y114" s="19"/>
      <c r="Z114" s="19">
        <f t="shared" si="46"/>
        <v>-2310090.9867421612</v>
      </c>
      <c r="AA114" s="19"/>
      <c r="AB114" s="19">
        <f t="shared" si="47"/>
        <v>-57552903.166236505</v>
      </c>
      <c r="AC114" s="13"/>
      <c r="AD114" s="18"/>
      <c r="AE114" s="18"/>
      <c r="AF114" s="18">
        <f>BB112/100*AF25</f>
        <v>9937461555.5940495</v>
      </c>
      <c r="AG114" s="28">
        <f t="shared" si="44"/>
        <v>5.0516557353757711E-3</v>
      </c>
      <c r="AH114" s="28"/>
      <c r="AI114" s="28">
        <f t="shared" si="49"/>
        <v>-5.8266483818648481E-3</v>
      </c>
      <c r="AT114" s="26"/>
      <c r="AU114" s="26"/>
      <c r="AV114" s="26">
        <v>13000340</v>
      </c>
      <c r="AW114" s="26"/>
      <c r="AX114" s="26">
        <f t="shared" si="37"/>
        <v>-2.2193132132794077E-3</v>
      </c>
      <c r="AY114" s="45">
        <v>9818.6557912775806</v>
      </c>
      <c r="AZ114" s="33">
        <f t="shared" si="48"/>
        <v>2.3772817107482365E-3</v>
      </c>
      <c r="BA114" s="26">
        <f t="shared" si="42"/>
        <v>147.8591238022145</v>
      </c>
      <c r="BB114" s="26">
        <f t="shared" si="43"/>
        <v>173.21247700878649</v>
      </c>
      <c r="BC114" s="26"/>
      <c r="BD114" s="28" t="e">
        <f t="shared" si="45"/>
        <v>#DIV/0!</v>
      </c>
    </row>
    <row r="115" spans="1:56" s="26" customFormat="1">
      <c r="A115" s="26">
        <f t="shared" si="50"/>
        <v>2040</v>
      </c>
      <c r="B115" s="26">
        <f t="shared" si="51"/>
        <v>4</v>
      </c>
      <c r="C115" s="19"/>
      <c r="D115" s="43">
        <v>143124743.12035</v>
      </c>
      <c r="E115" s="19"/>
      <c r="F115" s="43">
        <v>26014616.2619128</v>
      </c>
      <c r="G115" s="43">
        <v>6848694.8910919698</v>
      </c>
      <c r="H115" s="43">
        <v>37679498.599112399</v>
      </c>
      <c r="I115" s="43">
        <v>211815.305910061</v>
      </c>
      <c r="J115" s="43">
        <v>1165345.31749832</v>
      </c>
      <c r="K115" s="19"/>
      <c r="L115" s="43">
        <v>1733031.92004277</v>
      </c>
      <c r="M115" s="27"/>
      <c r="N115" s="43">
        <v>1300960.3491535999</v>
      </c>
      <c r="O115" s="19"/>
      <c r="P115" s="43">
        <v>16150210.8672734</v>
      </c>
      <c r="Q115" s="27"/>
      <c r="R115" s="43">
        <v>31492810.562387001</v>
      </c>
      <c r="S115" s="27"/>
      <c r="T115" s="43">
        <v>120415490.720716</v>
      </c>
      <c r="U115" s="19"/>
      <c r="V115" s="43">
        <v>188813.839552055</v>
      </c>
      <c r="W115" s="27"/>
      <c r="X115" s="43">
        <v>474245.92841430899</v>
      </c>
      <c r="Y115" s="19"/>
      <c r="Z115" s="19">
        <f t="shared" si="46"/>
        <v>2633015.8708298877</v>
      </c>
      <c r="AA115" s="19"/>
      <c r="AB115" s="19">
        <f t="shared" si="47"/>
        <v>-38859463.266907409</v>
      </c>
      <c r="AC115" s="13"/>
      <c r="AD115" s="19"/>
      <c r="AE115" s="19"/>
      <c r="AF115" s="19">
        <f>BB113/100*AF25</f>
        <v>9953043818.7099304</v>
      </c>
      <c r="AG115" s="33">
        <f t="shared" si="44"/>
        <v>1.5680325431910037E-3</v>
      </c>
      <c r="AH115" s="33"/>
      <c r="AI115" s="33">
        <f t="shared" si="49"/>
        <v>-3.7437750019393874E-3</v>
      </c>
      <c r="AV115" s="26">
        <v>13035351</v>
      </c>
      <c r="AX115" s="26">
        <f t="shared" si="37"/>
        <v>2.693083411664618E-3</v>
      </c>
      <c r="AY115" s="45">
        <v>9819.2557912749307</v>
      </c>
      <c r="AZ115" s="33">
        <f t="shared" si="48"/>
        <v>6.110816084245536E-5</v>
      </c>
      <c r="BA115" s="26">
        <f t="shared" si="42"/>
        <v>147.86815920133381</v>
      </c>
      <c r="BB115" s="26">
        <f t="shared" si="43"/>
        <v>173.68956585868611</v>
      </c>
      <c r="BD115" s="33" t="e">
        <f t="shared" si="45"/>
        <v>#DIV/0!</v>
      </c>
    </row>
    <row r="116" spans="1:56" s="26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s="13"/>
      <c r="AD116" s="19"/>
      <c r="AE116" s="19"/>
      <c r="AF116" s="19">
        <f>BB114/100*AF25</f>
        <v>9954563574.4977417</v>
      </c>
      <c r="AG116" s="33">
        <f t="shared" si="44"/>
        <v>1.5269256475636248E-4</v>
      </c>
      <c r="AH116" s="33"/>
      <c r="AI116" s="33">
        <f t="shared" si="49"/>
        <v>-5.7815596570882661E-3</v>
      </c>
      <c r="AT116"/>
      <c r="AU116"/>
      <c r="AV116"/>
      <c r="AW116"/>
      <c r="AX116"/>
      <c r="AY116"/>
      <c r="AZ116"/>
      <c r="BA116"/>
      <c r="BB116"/>
      <c r="BC116"/>
      <c r="BD116" s="33" t="e">
        <f t="shared" si="45"/>
        <v>#DIV/0!</v>
      </c>
    </row>
    <row r="117" spans="1:56" s="26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s="13"/>
      <c r="AD117" s="19"/>
      <c r="AE117" s="19"/>
      <c r="AF117" s="19">
        <f>BB115/100*AF25</f>
        <v>9981981987.8189068</v>
      </c>
      <c r="AG117" s="33">
        <f t="shared" si="44"/>
        <v>2.7543561418812358E-3</v>
      </c>
      <c r="AH117" s="33">
        <f>(AF117-AF113)/AF113</f>
        <v>9.5543482863179336E-3</v>
      </c>
      <c r="AI117" s="33">
        <f t="shared" si="49"/>
        <v>-3.8929606679643305E-3</v>
      </c>
      <c r="AT117"/>
      <c r="AU117"/>
      <c r="AV117"/>
      <c r="AW117"/>
      <c r="AX117"/>
      <c r="AY117"/>
      <c r="AZ117"/>
      <c r="BA117"/>
      <c r="BB117" t="s">
        <v>52</v>
      </c>
      <c r="BC117"/>
      <c r="BD117" s="33" t="e">
        <f t="shared" si="45"/>
        <v>#DIV/0!</v>
      </c>
    </row>
    <row r="119" spans="1:56">
      <c r="AH119" s="16">
        <f>AVERAGE(AH29:AH117)</f>
        <v>2.4686229638831922E-2</v>
      </c>
    </row>
    <row r="120" spans="1:56">
      <c r="AH120" s="16">
        <f>'Central scenario'!AH119</f>
        <v>1.5153114760867581E-2</v>
      </c>
      <c r="AI120" s="16">
        <f>AH119-AH120</f>
        <v>9.5331148779643406E-3</v>
      </c>
    </row>
    <row r="121" spans="1:56">
      <c r="AH121" s="16">
        <f>'Low scenario'!AH119</f>
        <v>5.391317048466686E-3</v>
      </c>
      <c r="AI121" s="16">
        <f>AH120-AH121</f>
        <v>9.7617977124008944E-3</v>
      </c>
    </row>
  </sheetData>
  <mergeCells count="3">
    <mergeCell ref="AL1:AM1"/>
    <mergeCell ref="AP1:AQ1"/>
    <mergeCell ref="AR1:AS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D8" sqref="D8:G31"/>
    </sheetView>
  </sheetViews>
  <sheetFormatPr baseColWidth="10" defaultColWidth="8.83203125" defaultRowHeight="12" x14ac:dyDescent="0"/>
  <sheetData>
    <row r="1" spans="1:7">
      <c r="B1" t="s">
        <v>53</v>
      </c>
      <c r="E1" t="s">
        <v>54</v>
      </c>
      <c r="G1" t="s">
        <v>55</v>
      </c>
    </row>
    <row r="3" spans="1:7" ht="58.75" customHeight="1">
      <c r="B3" s="7" t="s">
        <v>56</v>
      </c>
      <c r="C3" s="7" t="s">
        <v>57</v>
      </c>
      <c r="D3" s="7" t="s">
        <v>58</v>
      </c>
      <c r="E3" s="7" t="s">
        <v>59</v>
      </c>
      <c r="F3" s="7" t="s">
        <v>60</v>
      </c>
      <c r="G3" s="7" t="s">
        <v>61</v>
      </c>
    </row>
    <row r="4" spans="1:7">
      <c r="A4" s="11"/>
      <c r="B4" s="11"/>
      <c r="C4" s="11"/>
    </row>
    <row r="5" spans="1:7">
      <c r="A5" s="11">
        <v>2014</v>
      </c>
      <c r="B5" s="15">
        <f>'Central scenario'!AK3</f>
        <v>-2.0764450566254731E-2</v>
      </c>
      <c r="C5" s="15">
        <f>'Central scenario'!BK3</f>
        <v>-2.0764450566254731E-2</v>
      </c>
      <c r="D5" s="16">
        <f>'Low scenario'!AK3</f>
        <v>-2.0764450566254731E-2</v>
      </c>
      <c r="E5" s="16">
        <f>'Low scenario'!BI3</f>
        <v>-2.0764450566254731E-2</v>
      </c>
      <c r="F5" s="16">
        <f>'High scenario'!AK3</f>
        <v>-2.0764450566254731E-2</v>
      </c>
      <c r="G5" s="16">
        <f>'High scenario'!BJ3</f>
        <v>-2.0764450566254731E-2</v>
      </c>
    </row>
    <row r="6" spans="1:7">
      <c r="A6" s="11">
        <v>2015</v>
      </c>
      <c r="B6" s="15">
        <f>'Central scenario'!AK4</f>
        <v>-3.0144685604561124E-2</v>
      </c>
      <c r="C6" s="15">
        <f>'Central scenario'!BK4</f>
        <v>-3.0144685604561124E-2</v>
      </c>
      <c r="D6" s="16">
        <f>'Low scenario'!AK4</f>
        <v>-3.0144685604561124E-2</v>
      </c>
      <c r="E6" s="16">
        <f>'Low scenario'!BI4</f>
        <v>-3.0144685604561124E-2</v>
      </c>
      <c r="F6" s="16">
        <f>'High scenario'!AK4</f>
        <v>-3.0144685604561124E-2</v>
      </c>
      <c r="G6" s="16">
        <f>'High scenario'!BJ4</f>
        <v>-3.0144685604561124E-2</v>
      </c>
    </row>
    <row r="7" spans="1:7">
      <c r="A7" s="11">
        <v>2016</v>
      </c>
      <c r="B7" s="15">
        <f>'Central scenario'!AK5</f>
        <v>-3.3306942249534711E-2</v>
      </c>
      <c r="C7" s="15">
        <f>'Central scenario'!BK5</f>
        <v>-3.3342792737211906E-2</v>
      </c>
      <c r="D7" s="16">
        <f>'Low scenario'!AK5</f>
        <v>-3.3306942249534711E-2</v>
      </c>
      <c r="E7" s="16">
        <f>'Low scenario'!BI5</f>
        <v>-3.3342792737211906E-2</v>
      </c>
      <c r="F7" s="16">
        <f>'High scenario'!AK5</f>
        <v>-3.3306942249534711E-2</v>
      </c>
      <c r="G7" s="16">
        <f>'High scenario'!BJ5</f>
        <v>-3.3342792737211906E-2</v>
      </c>
    </row>
    <row r="8" spans="1:7">
      <c r="A8" s="11">
        <v>2017</v>
      </c>
      <c r="B8" s="15">
        <f>'Central scenario'!AK6</f>
        <v>-3.8482588498141644E-2</v>
      </c>
      <c r="C8" s="15">
        <f>'Central scenario'!BK6</f>
        <v>-3.8934481774266408E-2</v>
      </c>
      <c r="D8" s="16">
        <f>'Low scenario'!AK6</f>
        <v>-3.8537083916722691E-2</v>
      </c>
      <c r="E8" s="16">
        <f>'Low scenario'!BI6</f>
        <v>-3.8988977192847454E-2</v>
      </c>
      <c r="F8" s="16">
        <f>'High scenario'!AK6</f>
        <v>-3.841720950169919E-2</v>
      </c>
      <c r="G8" s="16">
        <f>'High scenario'!BJ6</f>
        <v>-3.8869102777823954E-2</v>
      </c>
    </row>
    <row r="9" spans="1:7">
      <c r="A9" s="11">
        <f t="shared" ref="A9:A31" si="0">A8+1</f>
        <v>2018</v>
      </c>
      <c r="B9" s="15">
        <f>'Central scenario'!AK7</f>
        <v>-3.7010955232999299E-2</v>
      </c>
      <c r="C9" s="15">
        <f>'Central scenario'!BK7</f>
        <v>-3.7838959240125203E-2</v>
      </c>
      <c r="D9" s="16">
        <f>'Low scenario'!AK7</f>
        <v>-3.7480406036719469E-2</v>
      </c>
      <c r="E9" s="16">
        <f>'Low scenario'!BI7</f>
        <v>-3.8310970169390078E-2</v>
      </c>
      <c r="F9" s="16">
        <f>'High scenario'!AK7</f>
        <v>-3.6511487444246135E-2</v>
      </c>
      <c r="G9" s="16">
        <f>'High scenario'!BJ7</f>
        <v>-3.7345026849927694E-2</v>
      </c>
    </row>
    <row r="10" spans="1:7">
      <c r="A10" s="11">
        <f t="shared" si="0"/>
        <v>2019</v>
      </c>
      <c r="B10" s="15">
        <f>'Central scenario'!AK8</f>
        <v>-3.8637944531257809E-2</v>
      </c>
      <c r="C10" s="15">
        <f>'Central scenario'!BK8</f>
        <v>-3.9811598156691642E-2</v>
      </c>
      <c r="D10" s="16">
        <f>'Low scenario'!AK8</f>
        <v>-3.9236331674083393E-2</v>
      </c>
      <c r="E10" s="16">
        <f>'Low scenario'!BI8</f>
        <v>-4.0418272303222154E-2</v>
      </c>
      <c r="F10" s="16">
        <f>'High scenario'!AK8</f>
        <v>-3.6894427396163929E-2</v>
      </c>
      <c r="G10" s="16">
        <f>'High scenario'!BJ8</f>
        <v>-3.8056264293783428E-2</v>
      </c>
    </row>
    <row r="11" spans="1:7">
      <c r="A11" s="11">
        <f t="shared" si="0"/>
        <v>2020</v>
      </c>
      <c r="B11" s="15">
        <f>'Central scenario'!AK9</f>
        <v>-4.0920927675002966E-2</v>
      </c>
      <c r="C11" s="15">
        <f>'Central scenario'!BK9</f>
        <v>-4.2507603164192137E-2</v>
      </c>
      <c r="D11" s="16">
        <f>'Low scenario'!AK9</f>
        <v>-4.203226314832522E-2</v>
      </c>
      <c r="E11" s="16">
        <f>'Low scenario'!BI9</f>
        <v>-4.3614602881042241E-2</v>
      </c>
      <c r="F11" s="16">
        <f>'High scenario'!AK9</f>
        <v>-3.7904243694739638E-2</v>
      </c>
      <c r="G11" s="16">
        <f>'High scenario'!BJ9</f>
        <v>-3.9423503407381093E-2</v>
      </c>
    </row>
    <row r="12" spans="1:7">
      <c r="A12" s="11">
        <f t="shared" si="0"/>
        <v>2021</v>
      </c>
      <c r="B12" s="15">
        <f>'Central scenario'!AK10</f>
        <v>-4.1857991827518148E-2</v>
      </c>
      <c r="C12" s="15">
        <f>'Central scenario'!BK10</f>
        <v>-4.3830949605521419E-2</v>
      </c>
      <c r="D12" s="16">
        <f>'Low scenario'!AK10</f>
        <v>-4.4610536435072526E-2</v>
      </c>
      <c r="E12" s="16">
        <f>'Low scenario'!BI10</f>
        <v>-4.6692563101355555E-2</v>
      </c>
      <c r="F12" s="16">
        <f>'High scenario'!AK10</f>
        <v>-3.8476288295550727E-2</v>
      </c>
      <c r="G12" s="16">
        <f>'High scenario'!BJ10</f>
        <v>-4.0436126816947332E-2</v>
      </c>
    </row>
    <row r="13" spans="1:7">
      <c r="A13" s="11">
        <f t="shared" si="0"/>
        <v>2022</v>
      </c>
      <c r="B13" s="15">
        <f>'Central scenario'!AK11</f>
        <v>-4.277308819388486E-2</v>
      </c>
      <c r="C13" s="15">
        <f>'Central scenario'!BK11</f>
        <v>-4.519564619029149E-2</v>
      </c>
      <c r="D13" s="16">
        <f>'Low scenario'!AK11</f>
        <v>-4.7074482910189376E-2</v>
      </c>
      <c r="E13" s="16">
        <f>'Low scenario'!BI11</f>
        <v>-4.967795956356718E-2</v>
      </c>
      <c r="F13" s="16">
        <f>'High scenario'!AK11</f>
        <v>-3.877177186057338E-2</v>
      </c>
      <c r="G13" s="16">
        <f>'High scenario'!BJ11</f>
        <v>-4.1176995296166835E-2</v>
      </c>
    </row>
    <row r="14" spans="1:7">
      <c r="A14" s="11">
        <f t="shared" si="0"/>
        <v>2023</v>
      </c>
      <c r="B14" s="15">
        <f>'Central scenario'!AK12</f>
        <v>-4.1297223927176295E-2</v>
      </c>
      <c r="C14" s="15">
        <f>'Central scenario'!BK12</f>
        <v>-4.4100091161302611E-2</v>
      </c>
      <c r="D14" s="16">
        <f>'Low scenario'!AK12</f>
        <v>-4.6306986311790081E-2</v>
      </c>
      <c r="E14" s="16">
        <f>'Low scenario'!BI12</f>
        <v>-4.9314640401939808E-2</v>
      </c>
      <c r="F14" s="16">
        <f>'High scenario'!AK12</f>
        <v>-3.6608117751941428E-2</v>
      </c>
      <c r="G14" s="16">
        <f>'High scenario'!BJ12</f>
        <v>-3.9366696833022956E-2</v>
      </c>
    </row>
    <row r="15" spans="1:7">
      <c r="A15" s="23">
        <f t="shared" si="0"/>
        <v>2024</v>
      </c>
      <c r="B15" s="24">
        <f>'Central scenario'!AK13</f>
        <v>-3.9950902563685178E-2</v>
      </c>
      <c r="C15" s="24">
        <f>'Central scenario'!BK13</f>
        <v>-4.3038129666176948E-2</v>
      </c>
      <c r="D15" s="16">
        <f>'Low scenario'!AK13</f>
        <v>-4.5748814741759937E-2</v>
      </c>
      <c r="E15" s="16">
        <f>'Low scenario'!BI13</f>
        <v>-4.9116306239824881E-2</v>
      </c>
      <c r="F15" s="16">
        <f>'High scenario'!AK13</f>
        <v>-3.4616031865708843E-2</v>
      </c>
      <c r="G15" s="16">
        <f>'High scenario'!BJ13</f>
        <v>-3.7642842305097506E-2</v>
      </c>
    </row>
    <row r="16" spans="1:7">
      <c r="A16" s="29">
        <f t="shared" si="0"/>
        <v>2025</v>
      </c>
      <c r="B16" s="30">
        <f>'Central scenario'!AK14</f>
        <v>-3.8228061951208973E-2</v>
      </c>
      <c r="C16" s="30">
        <f>'Central scenario'!BK14</f>
        <v>-4.2224608955235249E-2</v>
      </c>
      <c r="D16" s="16">
        <f>'Low scenario'!AK14</f>
        <v>-4.4797568490919204E-2</v>
      </c>
      <c r="E16" s="16">
        <f>'Low scenario'!BI14</f>
        <v>-4.9213832059026817E-2</v>
      </c>
      <c r="F16" s="16">
        <f>'High scenario'!AK14</f>
        <v>-3.2193778325940198E-2</v>
      </c>
      <c r="G16" s="16">
        <f>'High scenario'!BJ14</f>
        <v>-3.6179516478871888E-2</v>
      </c>
    </row>
    <row r="17" spans="1:9">
      <c r="A17" s="35">
        <f t="shared" si="0"/>
        <v>2026</v>
      </c>
      <c r="B17" s="36">
        <f>'Central scenario'!AK15</f>
        <v>-3.7354056267283768E-2</v>
      </c>
      <c r="C17" s="36">
        <f>'Central scenario'!BK15</f>
        <v>-4.2446670706448086E-2</v>
      </c>
      <c r="D17" s="16">
        <f>'Low scenario'!AK15</f>
        <v>-4.4668382464594578E-2</v>
      </c>
      <c r="E17" s="16">
        <f>'Low scenario'!BI15</f>
        <v>-5.0302736184248194E-2</v>
      </c>
      <c r="F17" s="16">
        <f>'High scenario'!AK15</f>
        <v>-2.9316084729249056E-2</v>
      </c>
      <c r="G17" s="16">
        <f>'High scenario'!BJ15</f>
        <v>-3.4275825352209702E-2</v>
      </c>
    </row>
    <row r="18" spans="1:9">
      <c r="A18" s="35">
        <f t="shared" si="0"/>
        <v>2027</v>
      </c>
      <c r="B18" s="36">
        <f>'Central scenario'!AK16</f>
        <v>-3.6513186434724981E-2</v>
      </c>
      <c r="C18" s="36">
        <f>'Central scenario'!BK16</f>
        <v>-4.2727883358161509E-2</v>
      </c>
      <c r="D18" s="16">
        <f>'Low scenario'!AK16</f>
        <v>-4.3946033022531632E-2</v>
      </c>
      <c r="E18" s="16">
        <f>'Low scenario'!BI16</f>
        <v>-5.0934941486081853E-2</v>
      </c>
      <c r="F18" s="16">
        <f>'High scenario'!AK16</f>
        <v>-2.7996011054852183E-2</v>
      </c>
      <c r="G18" s="16">
        <f>'High scenario'!BJ16</f>
        <v>-3.3954176223219994E-2</v>
      </c>
    </row>
    <row r="19" spans="1:9">
      <c r="A19" s="35">
        <f t="shared" si="0"/>
        <v>2028</v>
      </c>
      <c r="B19" s="36">
        <f>'Central scenario'!AK17</f>
        <v>-3.4702825859237701E-2</v>
      </c>
      <c r="C19" s="36">
        <f>'Central scenario'!BK17</f>
        <v>-4.2047698301194189E-2</v>
      </c>
      <c r="D19" s="16">
        <f>'Low scenario'!AK17</f>
        <v>-4.3289641091895918E-2</v>
      </c>
      <c r="E19" s="16">
        <f>'Low scenario'!BI17</f>
        <v>-5.1559951745393018E-2</v>
      </c>
      <c r="F19" s="16">
        <f>'High scenario'!AK17</f>
        <v>-2.6294481814153128E-2</v>
      </c>
      <c r="G19" s="16">
        <f>'High scenario'!BJ17</f>
        <v>-3.3087642644783623E-2</v>
      </c>
    </row>
    <row r="20" spans="1:9">
      <c r="A20" s="29">
        <f t="shared" si="0"/>
        <v>2029</v>
      </c>
      <c r="B20" s="30">
        <f>'Central scenario'!AK18</f>
        <v>-3.4338588033491026E-2</v>
      </c>
      <c r="C20" s="30">
        <f>'Central scenario'!BK18</f>
        <v>-4.2554354442923048E-2</v>
      </c>
      <c r="D20" s="16">
        <f>'Low scenario'!AK18</f>
        <v>-4.347874546681469E-2</v>
      </c>
      <c r="E20" s="16">
        <f>'Low scenario'!BI18</f>
        <v>-5.2877888394431576E-2</v>
      </c>
      <c r="F20" s="16">
        <f>'High scenario'!AK18</f>
        <v>-2.4540537825997227E-2</v>
      </c>
      <c r="G20" s="16">
        <f>'High scenario'!BJ18</f>
        <v>-3.2057002554686673E-2</v>
      </c>
    </row>
    <row r="21" spans="1:9">
      <c r="A21" s="35">
        <f t="shared" si="0"/>
        <v>2030</v>
      </c>
      <c r="B21" s="36">
        <f>'Central scenario'!AK19</f>
        <v>-3.3169261606381464E-2</v>
      </c>
      <c r="C21" s="36">
        <f>'Central scenario'!BK19</f>
        <v>-4.2285597397904814E-2</v>
      </c>
      <c r="D21" s="16">
        <f>'Low scenario'!AK19</f>
        <v>-4.2731485576523745E-2</v>
      </c>
      <c r="E21" s="16">
        <f>'Low scenario'!BI19</f>
        <v>-5.3254954152412284E-2</v>
      </c>
      <c r="F21" s="16">
        <f>'High scenario'!AK19</f>
        <v>-2.2957363129591676E-2</v>
      </c>
      <c r="G21" s="16">
        <f>'High scenario'!BJ19</f>
        <v>-3.1152440940659332E-2</v>
      </c>
    </row>
    <row r="22" spans="1:9">
      <c r="A22" s="35">
        <f t="shared" si="0"/>
        <v>2031</v>
      </c>
      <c r="B22" s="36">
        <f>'Central scenario'!AK20</f>
        <v>-3.2034193742614701E-2</v>
      </c>
      <c r="C22" s="36">
        <f>'Central scenario'!BK20</f>
        <v>-4.2157958608683335E-2</v>
      </c>
      <c r="D22" s="16">
        <f>'Low scenario'!AK20</f>
        <v>-4.204533975442859E-2</v>
      </c>
      <c r="E22" s="16">
        <f>'Low scenario'!BI20</f>
        <v>-5.3794368193870339E-2</v>
      </c>
      <c r="F22" s="16">
        <f>'High scenario'!AK20</f>
        <v>-2.2271824101245279E-2</v>
      </c>
      <c r="G22" s="16">
        <f>'High scenario'!BJ20</f>
        <v>-3.1283684646027043E-2</v>
      </c>
      <c r="H22" s="16">
        <f>B31-D31</f>
        <v>1.3812566558562701E-2</v>
      </c>
      <c r="I22" s="16">
        <f>C31-E31</f>
        <v>1.7999639351085076E-2</v>
      </c>
    </row>
    <row r="23" spans="1:9">
      <c r="A23" s="35">
        <f t="shared" si="0"/>
        <v>2032</v>
      </c>
      <c r="B23" s="36">
        <f>'Central scenario'!AK21</f>
        <v>-3.1446290354874396E-2</v>
      </c>
      <c r="C23" s="36">
        <f>'Central scenario'!BK21</f>
        <v>-4.2463153349008818E-2</v>
      </c>
      <c r="D23" s="16">
        <f>'Low scenario'!AK21</f>
        <v>-4.255426553418401E-2</v>
      </c>
      <c r="E23" s="16">
        <f>'Low scenario'!BI21</f>
        <v>-5.5491188544949825E-2</v>
      </c>
      <c r="F23" s="16">
        <f>'High scenario'!AK21</f>
        <v>-2.177055660023209E-2</v>
      </c>
      <c r="G23" s="16">
        <f>'High scenario'!BJ21</f>
        <v>-3.1525329519974943E-2</v>
      </c>
      <c r="H23" s="16">
        <f>B31-F31</f>
        <v>-1.0656832678222667E-2</v>
      </c>
      <c r="I23" s="16">
        <f>C31-G31</f>
        <v>-1.3607644671310287E-2</v>
      </c>
    </row>
    <row r="24" spans="1:9">
      <c r="A24" s="29">
        <f t="shared" si="0"/>
        <v>2033</v>
      </c>
      <c r="B24" s="30">
        <f>'Central scenario'!AK22</f>
        <v>-3.1822339662602776E-2</v>
      </c>
      <c r="C24" s="30">
        <f>'Central scenario'!BK22</f>
        <v>-4.3574306925170767E-2</v>
      </c>
      <c r="D24" s="16">
        <f>'Low scenario'!AK22</f>
        <v>-4.2237130653194413E-2</v>
      </c>
      <c r="E24" s="16">
        <f>'Low scenario'!BI22</f>
        <v>-5.6136623783921882E-2</v>
      </c>
      <c r="F24" s="16">
        <f>'High scenario'!AK22</f>
        <v>-2.1525347005855993E-2</v>
      </c>
      <c r="G24" s="16">
        <f>'High scenario'!BJ22</f>
        <v>-3.1950397623856291E-2</v>
      </c>
      <c r="H24" s="16">
        <f>H22-I22</f>
        <v>-4.1870727925223741E-3</v>
      </c>
    </row>
    <row r="25" spans="1:9">
      <c r="A25" s="35">
        <f t="shared" si="0"/>
        <v>2034</v>
      </c>
      <c r="B25" s="36">
        <f>'Central scenario'!AK23</f>
        <v>-3.1541116899244284E-2</v>
      </c>
      <c r="C25" s="36">
        <f>'Central scenario'!BK23</f>
        <v>-4.4133356029252363E-2</v>
      </c>
      <c r="D25" s="16">
        <f>'Low scenario'!AK23</f>
        <v>-4.2448274594983661E-2</v>
      </c>
      <c r="E25" s="16">
        <f>'Low scenario'!BI23</f>
        <v>-5.7435016358841497E-2</v>
      </c>
      <c r="F25" s="16">
        <f>'High scenario'!AK23</f>
        <v>-2.1611445627267949E-2</v>
      </c>
      <c r="G25" s="16">
        <f>'High scenario'!BJ23</f>
        <v>-3.2730470633085269E-2</v>
      </c>
      <c r="H25" s="16">
        <f>H23-I23</f>
        <v>2.9508119930876202E-3</v>
      </c>
    </row>
    <row r="26" spans="1:9">
      <c r="A26" s="35">
        <f t="shared" si="0"/>
        <v>2035</v>
      </c>
      <c r="B26" s="36">
        <f>'Central scenario'!AK24</f>
        <v>-3.060318246890692E-2</v>
      </c>
      <c r="C26" s="36">
        <f>'Central scenario'!BK24</f>
        <v>-4.4349114452562795E-2</v>
      </c>
      <c r="D26" s="16">
        <f>'Low scenario'!AK24</f>
        <v>-4.2259591464389942E-2</v>
      </c>
      <c r="E26" s="16">
        <f>'Low scenario'!BI24</f>
        <v>-5.8605770238729787E-2</v>
      </c>
      <c r="F26" s="16">
        <f>'High scenario'!AK24</f>
        <v>-2.0585002273939786E-2</v>
      </c>
      <c r="G26" s="16">
        <f>'High scenario'!BJ24</f>
        <v>-3.2370911826257821E-2</v>
      </c>
    </row>
    <row r="27" spans="1:9">
      <c r="A27" s="35">
        <f t="shared" si="0"/>
        <v>2036</v>
      </c>
      <c r="B27" s="36">
        <f>'Central scenario'!AK25</f>
        <v>-3.043181804947391E-2</v>
      </c>
      <c r="C27" s="36">
        <f>'Central scenario'!BK25</f>
        <v>-4.5148628529013746E-2</v>
      </c>
      <c r="D27" s="16">
        <f>'Low scenario'!AK25</f>
        <v>-4.1860061174957643E-2</v>
      </c>
      <c r="E27" s="16">
        <f>'Low scenario'!BI25</f>
        <v>-5.9088831062451046E-2</v>
      </c>
      <c r="F27" s="16">
        <f>'High scenario'!AK25</f>
        <v>-2.0438781834698064E-2</v>
      </c>
      <c r="G27" s="16">
        <f>'High scenario'!BJ25</f>
        <v>-3.2964222932299107E-2</v>
      </c>
    </row>
    <row r="28" spans="1:9">
      <c r="A28" s="29">
        <f t="shared" si="0"/>
        <v>2037</v>
      </c>
      <c r="B28" s="30">
        <f>'Central scenario'!AK26</f>
        <v>-3.0260879031429502E-2</v>
      </c>
      <c r="C28" s="30">
        <f>'Central scenario'!BK26</f>
        <v>-4.588005081504179E-2</v>
      </c>
      <c r="D28" s="16">
        <f>'Low scenario'!AK26</f>
        <v>-4.2701200498187458E-2</v>
      </c>
      <c r="E28" s="16">
        <f>'Low scenario'!BI26</f>
        <v>-6.1188549830850196E-2</v>
      </c>
      <c r="F28" s="16">
        <f>'High scenario'!AK26</f>
        <v>-2.0209080030144187E-2</v>
      </c>
      <c r="G28" s="16">
        <f>'High scenario'!BJ26</f>
        <v>-3.353253753061082E-2</v>
      </c>
    </row>
    <row r="29" spans="1:9">
      <c r="A29" s="35">
        <f t="shared" si="0"/>
        <v>2038</v>
      </c>
      <c r="B29" s="36">
        <f>'Central scenario'!AK27</f>
        <v>-3.0319029639381503E-2</v>
      </c>
      <c r="C29" s="36">
        <f>'Central scenario'!BK27</f>
        <v>-4.678224537145044E-2</v>
      </c>
      <c r="D29" s="16">
        <f>'Low scenario'!AK27</f>
        <v>-4.3144634111856005E-2</v>
      </c>
      <c r="E29" s="16">
        <f>'Low scenario'!BI27</f>
        <v>-6.2898206780910987E-2</v>
      </c>
      <c r="F29" s="16">
        <f>'High scenario'!AK27</f>
        <v>-1.9574344549268534E-2</v>
      </c>
      <c r="G29" s="16">
        <f>'High scenario'!BJ27</f>
        <v>-3.3537192086642686E-2</v>
      </c>
      <c r="I29" s="16">
        <f>C31-E31</f>
        <v>1.7999639351085076E-2</v>
      </c>
    </row>
    <row r="30" spans="1:9">
      <c r="A30" s="35">
        <f t="shared" si="0"/>
        <v>2039</v>
      </c>
      <c r="B30" s="36">
        <f>'Central scenario'!AK28</f>
        <v>-3.0072997899781552E-2</v>
      </c>
      <c r="C30" s="36">
        <f>'Central scenario'!BK28</f>
        <v>-4.7329324112830334E-2</v>
      </c>
      <c r="D30" s="16">
        <f>'Low scenario'!AK28</f>
        <v>-4.366910364298076E-2</v>
      </c>
      <c r="E30" s="16">
        <f>'Low scenario'!BI28</f>
        <v>-6.4728761968810333E-2</v>
      </c>
      <c r="F30" s="16">
        <f>'High scenario'!AK28</f>
        <v>-1.919460547244585E-2</v>
      </c>
      <c r="G30" s="16">
        <f>'High scenario'!BJ28</f>
        <v>-3.3738583056369328E-2</v>
      </c>
      <c r="I30" s="16">
        <f>C31-G31</f>
        <v>-1.3607644671310287E-2</v>
      </c>
    </row>
    <row r="31" spans="1:9">
      <c r="A31" s="35">
        <f t="shared" si="0"/>
        <v>2040</v>
      </c>
      <c r="B31" s="36">
        <f>'Central scenario'!AK29</f>
        <v>-2.9897666519769377E-2</v>
      </c>
      <c r="C31" s="36">
        <f>'Central scenario'!BK29</f>
        <v>-4.8147829436399267E-2</v>
      </c>
      <c r="D31" s="16">
        <f>'Low scenario'!AK29</f>
        <v>-4.3710233078332078E-2</v>
      </c>
      <c r="E31" s="16">
        <f>'Low scenario'!BI29</f>
        <v>-6.6147468787484343E-2</v>
      </c>
      <c r="F31" s="16">
        <f>'High scenario'!AK29</f>
        <v>-1.924083384154671E-2</v>
      </c>
      <c r="G31" s="16">
        <f>'High scenario'!BJ29</f>
        <v>-3.454018476508898E-2</v>
      </c>
    </row>
    <row r="33" spans="1:8" ht="60">
      <c r="B33" s="51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</row>
    <row r="34" spans="1:8">
      <c r="B34" s="51"/>
    </row>
    <row r="35" spans="1:8">
      <c r="A35">
        <v>1993</v>
      </c>
      <c r="B35" s="52">
        <v>-1.77E-2</v>
      </c>
    </row>
    <row r="36" spans="1:8">
      <c r="A36">
        <f t="shared" ref="A36:A82" si="1">A35+1</f>
        <v>1994</v>
      </c>
      <c r="B36" s="53">
        <v>-2.6599999999999999E-2</v>
      </c>
    </row>
    <row r="37" spans="1:8">
      <c r="A37">
        <f t="shared" si="1"/>
        <v>1995</v>
      </c>
      <c r="B37" s="52">
        <v>-2.23E-2</v>
      </c>
    </row>
    <row r="38" spans="1:8">
      <c r="A38">
        <f t="shared" si="1"/>
        <v>1996</v>
      </c>
      <c r="B38" s="53">
        <v>-2.3300000000000001E-2</v>
      </c>
    </row>
    <row r="39" spans="1:8">
      <c r="A39">
        <f t="shared" si="1"/>
        <v>1997</v>
      </c>
      <c r="B39" s="52">
        <v>-2.0799999999999999E-2</v>
      </c>
    </row>
    <row r="40" spans="1:8">
      <c r="A40">
        <f t="shared" si="1"/>
        <v>1998</v>
      </c>
      <c r="B40" s="53">
        <v>-2.7099999999999999E-2</v>
      </c>
    </row>
    <row r="41" spans="1:8">
      <c r="A41">
        <f t="shared" si="1"/>
        <v>1999</v>
      </c>
      <c r="B41" s="52">
        <v>-3.2199999999999999E-2</v>
      </c>
    </row>
    <row r="42" spans="1:8">
      <c r="A42">
        <f t="shared" si="1"/>
        <v>2000</v>
      </c>
      <c r="B42" s="53">
        <v>-3.3799999999999997E-2</v>
      </c>
    </row>
    <row r="43" spans="1:8">
      <c r="A43">
        <f t="shared" si="1"/>
        <v>2001</v>
      </c>
      <c r="B43" s="52">
        <v>-3.4299999999999997E-2</v>
      </c>
    </row>
    <row r="44" spans="1:8">
      <c r="A44">
        <f t="shared" si="1"/>
        <v>2002</v>
      </c>
      <c r="B44" s="53">
        <v>-2.9700000000000001E-2</v>
      </c>
    </row>
    <row r="45" spans="1:8">
      <c r="A45">
        <f t="shared" si="1"/>
        <v>2003</v>
      </c>
      <c r="B45" s="52">
        <v>-2.7799999999999998E-2</v>
      </c>
    </row>
    <row r="46" spans="1:8">
      <c r="A46">
        <f t="shared" si="1"/>
        <v>2004</v>
      </c>
      <c r="B46" s="53">
        <v>-2.1899999999999999E-2</v>
      </c>
    </row>
    <row r="47" spans="1:8">
      <c r="A47">
        <f t="shared" si="1"/>
        <v>2005</v>
      </c>
      <c r="B47" s="52">
        <v>-1.7899999999999999E-2</v>
      </c>
    </row>
    <row r="48" spans="1:8">
      <c r="A48">
        <f t="shared" si="1"/>
        <v>2006</v>
      </c>
      <c r="B48" s="53">
        <v>-1.6500000000000001E-2</v>
      </c>
    </row>
    <row r="49" spans="1:8">
      <c r="A49">
        <f t="shared" si="1"/>
        <v>2007</v>
      </c>
      <c r="B49" s="52">
        <v>-1.5900000000000001E-2</v>
      </c>
    </row>
    <row r="50" spans="1:8">
      <c r="A50">
        <f t="shared" si="1"/>
        <v>2008</v>
      </c>
      <c r="B50" s="53">
        <v>-1.83E-2</v>
      </c>
    </row>
    <row r="51" spans="1:8">
      <c r="A51">
        <f t="shared" si="1"/>
        <v>2009</v>
      </c>
      <c r="B51" s="52">
        <v>-1.5699999999999999E-2</v>
      </c>
    </row>
    <row r="52" spans="1:8">
      <c r="A52">
        <f t="shared" si="1"/>
        <v>2010</v>
      </c>
      <c r="B52" s="53">
        <v>-1.5800000000000002E-2</v>
      </c>
    </row>
    <row r="53" spans="1:8">
      <c r="A53">
        <f t="shared" si="1"/>
        <v>2011</v>
      </c>
      <c r="B53" s="52">
        <v>-1.6199999999999999E-2</v>
      </c>
    </row>
    <row r="54" spans="1:8">
      <c r="A54">
        <f t="shared" si="1"/>
        <v>2012</v>
      </c>
      <c r="B54" s="53">
        <v>-1.95E-2</v>
      </c>
    </row>
    <row r="55" spans="1:8">
      <c r="A55">
        <f t="shared" si="1"/>
        <v>2013</v>
      </c>
      <c r="B55" s="52">
        <v>-2.1100000000000001E-2</v>
      </c>
    </row>
    <row r="56" spans="1:8">
      <c r="A56">
        <f t="shared" si="1"/>
        <v>2014</v>
      </c>
      <c r="B56" s="53">
        <v>-2.1700000000000001E-2</v>
      </c>
      <c r="C56" s="15">
        <v>-2.04610062724093E-2</v>
      </c>
      <c r="D56" s="15"/>
      <c r="E56" s="16"/>
      <c r="F56" s="16"/>
      <c r="G56" s="16"/>
      <c r="H56" s="16"/>
    </row>
    <row r="57" spans="1:8">
      <c r="A57">
        <f t="shared" si="1"/>
        <v>2015</v>
      </c>
      <c r="B57" s="52">
        <v>-2.8799999999999999E-2</v>
      </c>
      <c r="C57" s="15">
        <v>-3.3044638260362802E-2</v>
      </c>
      <c r="D57" s="15"/>
      <c r="E57" s="16"/>
      <c r="F57" s="16"/>
      <c r="G57" s="16"/>
      <c r="H57" s="16"/>
    </row>
    <row r="58" spans="1:8">
      <c r="A58">
        <f t="shared" si="1"/>
        <v>2016</v>
      </c>
      <c r="B58" s="53">
        <v>-3.3700000000000001E-2</v>
      </c>
      <c r="C58" s="15">
        <v>-3.2069998032844597E-2</v>
      </c>
      <c r="D58" s="15">
        <v>-3.2103225099647699E-2</v>
      </c>
      <c r="E58" s="16"/>
      <c r="F58" s="16"/>
      <c r="G58" s="16"/>
      <c r="H58" s="16"/>
    </row>
    <row r="59" spans="1:8">
      <c r="A59">
        <f t="shared" si="1"/>
        <v>2017</v>
      </c>
      <c r="B59" s="52">
        <v>-4.0599999999999997E-2</v>
      </c>
      <c r="C59" s="15">
        <v>-3.7403852785620403E-2</v>
      </c>
      <c r="D59" s="15">
        <v>-3.7996113251991898E-2</v>
      </c>
      <c r="E59" s="16">
        <v>-3.7607778293913603E-2</v>
      </c>
      <c r="F59" s="16">
        <v>-3.8200038760285097E-2</v>
      </c>
      <c r="G59" s="16">
        <v>-3.7341522210877699E-2</v>
      </c>
      <c r="H59" s="16">
        <v>-3.79337826772492E-2</v>
      </c>
    </row>
    <row r="60" spans="1:8">
      <c r="A60">
        <f t="shared" si="1"/>
        <v>2018</v>
      </c>
      <c r="C60" s="15">
        <v>-3.7392961324655402E-2</v>
      </c>
      <c r="D60" s="15">
        <v>-3.8452513671492702E-2</v>
      </c>
      <c r="E60" s="16">
        <v>-3.8640363964177603E-2</v>
      </c>
      <c r="F60" s="16">
        <v>-3.9705604129979297E-2</v>
      </c>
      <c r="G60" s="16">
        <v>-3.6307860308015701E-2</v>
      </c>
      <c r="H60" s="16">
        <v>-3.73615054714437E-2</v>
      </c>
    </row>
    <row r="61" spans="1:8">
      <c r="A61">
        <f t="shared" si="1"/>
        <v>2019</v>
      </c>
      <c r="C61" s="15">
        <v>-4.0938359440306903E-2</v>
      </c>
      <c r="D61" s="15">
        <v>-4.2453692801659997E-2</v>
      </c>
      <c r="E61" s="16">
        <v>-4.3475443742129E-2</v>
      </c>
      <c r="F61" s="16">
        <v>-4.5010849715017502E-2</v>
      </c>
      <c r="G61" s="16">
        <v>-3.8766618125938401E-2</v>
      </c>
      <c r="H61" s="16">
        <v>-4.0261811345533902E-2</v>
      </c>
    </row>
    <row r="62" spans="1:8">
      <c r="A62">
        <f t="shared" si="1"/>
        <v>2020</v>
      </c>
      <c r="C62" s="15">
        <v>-4.3828210534307202E-2</v>
      </c>
      <c r="D62" s="15">
        <v>-4.5850567138983098E-2</v>
      </c>
      <c r="E62" s="16">
        <v>-4.7445468422155503E-2</v>
      </c>
      <c r="F62" s="16">
        <v>-4.9510295071098102E-2</v>
      </c>
      <c r="G62" s="16">
        <v>-4.0698020630775399E-2</v>
      </c>
      <c r="H62" s="16">
        <v>-4.2682802503413102E-2</v>
      </c>
    </row>
    <row r="63" spans="1:8">
      <c r="A63">
        <f t="shared" si="1"/>
        <v>2021</v>
      </c>
      <c r="C63" s="15">
        <v>-4.4841165018680698E-2</v>
      </c>
      <c r="D63" s="15">
        <v>-4.7327378669444101E-2</v>
      </c>
      <c r="E63" s="16">
        <v>-4.9176042337864399E-2</v>
      </c>
      <c r="F63" s="16">
        <v>-5.17191664308293E-2</v>
      </c>
      <c r="G63" s="16">
        <v>-4.0279793091458398E-2</v>
      </c>
      <c r="H63" s="16">
        <v>-4.2713745366851803E-2</v>
      </c>
    </row>
    <row r="64" spans="1:8">
      <c r="A64">
        <f t="shared" si="1"/>
        <v>2022</v>
      </c>
      <c r="C64" s="15">
        <v>-4.4770865092027198E-2</v>
      </c>
      <c r="D64" s="15">
        <v>-4.7824349301039099E-2</v>
      </c>
      <c r="E64" s="16">
        <v>-5.0693558724237198E-2</v>
      </c>
      <c r="F64" s="16">
        <v>-5.3811352462557901E-2</v>
      </c>
      <c r="G64" s="16">
        <v>-3.9941396902823403E-2</v>
      </c>
      <c r="H64" s="16">
        <v>-4.2868603716032003E-2</v>
      </c>
    </row>
    <row r="65" spans="1:8">
      <c r="A65">
        <f t="shared" si="1"/>
        <v>2023</v>
      </c>
      <c r="C65" s="15">
        <v>-4.32474424424217E-2</v>
      </c>
      <c r="D65" s="15">
        <v>-4.6803161722397298E-2</v>
      </c>
      <c r="E65" s="16">
        <v>-5.02813077901995E-2</v>
      </c>
      <c r="F65" s="16">
        <v>-5.3844567538501802E-2</v>
      </c>
      <c r="G65" s="16">
        <v>-3.6982389192176099E-2</v>
      </c>
      <c r="H65" s="16">
        <v>-4.0291364995348598E-2</v>
      </c>
    </row>
    <row r="66" spans="1:8">
      <c r="A66">
        <f t="shared" si="1"/>
        <v>2024</v>
      </c>
      <c r="C66" s="24">
        <v>-4.07053581128047E-2</v>
      </c>
      <c r="D66" s="24">
        <v>-4.4873693049842699E-2</v>
      </c>
      <c r="E66" s="16">
        <v>-4.9197869066938398E-2</v>
      </c>
      <c r="F66" s="16">
        <v>-5.3350308368239702E-2</v>
      </c>
      <c r="G66" s="16">
        <v>-3.4357169997021E-2</v>
      </c>
      <c r="H66" s="16">
        <v>-3.8178193995478303E-2</v>
      </c>
    </row>
    <row r="67" spans="1:8">
      <c r="A67">
        <f t="shared" si="1"/>
        <v>2025</v>
      </c>
      <c r="C67" s="30">
        <v>-3.8437388835727102E-2</v>
      </c>
      <c r="D67" s="30">
        <v>-4.3839013356570297E-2</v>
      </c>
      <c r="E67" s="16">
        <v>-4.8317161973534098E-2</v>
      </c>
      <c r="F67" s="16">
        <v>-5.3795669799487501E-2</v>
      </c>
      <c r="G67" s="16">
        <v>-3.1446462323119297E-2</v>
      </c>
      <c r="H67" s="16">
        <v>-3.6447809185915198E-2</v>
      </c>
    </row>
    <row r="68" spans="1:8">
      <c r="A68">
        <f t="shared" si="1"/>
        <v>2026</v>
      </c>
      <c r="C68" s="36">
        <v>-3.5833361479703799E-2</v>
      </c>
      <c r="D68" s="36">
        <v>-4.2518915995942499E-2</v>
      </c>
      <c r="E68" s="16">
        <v>-4.71101721898914E-2</v>
      </c>
      <c r="F68" s="16">
        <v>-5.3922409349610102E-2</v>
      </c>
      <c r="G68" s="16">
        <v>-2.8543145589422999E-2</v>
      </c>
      <c r="H68" s="16">
        <v>-3.4705985466903698E-2</v>
      </c>
    </row>
    <row r="69" spans="1:8">
      <c r="A69">
        <f t="shared" si="1"/>
        <v>2027</v>
      </c>
      <c r="C69" s="36">
        <v>-3.3555998572039503E-2</v>
      </c>
      <c r="D69" s="36">
        <v>-4.1671132818721299E-2</v>
      </c>
      <c r="E69" s="16">
        <v>-4.4499902277535197E-2</v>
      </c>
      <c r="F69" s="16">
        <v>-5.2930840326063502E-2</v>
      </c>
      <c r="G69" s="16">
        <v>-2.4635025821339401E-2</v>
      </c>
      <c r="H69" s="16">
        <v>-3.2064608567462301E-2</v>
      </c>
    </row>
    <row r="70" spans="1:8">
      <c r="A70">
        <f t="shared" si="1"/>
        <v>2028</v>
      </c>
      <c r="B70" s="11"/>
      <c r="C70" s="36">
        <v>-3.1509858502588799E-2</v>
      </c>
      <c r="D70" s="36">
        <v>-4.10056250740558E-2</v>
      </c>
      <c r="E70" s="16">
        <v>-4.2756136471171102E-2</v>
      </c>
      <c r="F70" s="16">
        <v>-5.2662710349283097E-2</v>
      </c>
      <c r="G70" s="16">
        <v>-2.1507669501768901E-2</v>
      </c>
      <c r="H70" s="16">
        <v>-3.0161045341474998E-2</v>
      </c>
    </row>
    <row r="71" spans="1:8">
      <c r="A71">
        <f t="shared" si="1"/>
        <v>2029</v>
      </c>
      <c r="B71" s="15"/>
      <c r="C71" s="30">
        <v>-2.93502546836776E-2</v>
      </c>
      <c r="D71" s="30">
        <v>-4.0027841799250799E-2</v>
      </c>
      <c r="E71" s="16">
        <v>-4.1926221131431303E-2</v>
      </c>
      <c r="F71" s="16">
        <v>-5.3205007466344503E-2</v>
      </c>
      <c r="G71" s="16">
        <v>-1.77299347081778E-2</v>
      </c>
      <c r="H71" s="16">
        <v>-2.74936711441096E-2</v>
      </c>
    </row>
    <row r="72" spans="1:8">
      <c r="A72">
        <f t="shared" si="1"/>
        <v>2030</v>
      </c>
      <c r="B72" s="15"/>
      <c r="C72" s="36">
        <v>-2.7511044160048199E-2</v>
      </c>
      <c r="D72" s="36">
        <v>-3.9083075156626401E-2</v>
      </c>
      <c r="E72" s="16">
        <v>-4.1216007777218303E-2</v>
      </c>
      <c r="F72" s="16">
        <v>-5.3751999026860203E-2</v>
      </c>
      <c r="G72" s="16">
        <v>-1.5200961982201401E-2</v>
      </c>
      <c r="H72" s="16">
        <v>-2.5869920175587899E-2</v>
      </c>
    </row>
    <row r="73" spans="1:8">
      <c r="A73">
        <f t="shared" si="1"/>
        <v>2031</v>
      </c>
      <c r="B73" s="15"/>
      <c r="C73" s="36">
        <v>-2.5023701151487901E-2</v>
      </c>
      <c r="D73" s="36">
        <v>-3.7636433861558599E-2</v>
      </c>
      <c r="E73" s="16">
        <v>-3.9004403869669302E-2</v>
      </c>
      <c r="F73" s="16">
        <v>-5.2743941824754698E-2</v>
      </c>
      <c r="G73" s="16">
        <v>-1.27195302993086E-2</v>
      </c>
      <c r="H73" s="16">
        <v>-2.4151208902882099E-2</v>
      </c>
    </row>
    <row r="74" spans="1:8">
      <c r="A74">
        <f t="shared" si="1"/>
        <v>2032</v>
      </c>
      <c r="B74" s="15"/>
      <c r="C74" s="36">
        <v>-2.36624962419754E-2</v>
      </c>
      <c r="D74" s="36">
        <v>-3.7373955215556802E-2</v>
      </c>
      <c r="E74" s="16">
        <v>-3.7203827708453999E-2</v>
      </c>
      <c r="F74" s="16">
        <v>-5.2348145130919302E-2</v>
      </c>
      <c r="G74" s="16">
        <v>-9.9791289783957796E-3</v>
      </c>
      <c r="H74" s="16">
        <v>-2.24162026356837E-2</v>
      </c>
    </row>
    <row r="75" spans="1:8">
      <c r="A75">
        <f t="shared" si="1"/>
        <v>2033</v>
      </c>
      <c r="B75" s="15"/>
      <c r="C75" s="30">
        <v>-2.1189228838124401E-2</v>
      </c>
      <c r="D75" s="30">
        <v>-3.5836712928319997E-2</v>
      </c>
      <c r="E75" s="16">
        <v>-3.5248206984766099E-2</v>
      </c>
      <c r="F75" s="16">
        <v>-5.1656829856433301E-2</v>
      </c>
      <c r="G75" s="16">
        <v>-7.1663302058344097E-3</v>
      </c>
      <c r="H75" s="16">
        <v>-2.03870041464871E-2</v>
      </c>
    </row>
    <row r="76" spans="1:8">
      <c r="A76">
        <f t="shared" si="1"/>
        <v>2034</v>
      </c>
      <c r="B76" s="15"/>
      <c r="C76" s="36">
        <v>-1.97720290629055E-2</v>
      </c>
      <c r="D76" s="36">
        <v>-3.53918960189126E-2</v>
      </c>
      <c r="E76" s="16">
        <v>-3.4545826484088597E-2</v>
      </c>
      <c r="F76" s="16">
        <v>-5.2198398048414099E-2</v>
      </c>
      <c r="G76" s="16">
        <v>-5.2591328547971503E-3</v>
      </c>
      <c r="H76" s="16">
        <v>-1.92070127073764E-2</v>
      </c>
    </row>
    <row r="77" spans="1:8">
      <c r="A77">
        <f t="shared" si="1"/>
        <v>2035</v>
      </c>
      <c r="B77" s="15"/>
      <c r="C77" s="36">
        <v>-1.8115084551335099E-2</v>
      </c>
      <c r="D77" s="36">
        <v>-3.4678921474199403E-2</v>
      </c>
      <c r="E77" s="16">
        <v>-3.3425845490203498E-2</v>
      </c>
      <c r="F77" s="16">
        <v>-5.2361931828119698E-2</v>
      </c>
      <c r="G77" s="16">
        <v>-3.5417840712152998E-3</v>
      </c>
      <c r="H77" s="16">
        <v>-1.82066664363193E-2</v>
      </c>
    </row>
    <row r="78" spans="1:8">
      <c r="A78">
        <f t="shared" si="1"/>
        <v>2036</v>
      </c>
      <c r="B78" s="15"/>
      <c r="C78" s="36">
        <v>-1.6537977974959601E-2</v>
      </c>
      <c r="D78" s="36">
        <v>-3.4078461737139999E-2</v>
      </c>
      <c r="E78" s="16">
        <v>-3.2063325189905997E-2</v>
      </c>
      <c r="F78" s="16">
        <v>-5.2222104571685302E-2</v>
      </c>
      <c r="G78" s="16">
        <v>-1.8858359542348201E-3</v>
      </c>
      <c r="H78" s="16">
        <v>-1.7363874266380201E-2</v>
      </c>
    </row>
    <row r="79" spans="1:8">
      <c r="A79">
        <f t="shared" si="1"/>
        <v>2037</v>
      </c>
      <c r="B79" s="15"/>
      <c r="C79" s="30">
        <v>-1.5550975233555499E-2</v>
      </c>
      <c r="D79" s="30">
        <v>-3.4099803431488003E-2</v>
      </c>
      <c r="E79" s="16">
        <v>-3.0606441824341302E-2</v>
      </c>
      <c r="F79" s="16">
        <v>-5.2168915722056799E-2</v>
      </c>
      <c r="G79" s="16">
        <v>1.7017956259121999E-4</v>
      </c>
      <c r="H79" s="16">
        <v>-1.5904150737630001E-2</v>
      </c>
    </row>
    <row r="80" spans="1:8">
      <c r="A80">
        <f t="shared" si="1"/>
        <v>2038</v>
      </c>
      <c r="B80" s="15"/>
      <c r="C80" s="36">
        <v>-1.4501819211095701E-2</v>
      </c>
      <c r="D80" s="36">
        <v>-3.4087775701549999E-2</v>
      </c>
      <c r="E80" s="16">
        <v>-2.92541441802E-2</v>
      </c>
      <c r="F80" s="16">
        <v>-5.2167950957750502E-2</v>
      </c>
      <c r="G80" s="16">
        <v>1.42985621154989E-3</v>
      </c>
      <c r="H80" s="16">
        <v>-1.5320010741176299E-2</v>
      </c>
    </row>
    <row r="81" spans="1:8">
      <c r="A81">
        <f t="shared" si="1"/>
        <v>2039</v>
      </c>
      <c r="B81" s="24"/>
      <c r="C81" s="36">
        <v>-1.34972399103032E-2</v>
      </c>
      <c r="D81" s="36">
        <v>-3.3968233178717201E-2</v>
      </c>
      <c r="E81" s="16">
        <v>-2.77373383666853E-2</v>
      </c>
      <c r="F81" s="16">
        <v>-5.2166505347925801E-2</v>
      </c>
      <c r="G81" s="16">
        <v>2.27289823088215E-3</v>
      </c>
      <c r="H81" s="16">
        <v>-1.5282599976068401E-2</v>
      </c>
    </row>
    <row r="82" spans="1:8">
      <c r="A82">
        <f t="shared" si="1"/>
        <v>2040</v>
      </c>
      <c r="B82" s="30"/>
      <c r="C82" s="36">
        <v>-1.32561175472251E-2</v>
      </c>
      <c r="D82" s="36">
        <v>-3.4710996518229301E-2</v>
      </c>
      <c r="E82" s="16">
        <v>-2.7625773397559301E-2</v>
      </c>
      <c r="F82" s="16">
        <v>-5.3366897924475097E-2</v>
      </c>
      <c r="G82" s="16">
        <v>2.9590171445052801E-3</v>
      </c>
      <c r="H82" s="16">
        <v>-1.5430971079205401E-2</v>
      </c>
    </row>
    <row r="83" spans="1:8">
      <c r="A83" s="35"/>
      <c r="B83" s="36"/>
      <c r="C83" s="36"/>
      <c r="D83" s="16"/>
      <c r="E83" s="16"/>
      <c r="F83" s="16"/>
      <c r="G83" s="16"/>
    </row>
    <row r="84" spans="1:8">
      <c r="A84" s="35"/>
      <c r="B84" s="36"/>
      <c r="C84" s="36"/>
      <c r="D84" s="16"/>
      <c r="E84" s="16"/>
      <c r="F84" s="16"/>
      <c r="G84" s="16"/>
    </row>
    <row r="85" spans="1:8">
      <c r="A85" s="35"/>
      <c r="B85" s="36"/>
      <c r="C85" s="36"/>
      <c r="D85" s="16"/>
      <c r="E85" s="16"/>
      <c r="F85" s="16"/>
      <c r="G85" s="16"/>
    </row>
    <row r="86" spans="1:8">
      <c r="A86" s="29"/>
      <c r="B86" s="30"/>
      <c r="C86" s="30"/>
      <c r="D86" s="16"/>
      <c r="E86" s="16"/>
      <c r="F86" s="16"/>
      <c r="G86" s="16"/>
    </row>
    <row r="87" spans="1:8">
      <c r="A87" s="35"/>
      <c r="B87" s="36"/>
      <c r="C87" s="36"/>
      <c r="D87" s="16"/>
      <c r="E87" s="16"/>
      <c r="F87" s="16"/>
      <c r="G87" s="16"/>
    </row>
    <row r="88" spans="1:8">
      <c r="A88" s="35"/>
      <c r="B88" s="36"/>
      <c r="C88" s="36"/>
      <c r="D88" s="16"/>
      <c r="E88" s="16"/>
      <c r="F88" s="16"/>
      <c r="G88" s="16"/>
    </row>
    <row r="89" spans="1:8">
      <c r="A89" s="35"/>
      <c r="B89" s="36"/>
      <c r="C89" s="36"/>
      <c r="D89" s="16"/>
      <c r="E89" s="16"/>
      <c r="F89" s="16"/>
      <c r="G89" s="16"/>
    </row>
    <row r="90" spans="1:8">
      <c r="A90" s="29"/>
      <c r="B90" s="30"/>
      <c r="C90" s="30"/>
      <c r="D90" s="16"/>
      <c r="E90" s="16"/>
      <c r="F90" s="16"/>
      <c r="G90" s="16"/>
    </row>
    <row r="91" spans="1:8">
      <c r="A91" s="35"/>
      <c r="B91" s="36"/>
      <c r="C91" s="36"/>
      <c r="D91" s="16"/>
      <c r="E91" s="16"/>
      <c r="F91" s="16"/>
      <c r="G91" s="16"/>
    </row>
    <row r="92" spans="1:8">
      <c r="A92" s="35"/>
      <c r="B92" s="36"/>
      <c r="C92" s="36"/>
      <c r="D92" s="16"/>
      <c r="E92" s="16"/>
      <c r="F92" s="16"/>
      <c r="G92" s="16"/>
    </row>
    <row r="93" spans="1:8">
      <c r="A93" s="35"/>
      <c r="B93" s="36"/>
      <c r="C93" s="36"/>
      <c r="D93" s="16"/>
      <c r="E93" s="16"/>
      <c r="F93" s="16"/>
      <c r="G93" s="16"/>
    </row>
    <row r="94" spans="1:8">
      <c r="A94" s="29"/>
      <c r="B94" s="30"/>
      <c r="C94" s="30"/>
      <c r="D94" s="16"/>
      <c r="E94" s="16"/>
      <c r="F94" s="16"/>
      <c r="G94" s="16"/>
    </row>
    <row r="95" spans="1:8">
      <c r="A95" s="35"/>
      <c r="B95" s="36"/>
      <c r="C95" s="36"/>
      <c r="D95" s="16"/>
      <c r="E95" s="16"/>
      <c r="F95" s="16"/>
      <c r="G95" s="16"/>
    </row>
    <row r="96" spans="1:8">
      <c r="A96" s="35"/>
      <c r="B96" s="36"/>
      <c r="C96" s="36"/>
      <c r="D96" s="16"/>
      <c r="E96" s="16"/>
      <c r="F96" s="16"/>
      <c r="G96" s="16"/>
    </row>
    <row r="97" spans="1:7">
      <c r="A97" s="35"/>
      <c r="B97" s="36"/>
      <c r="C97" s="36"/>
      <c r="D97" s="16"/>
      <c r="E97" s="16"/>
      <c r="F97" s="16"/>
      <c r="G97" s="1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 scenario</vt:lpstr>
      <vt:lpstr>Low scenario</vt:lpstr>
      <vt:lpstr>High scenario</vt:lpstr>
      <vt:lpstr>Graphiques déficit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Calcagno</dc:creator>
  <cp:lastModifiedBy>Leonardo Calcagno</cp:lastModifiedBy>
  <cp:revision>264</cp:revision>
  <cp:lastPrinted>2018-07-09T16:45:56Z</cp:lastPrinted>
  <dcterms:created xsi:type="dcterms:W3CDTF">2018-03-19T16:55:05Z</dcterms:created>
  <dcterms:modified xsi:type="dcterms:W3CDTF">2018-09-26T14:50:26Z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