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calcagno\Documents\MISSAR\Excel_files_for_MISSAR\"/>
    </mc:Choice>
  </mc:AlternateContent>
  <bookViews>
    <workbookView xWindow="0" yWindow="0" windowWidth="16380" windowHeight="8190" tabRatio="500" firstSheet="7" activeTab="7"/>
    <workbookView xWindow="0" yWindow="0" windowWidth="20490" windowHeight="7050" firstSheet="3" activeTab="4"/>
  </bookViews>
  <sheets>
    <sheet name="IVA" sheetId="1" r:id="rId1"/>
    <sheet name="PIB corriente base 2004" sheetId="2" r:id="rId2"/>
    <sheet name="PIB corriente base 1993" sheetId="3" r:id="rId3"/>
    <sheet name="Cálculo masa impuestos copartic" sheetId="4" r:id="rId4"/>
    <sheet name="Cuenta Ahorro-Inversión-Financi" sheetId="5" r:id="rId5"/>
    <sheet name="Exogenous tax and expenses" sheetId="6" r:id="rId6"/>
    <sheet name="Cobertura y contribuyentes" sheetId="7" r:id="rId7"/>
    <sheet name="Resultado ANSES por etapas" sheetId="8" r:id="rId8"/>
    <sheet name="Contrib gastos ANSES" sheetId="9" r:id="rId9"/>
  </sheets>
  <externalReferences>
    <externalReference r:id="rId10"/>
    <externalReference r:id="rId11"/>
    <externalReference r:id="rId12"/>
  </externalReferences>
  <definedNames>
    <definedName name="_Toc499037931" localSheetId="4">'Cuenta Ahorro-Inversión-Financi'!$BL$36</definedName>
    <definedName name="SHARED_FORMULA_1_26_1_26_5">NA()</definedName>
    <definedName name="SHARED_FORMULA_1_49_1_49_5">NA()</definedName>
    <definedName name="SHARED_FORMULA_10_26_10_26_5">NA()</definedName>
    <definedName name="SHARED_FORMULA_10_49_10_49_5">NA()</definedName>
    <definedName name="SHARED_FORMULA_10_7_10_7_4">NA()</definedName>
    <definedName name="SHARED_FORMULA_10_86_10_86_4">NA()</definedName>
    <definedName name="SHARED_FORMULA_10_88_10_88_4">NA()</definedName>
    <definedName name="SHARED_FORMULA_100_26_100_26_4">NA()</definedName>
    <definedName name="SHARED_FORMULA_101_38_101_38_4">NA()</definedName>
    <definedName name="SHARED_FORMULA_102_26_102_26_4">NA()</definedName>
    <definedName name="SHARED_FORMULA_11_26_11_26_5">NA()</definedName>
    <definedName name="SHARED_FORMULA_11_49_11_49_5">NA()</definedName>
    <definedName name="SHARED_FORMULA_11_7_11_7_4">NA()</definedName>
    <definedName name="SHARED_FORMULA_11_86_11_86_4">NA()</definedName>
    <definedName name="SHARED_FORMULA_11_88_11_88_4">NA()</definedName>
    <definedName name="SHARED_FORMULA_112_13_112_13_4">NA()</definedName>
    <definedName name="SHARED_FORMULA_113_13_113_13_4">NA()</definedName>
    <definedName name="SHARED_FORMULA_115_13_115_13_4">NA()</definedName>
    <definedName name="SHARED_FORMULA_116_13_116_13_4">NA()</definedName>
    <definedName name="SHARED_FORMULA_118_13_118_13_4">NA()</definedName>
    <definedName name="SHARED_FORMULA_119_13_119_13_4">NA()</definedName>
    <definedName name="SHARED_FORMULA_12_26_12_26_5">NA()</definedName>
    <definedName name="SHARED_FORMULA_12_49_12_49_5">NA()</definedName>
    <definedName name="SHARED_FORMULA_12_7_12_7_4">NA()</definedName>
    <definedName name="SHARED_FORMULA_12_86_12_86_4">NA()</definedName>
    <definedName name="SHARED_FORMULA_12_88_12_88_4">NA()</definedName>
    <definedName name="SHARED_FORMULA_122_13_122_13_4">NA()</definedName>
    <definedName name="SHARED_FORMULA_123_13_123_13_4">NA()</definedName>
    <definedName name="SHARED_FORMULA_13_12_13_12_7">NA()</definedName>
    <definedName name="SHARED_FORMULA_13_26_13_26_5">NA()</definedName>
    <definedName name="SHARED_FORMULA_13_49_13_49_5">NA()</definedName>
    <definedName name="SHARED_FORMULA_13_7_13_7_4">NA()</definedName>
    <definedName name="SHARED_FORMULA_13_8_13_8_7">NA()</definedName>
    <definedName name="SHARED_FORMULA_13_86_13_86_4">NA()</definedName>
    <definedName name="SHARED_FORMULA_13_88_13_88_4">NA()</definedName>
    <definedName name="SHARED_FORMULA_137_38_137_38_1">NA()</definedName>
    <definedName name="SHARED_FORMULA_14_26_14_26_5">NA()</definedName>
    <definedName name="SHARED_FORMULA_14_49_14_49_5">NA()</definedName>
    <definedName name="SHARED_FORMULA_14_86_14_86_4">NA()</definedName>
    <definedName name="SHARED_FORMULA_14_88_14_88_4">NA()</definedName>
    <definedName name="SHARED_FORMULA_143_31_143_31_1">NA()</definedName>
    <definedName name="SHARED_FORMULA_144_31_144_31_1">NA()</definedName>
    <definedName name="SHARED_FORMULA_15_26_15_26_5">NA()</definedName>
    <definedName name="SHARED_FORMULA_15_49_15_49_5">NA()</definedName>
    <definedName name="SHARED_FORMULA_15_7_15_7_4">NA()</definedName>
    <definedName name="SHARED_FORMULA_15_86_15_86_4">NA()</definedName>
    <definedName name="SHARED_FORMULA_15_88_15_88_4">NA()</definedName>
    <definedName name="SHARED_FORMULA_155_58_155_58_1">NA()</definedName>
    <definedName name="SHARED_FORMULA_156_10_156_10_1">NA()</definedName>
    <definedName name="SHARED_FORMULA_157_10_157_10_1">NA()</definedName>
    <definedName name="SHARED_FORMULA_16_22_16_22_7">NA()</definedName>
    <definedName name="SHARED_FORMULA_16_26_16_26_5">NA()</definedName>
    <definedName name="SHARED_FORMULA_16_49_16_49_5">NA()</definedName>
    <definedName name="SHARED_FORMULA_16_7_16_7_4">NA()</definedName>
    <definedName name="SHARED_FORMULA_16_86_16_86_4">NA()</definedName>
    <definedName name="SHARED_FORMULA_16_88_16_88_4">NA()</definedName>
    <definedName name="SHARED_FORMULA_17_26_17_26_5">NA()</definedName>
    <definedName name="SHARED_FORMULA_17_49_17_49_5">NA()</definedName>
    <definedName name="SHARED_FORMULA_17_7_17_7_4">NA()</definedName>
    <definedName name="SHARED_FORMULA_17_86_17_86_4">NA()</definedName>
    <definedName name="SHARED_FORMULA_17_88_17_88_4">NA()</definedName>
    <definedName name="SHARED_FORMULA_18_26_18_26_5">NA()</definedName>
    <definedName name="SHARED_FORMULA_18_49_18_49_5">NA()</definedName>
    <definedName name="SHARED_FORMULA_18_7_18_7_4">NA()</definedName>
    <definedName name="SHARED_FORMULA_18_86_18_86_4">NA()</definedName>
    <definedName name="SHARED_FORMULA_18_88_18_88_4">NA()</definedName>
    <definedName name="SHARED_FORMULA_19_11_19_11_7">NA()</definedName>
    <definedName name="SHARED_FORMULA_19_8_19_8_7">NA()</definedName>
    <definedName name="SHARED_FORMULA_19_86_19_86_4">NA()</definedName>
    <definedName name="SHARED_FORMULA_19_88_19_88_4">NA()</definedName>
    <definedName name="SHARED_FORMULA_2_17_2_17_7">NA()</definedName>
    <definedName name="SHARED_FORMULA_2_26_2_26_5">NA()</definedName>
    <definedName name="SHARED_FORMULA_2_49_2_49_5">NA()</definedName>
    <definedName name="SHARED_FORMULA_2_8_2_8_7">NA()</definedName>
    <definedName name="SHARED_FORMULA_2_86_2_86_4">NA()</definedName>
    <definedName name="SHARED_FORMULA_2_88_2_88_4">NA()</definedName>
    <definedName name="SHARED_FORMULA_20_7_20_7_4">NA()</definedName>
    <definedName name="SHARED_FORMULA_20_86_20_86_4">NA()</definedName>
    <definedName name="SHARED_FORMULA_20_88_20_88_4">NA()</definedName>
    <definedName name="SHARED_FORMULA_21_7_21_7_4">NA()</definedName>
    <definedName name="SHARED_FORMULA_21_86_21_86_4">NA()</definedName>
    <definedName name="SHARED_FORMULA_21_88_21_88_4">NA()</definedName>
    <definedName name="SHARED_FORMULA_22_7_22_7_4">NA()</definedName>
    <definedName name="SHARED_FORMULA_22_8_22_8_7">NA()</definedName>
    <definedName name="SHARED_FORMULA_22_86_22_86_4">NA()</definedName>
    <definedName name="SHARED_FORMULA_22_88_22_88_4">NA()</definedName>
    <definedName name="SHARED_FORMULA_23_7_23_7_4">NA()</definedName>
    <definedName name="SHARED_FORMULA_23_86_23_86_4">NA()</definedName>
    <definedName name="SHARED_FORMULA_23_88_23_88_4">NA()</definedName>
    <definedName name="SHARED_FORMULA_24_27_24_27_5">NA()</definedName>
    <definedName name="SHARED_FORMULA_24_4_24_4_5">NA()</definedName>
    <definedName name="SHARED_FORMULA_24_50_24_50_5">NA()</definedName>
    <definedName name="SHARED_FORMULA_24_86_24_86_4">NA()</definedName>
    <definedName name="SHARED_FORMULA_24_88_24_88_4">NA()</definedName>
    <definedName name="SHARED_FORMULA_25_4_25_4_6">NA()</definedName>
    <definedName name="SHARED_FORMULA_25_7_25_7_4">NA()</definedName>
    <definedName name="SHARED_FORMULA_25_86_25_86_4">NA()</definedName>
    <definedName name="SHARED_FORMULA_25_88_25_88_4">NA()</definedName>
    <definedName name="SHARED_FORMULA_26_7_26_7_4">NA()</definedName>
    <definedName name="SHARED_FORMULA_26_86_26_86_4">NA()</definedName>
    <definedName name="SHARED_FORMULA_26_88_26_88_4">NA()</definedName>
    <definedName name="SHARED_FORMULA_27_26_27_26_5">NA()</definedName>
    <definedName name="SHARED_FORMULA_27_49_27_49_5">NA()</definedName>
    <definedName name="SHARED_FORMULA_27_7_27_7_4">NA()</definedName>
    <definedName name="SHARED_FORMULA_27_86_27_86_4">NA()</definedName>
    <definedName name="SHARED_FORMULA_27_88_27_88_4">NA()</definedName>
    <definedName name="SHARED_FORMULA_28_26_28_26_5">NA()</definedName>
    <definedName name="SHARED_FORMULA_28_49_28_49_5">NA()</definedName>
    <definedName name="SHARED_FORMULA_28_7_28_7_4">NA()</definedName>
    <definedName name="SHARED_FORMULA_28_86_28_86_4">NA()</definedName>
    <definedName name="SHARED_FORMULA_28_88_28_88_4">NA()</definedName>
    <definedName name="SHARED_FORMULA_29_26_29_26_5">NA()</definedName>
    <definedName name="SHARED_FORMULA_29_49_29_49_5">NA()</definedName>
    <definedName name="SHARED_FORMULA_29_86_29_86_4">NA()</definedName>
    <definedName name="SHARED_FORMULA_29_88_29_88_4">NA()</definedName>
    <definedName name="SHARED_FORMULA_3_13_3_13_7">NA()</definedName>
    <definedName name="SHARED_FORMULA_3_24_3_24_7">NA()</definedName>
    <definedName name="SHARED_FORMULA_3_26_3_26_5">NA()</definedName>
    <definedName name="SHARED_FORMULA_3_27_3_27_7">NA()</definedName>
    <definedName name="SHARED_FORMULA_3_49_3_49_5">NA()</definedName>
    <definedName name="SHARED_FORMULA_3_8_3_8_7">NA()</definedName>
    <definedName name="SHARED_FORMULA_3_86_3_86_4">NA()</definedName>
    <definedName name="SHARED_FORMULA_3_88_3_88_4">NA()</definedName>
    <definedName name="SHARED_FORMULA_30_136_30_136_1">NA()</definedName>
    <definedName name="SHARED_FORMULA_30_184_30_184_1">NA()</definedName>
    <definedName name="SHARED_FORMULA_30_196_30_196_1">NA()</definedName>
    <definedName name="SHARED_FORMULA_30_212_30_212_1">NA()</definedName>
    <definedName name="SHARED_FORMULA_30_24_30_24_1">NA()</definedName>
    <definedName name="SHARED_FORMULA_30_26_30_26_5">NA()</definedName>
    <definedName name="SHARED_FORMULA_30_49_30_49_5">NA()</definedName>
    <definedName name="SHARED_FORMULA_30_56_30_56_1">NA()</definedName>
    <definedName name="SHARED_FORMULA_30_7_30_7_4">NA()</definedName>
    <definedName name="SHARED_FORMULA_30_72_30_72_1">NA()</definedName>
    <definedName name="SHARED_FORMULA_30_86_30_86_4">NA()</definedName>
    <definedName name="SHARED_FORMULA_30_88_30_88_4">NA()</definedName>
    <definedName name="SHARED_FORMULA_31_136_31_136_1">NA()</definedName>
    <definedName name="SHARED_FORMULA_31_184_31_184_1">NA()</definedName>
    <definedName name="SHARED_FORMULA_31_196_31_196_1">NA()</definedName>
    <definedName name="SHARED_FORMULA_31_212_31_212_1">NA()</definedName>
    <definedName name="SHARED_FORMULA_31_24_31_24_1">NA()</definedName>
    <definedName name="SHARED_FORMULA_31_26_31_26_5">NA()</definedName>
    <definedName name="SHARED_FORMULA_31_49_31_49_5">NA()</definedName>
    <definedName name="SHARED_FORMULA_31_56_31_56_1">NA()</definedName>
    <definedName name="SHARED_FORMULA_31_7_31_7_4">NA()</definedName>
    <definedName name="SHARED_FORMULA_31_72_31_72_1">NA()</definedName>
    <definedName name="SHARED_FORMULA_31_86_31_86_4">NA()</definedName>
    <definedName name="SHARED_FORMULA_31_88_31_88_4">NA()</definedName>
    <definedName name="SHARED_FORMULA_32_136_32_136_1">NA()</definedName>
    <definedName name="SHARED_FORMULA_32_184_32_184_1">NA()</definedName>
    <definedName name="SHARED_FORMULA_32_196_32_196_1">NA()</definedName>
    <definedName name="SHARED_FORMULA_32_212_32_212_1">NA()</definedName>
    <definedName name="SHARED_FORMULA_32_24_32_24_1">NA()</definedName>
    <definedName name="SHARED_FORMULA_32_26_32_26_5">NA()</definedName>
    <definedName name="SHARED_FORMULA_32_49_32_49_5">NA()</definedName>
    <definedName name="SHARED_FORMULA_32_56_32_56_1">NA()</definedName>
    <definedName name="SHARED_FORMULA_32_7_32_7_4">NA()</definedName>
    <definedName name="SHARED_FORMULA_32_72_32_72_1">NA()</definedName>
    <definedName name="SHARED_FORMULA_32_86_32_86_4">NA()</definedName>
    <definedName name="SHARED_FORMULA_32_88_32_88_4">NA()</definedName>
    <definedName name="SHARED_FORMULA_32_9_32_9_7">NA()</definedName>
    <definedName name="SHARED_FORMULA_33_13_33_13_7">NA()</definedName>
    <definedName name="SHARED_FORMULA_33_136_33_136_1">NA()</definedName>
    <definedName name="SHARED_FORMULA_33_184_33_184_1">NA()</definedName>
    <definedName name="SHARED_FORMULA_33_196_33_196_1">NA()</definedName>
    <definedName name="SHARED_FORMULA_33_212_33_212_1">NA()</definedName>
    <definedName name="SHARED_FORMULA_33_24_33_24_1">NA()</definedName>
    <definedName name="SHARED_FORMULA_33_26_33_26_5">NA()</definedName>
    <definedName name="SHARED_FORMULA_33_49_33_49_5">NA()</definedName>
    <definedName name="SHARED_FORMULA_33_56_33_56_1">NA()</definedName>
    <definedName name="SHARED_FORMULA_33_7_33_7_4">NA()</definedName>
    <definedName name="SHARED_FORMULA_33_72_33_72_1">NA()</definedName>
    <definedName name="SHARED_FORMULA_33_86_33_86_4">NA()</definedName>
    <definedName name="SHARED_FORMULA_33_88_33_88_4">NA()</definedName>
    <definedName name="SHARED_FORMULA_34_136_34_136_1">NA()</definedName>
    <definedName name="SHARED_FORMULA_34_184_34_184_1">NA()</definedName>
    <definedName name="SHARED_FORMULA_34_196_34_196_1">NA()</definedName>
    <definedName name="SHARED_FORMULA_34_212_34_212_1">NA()</definedName>
    <definedName name="SHARED_FORMULA_34_24_34_24_1">NA()</definedName>
    <definedName name="SHARED_FORMULA_34_26_34_26_5">NA()</definedName>
    <definedName name="SHARED_FORMULA_34_49_34_49_5">NA()</definedName>
    <definedName name="SHARED_FORMULA_34_56_34_56_1">NA()</definedName>
    <definedName name="SHARED_FORMULA_34_72_34_72_1">NA()</definedName>
    <definedName name="SHARED_FORMULA_34_86_34_86_4">NA()</definedName>
    <definedName name="SHARED_FORMULA_34_88_34_88_4">NA()</definedName>
    <definedName name="SHARED_FORMULA_35_136_35_136_1">NA()</definedName>
    <definedName name="SHARED_FORMULA_35_184_35_184_1">NA()</definedName>
    <definedName name="SHARED_FORMULA_35_196_35_196_1">NA()</definedName>
    <definedName name="SHARED_FORMULA_35_212_35_212_1">NA()</definedName>
    <definedName name="SHARED_FORMULA_35_24_35_24_1">NA()</definedName>
    <definedName name="SHARED_FORMULA_35_26_35_26_5">NA()</definedName>
    <definedName name="SHARED_FORMULA_35_49_35_49_5">NA()</definedName>
    <definedName name="SHARED_FORMULA_35_56_35_56_1">NA()</definedName>
    <definedName name="SHARED_FORMULA_35_7_35_7_4">NA()</definedName>
    <definedName name="SHARED_FORMULA_35_72_35_72_1">NA()</definedName>
    <definedName name="SHARED_FORMULA_35_86_35_86_4">NA()</definedName>
    <definedName name="SHARED_FORMULA_35_88_35_88_4">NA()</definedName>
    <definedName name="SHARED_FORMULA_36_136_36_136_1">NA()</definedName>
    <definedName name="SHARED_FORMULA_36_184_36_184_1">NA()</definedName>
    <definedName name="SHARED_FORMULA_36_196_36_196_1">NA()</definedName>
    <definedName name="SHARED_FORMULA_36_212_36_212_1">NA()</definedName>
    <definedName name="SHARED_FORMULA_36_24_36_24_1">NA()</definedName>
    <definedName name="SHARED_FORMULA_36_26_36_26_5">NA()</definedName>
    <definedName name="SHARED_FORMULA_36_49_36_49_5">NA()</definedName>
    <definedName name="SHARED_FORMULA_36_56_36_56_1">NA()</definedName>
    <definedName name="SHARED_FORMULA_36_7_36_7_4">NA()</definedName>
    <definedName name="SHARED_FORMULA_36_72_36_72_1">NA()</definedName>
    <definedName name="SHARED_FORMULA_36_86_36_86_4">NA()</definedName>
    <definedName name="SHARED_FORMULA_36_88_36_88_4">NA()</definedName>
    <definedName name="SHARED_FORMULA_37_136_37_136_1">NA()</definedName>
    <definedName name="SHARED_FORMULA_37_184_37_184_1">NA()</definedName>
    <definedName name="SHARED_FORMULA_37_196_37_196_1">NA()</definedName>
    <definedName name="SHARED_FORMULA_37_212_37_212_1">NA()</definedName>
    <definedName name="SHARED_FORMULA_37_24_37_24_1">NA()</definedName>
    <definedName name="SHARED_FORMULA_37_26_37_26_5">NA()</definedName>
    <definedName name="SHARED_FORMULA_37_49_37_49_5">NA()</definedName>
    <definedName name="SHARED_FORMULA_37_56_37_56_1">NA()</definedName>
    <definedName name="SHARED_FORMULA_37_7_37_7_4">NA()</definedName>
    <definedName name="SHARED_FORMULA_37_72_37_72_1">NA()</definedName>
    <definedName name="SHARED_FORMULA_37_86_37_86_4">NA()</definedName>
    <definedName name="SHARED_FORMULA_37_88_37_88_4">NA()</definedName>
    <definedName name="SHARED_FORMULA_38_136_38_136_1">NA()</definedName>
    <definedName name="SHARED_FORMULA_38_184_38_184_1">NA()</definedName>
    <definedName name="SHARED_FORMULA_38_196_38_196_1">NA()</definedName>
    <definedName name="SHARED_FORMULA_38_212_38_212_1">NA()</definedName>
    <definedName name="SHARED_FORMULA_38_24_38_24_1">NA()</definedName>
    <definedName name="SHARED_FORMULA_38_56_38_56_1">NA()</definedName>
    <definedName name="SHARED_FORMULA_38_7_38_7_4">NA()</definedName>
    <definedName name="SHARED_FORMULA_38_72_38_72_1">NA()</definedName>
    <definedName name="SHARED_FORMULA_38_86_38_86_4">NA()</definedName>
    <definedName name="SHARED_FORMULA_38_88_38_88_4">NA()</definedName>
    <definedName name="SHARED_FORMULA_39_136_39_136_1">NA()</definedName>
    <definedName name="SHARED_FORMULA_39_184_39_184_1">NA()</definedName>
    <definedName name="SHARED_FORMULA_39_196_39_196_1">NA()</definedName>
    <definedName name="SHARED_FORMULA_39_212_39_212_1">NA()</definedName>
    <definedName name="SHARED_FORMULA_39_24_39_24_1">NA()</definedName>
    <definedName name="SHARED_FORMULA_39_56_39_56_1">NA()</definedName>
    <definedName name="SHARED_FORMULA_39_72_39_72_1">NA()</definedName>
    <definedName name="SHARED_FORMULA_39_86_39_86_4">NA()</definedName>
    <definedName name="SHARED_FORMULA_39_88_39_88_4">NA()</definedName>
    <definedName name="SHARED_FORMULA_4_26_4_26_5">NA()</definedName>
    <definedName name="SHARED_FORMULA_4_49_4_49_5">NA()</definedName>
    <definedName name="SHARED_FORMULA_4_86_4_86_4">NA()</definedName>
    <definedName name="SHARED_FORMULA_4_88_4_88_4">NA()</definedName>
    <definedName name="SHARED_FORMULA_40_136_40_136_1">NA()</definedName>
    <definedName name="SHARED_FORMULA_40_184_40_184_1">NA()</definedName>
    <definedName name="SHARED_FORMULA_40_196_40_196_1">NA()</definedName>
    <definedName name="SHARED_FORMULA_40_212_40_212_1">NA()</definedName>
    <definedName name="SHARED_FORMULA_40_24_40_24_1">NA()</definedName>
    <definedName name="SHARED_FORMULA_40_56_40_56_1">NA()</definedName>
    <definedName name="SHARED_FORMULA_40_7_40_7_4">NA()</definedName>
    <definedName name="SHARED_FORMULA_40_72_40_72_1">NA()</definedName>
    <definedName name="SHARED_FORMULA_40_86_40_86_4">NA()</definedName>
    <definedName name="SHARED_FORMULA_40_88_40_88_4">NA()</definedName>
    <definedName name="SHARED_FORMULA_41_136_41_136_1">NA()</definedName>
    <definedName name="SHARED_FORMULA_41_184_41_184_1">NA()</definedName>
    <definedName name="SHARED_FORMULA_41_196_41_196_1">NA()</definedName>
    <definedName name="SHARED_FORMULA_41_212_41_212_1">NA()</definedName>
    <definedName name="SHARED_FORMULA_41_24_41_24_1">NA()</definedName>
    <definedName name="SHARED_FORMULA_41_56_41_56_1">NA()</definedName>
    <definedName name="SHARED_FORMULA_41_7_41_7_4">NA()</definedName>
    <definedName name="SHARED_FORMULA_41_72_41_72_1">NA()</definedName>
    <definedName name="SHARED_FORMULA_41_86_41_86_4">NA()</definedName>
    <definedName name="SHARED_FORMULA_41_88_41_88_4">NA()</definedName>
    <definedName name="SHARED_FORMULA_42_212_42_212_1">NA()</definedName>
    <definedName name="SHARED_FORMULA_42_26_42_26_5">NA()</definedName>
    <definedName name="SHARED_FORMULA_42_49_42_49_5">NA()</definedName>
    <definedName name="SHARED_FORMULA_42_56_42_56_1">NA()</definedName>
    <definedName name="SHARED_FORMULA_42_7_42_7_4">NA()</definedName>
    <definedName name="SHARED_FORMULA_42_86_42_86_4">NA()</definedName>
    <definedName name="SHARED_FORMULA_42_88_42_88_4">NA()</definedName>
    <definedName name="SHARED_FORMULA_43_56_43_56_1">NA()</definedName>
    <definedName name="SHARED_FORMULA_43_7_43_7_4">NA()</definedName>
    <definedName name="SHARED_FORMULA_43_72_43_72_1">NA()</definedName>
    <definedName name="SHARED_FORMULA_43_8_43_8_1">NA()</definedName>
    <definedName name="SHARED_FORMULA_43_86_43_86_4">NA()</definedName>
    <definedName name="SHARED_FORMULA_43_88_43_88_4">NA()</definedName>
    <definedName name="SHARED_FORMULA_44_27_44_27_5">NA()</definedName>
    <definedName name="SHARED_FORMULA_44_4_44_4_5">NA()</definedName>
    <definedName name="SHARED_FORMULA_44_50_44_50_5">NA()</definedName>
    <definedName name="SHARED_FORMULA_44_56_44_56_1">NA()</definedName>
    <definedName name="SHARED_FORMULA_44_72_44_72_1">NA()</definedName>
    <definedName name="SHARED_FORMULA_44_8_44_8_1">NA()</definedName>
    <definedName name="SHARED_FORMULA_44_86_44_86_4">NA()</definedName>
    <definedName name="SHARED_FORMULA_44_88_44_88_4">NA()</definedName>
    <definedName name="SHARED_FORMULA_45_212_45_212_1">NA()</definedName>
    <definedName name="SHARED_FORMULA_45_228_45_228_1">NA()</definedName>
    <definedName name="SHARED_FORMULA_45_4_45_4_6">NA()</definedName>
    <definedName name="SHARED_FORMULA_45_56_45_56_1">NA()</definedName>
    <definedName name="SHARED_FORMULA_45_7_45_7_4">NA()</definedName>
    <definedName name="SHARED_FORMULA_45_72_45_72_1">NA()</definedName>
    <definedName name="SHARED_FORMULA_45_8_45_8_1">NA()</definedName>
    <definedName name="SHARED_FORMULA_45_86_45_86_4">NA()</definedName>
    <definedName name="SHARED_FORMULA_45_88_45_88_4">NA()</definedName>
    <definedName name="SHARED_FORMULA_46_136_46_136_1">NA()</definedName>
    <definedName name="SHARED_FORMULA_46_184_46_184_1">NA()</definedName>
    <definedName name="SHARED_FORMULA_46_196_46_196_1">NA()</definedName>
    <definedName name="SHARED_FORMULA_46_212_46_212_1">NA()</definedName>
    <definedName name="SHARED_FORMULA_46_24_46_24_1">NA()</definedName>
    <definedName name="SHARED_FORMULA_46_56_46_56_1">NA()</definedName>
    <definedName name="SHARED_FORMULA_46_7_46_7_4">NA()</definedName>
    <definedName name="SHARED_FORMULA_46_72_46_72_1">NA()</definedName>
    <definedName name="SHARED_FORMULA_46_86_46_86_4">NA()</definedName>
    <definedName name="SHARED_FORMULA_46_88_46_88_4">NA()</definedName>
    <definedName name="SHARED_FORMULA_47_104_47_104_1">NA()</definedName>
    <definedName name="SHARED_FORMULA_47_120_47_120_1">NA()</definedName>
    <definedName name="SHARED_FORMULA_47_136_47_136_1">NA()</definedName>
    <definedName name="SHARED_FORMULA_47_152_47_152_1">NA()</definedName>
    <definedName name="SHARED_FORMULA_47_168_47_168_1">NA()</definedName>
    <definedName name="SHARED_FORMULA_47_184_47_184_1">NA()</definedName>
    <definedName name="SHARED_FORMULA_47_187_47_187_1">NA()</definedName>
    <definedName name="SHARED_FORMULA_47_190_47_190_1">NA()</definedName>
    <definedName name="SHARED_FORMULA_47_193_47_193_1">NA()</definedName>
    <definedName name="SHARED_FORMULA_47_196_47_196_1">NA()</definedName>
    <definedName name="SHARED_FORMULA_47_212_47_212_1">NA()</definedName>
    <definedName name="SHARED_FORMULA_47_228_47_228_1">NA()</definedName>
    <definedName name="SHARED_FORMULA_47_24_47_24_1">NA()</definedName>
    <definedName name="SHARED_FORMULA_47_40_47_40_1">NA()</definedName>
    <definedName name="SHARED_FORMULA_47_56_47_56_1">NA()</definedName>
    <definedName name="SHARED_FORMULA_47_7_47_7_4">NA()</definedName>
    <definedName name="SHARED_FORMULA_47_72_47_72_1">NA()</definedName>
    <definedName name="SHARED_FORMULA_47_8_47_8_1">NA()</definedName>
    <definedName name="SHARED_FORMULA_47_86_47_86_4">NA()</definedName>
    <definedName name="SHARED_FORMULA_47_88_47_88_1">NA()</definedName>
    <definedName name="SHARED_FORMULA_47_88_47_88_4">NA()</definedName>
    <definedName name="SHARED_FORMULA_48_104_48_104_1">NA()</definedName>
    <definedName name="SHARED_FORMULA_48_120_48_120_1">NA()</definedName>
    <definedName name="SHARED_FORMULA_48_136_48_136_1">NA()</definedName>
    <definedName name="SHARED_FORMULA_48_152_48_152_1">NA()</definedName>
    <definedName name="SHARED_FORMULA_48_168_48_168_1">NA()</definedName>
    <definedName name="SHARED_FORMULA_48_184_48_184_1">NA()</definedName>
    <definedName name="SHARED_FORMULA_48_187_48_187_1">NA()</definedName>
    <definedName name="SHARED_FORMULA_48_190_48_190_1">NA()</definedName>
    <definedName name="SHARED_FORMULA_48_193_48_193_1">NA()</definedName>
    <definedName name="SHARED_FORMULA_48_196_48_196_1">NA()</definedName>
    <definedName name="SHARED_FORMULA_48_212_48_212_1">NA()</definedName>
    <definedName name="SHARED_FORMULA_48_228_48_228_1">NA()</definedName>
    <definedName name="SHARED_FORMULA_48_24_48_24_1">NA()</definedName>
    <definedName name="SHARED_FORMULA_48_40_48_40_1">NA()</definedName>
    <definedName name="SHARED_FORMULA_48_51_48_51_5">NA()</definedName>
    <definedName name="SHARED_FORMULA_48_56_48_56_1">NA()</definedName>
    <definedName name="SHARED_FORMULA_48_7_48_7_4">NA()</definedName>
    <definedName name="SHARED_FORMULA_48_72_48_72_1">NA()</definedName>
    <definedName name="SHARED_FORMULA_48_8_48_8_1">NA()</definedName>
    <definedName name="SHARED_FORMULA_48_8_48_8_7">NA()</definedName>
    <definedName name="SHARED_FORMULA_48_86_48_86_4">NA()</definedName>
    <definedName name="SHARED_FORMULA_48_88_48_88_1">NA()</definedName>
    <definedName name="SHARED_FORMULA_48_88_48_88_4">NA()</definedName>
    <definedName name="SHARED_FORMULA_49_104_49_104_1">NA()</definedName>
    <definedName name="SHARED_FORMULA_49_120_49_120_1">NA()</definedName>
    <definedName name="SHARED_FORMULA_49_136_49_136_1">NA()</definedName>
    <definedName name="SHARED_FORMULA_49_152_49_152_1">NA()</definedName>
    <definedName name="SHARED_FORMULA_49_168_49_168_1">NA()</definedName>
    <definedName name="SHARED_FORMULA_49_184_49_184_1">NA()</definedName>
    <definedName name="SHARED_FORMULA_49_187_49_187_1">NA()</definedName>
    <definedName name="SHARED_FORMULA_49_190_49_190_1">NA()</definedName>
    <definedName name="SHARED_FORMULA_49_193_49_193_1">NA()</definedName>
    <definedName name="SHARED_FORMULA_49_196_49_196_1">NA()</definedName>
    <definedName name="SHARED_FORMULA_49_212_49_212_1">NA()</definedName>
    <definedName name="SHARED_FORMULA_49_228_49_228_1">NA()</definedName>
    <definedName name="SHARED_FORMULA_49_24_49_24_1">NA()</definedName>
    <definedName name="SHARED_FORMULA_49_27_49_27_5">NA()</definedName>
    <definedName name="SHARED_FORMULA_49_40_49_40_1">NA()</definedName>
    <definedName name="SHARED_FORMULA_49_50_49_50_5">NA()</definedName>
    <definedName name="SHARED_FORMULA_49_56_49_56_1">NA()</definedName>
    <definedName name="SHARED_FORMULA_49_72_49_72_1">NA()</definedName>
    <definedName name="SHARED_FORMULA_49_8_49_8_1">NA()</definedName>
    <definedName name="SHARED_FORMULA_49_86_49_86_4">NA()</definedName>
    <definedName name="SHARED_FORMULA_49_88_49_88_1">NA()</definedName>
    <definedName name="SHARED_FORMULA_49_88_49_88_4">NA()</definedName>
    <definedName name="SHARED_FORMULA_5_26_5_26_5">NA()</definedName>
    <definedName name="SHARED_FORMULA_5_49_5_49_5">NA()</definedName>
    <definedName name="SHARED_FORMULA_5_86_5_86_4">NA()</definedName>
    <definedName name="SHARED_FORMULA_5_88_5_88_4">NA()</definedName>
    <definedName name="SHARED_FORMULA_50_104_50_104_1">NA()</definedName>
    <definedName name="SHARED_FORMULA_50_120_50_120_1">NA()</definedName>
    <definedName name="SHARED_FORMULA_50_136_50_136_1">NA()</definedName>
    <definedName name="SHARED_FORMULA_50_152_50_152_1">NA()</definedName>
    <definedName name="SHARED_FORMULA_50_168_50_168_1">NA()</definedName>
    <definedName name="SHARED_FORMULA_50_184_50_184_1">NA()</definedName>
    <definedName name="SHARED_FORMULA_50_187_50_187_1">NA()</definedName>
    <definedName name="SHARED_FORMULA_50_190_50_190_1">NA()</definedName>
    <definedName name="SHARED_FORMULA_50_193_50_193_1">NA()</definedName>
    <definedName name="SHARED_FORMULA_50_196_50_196_1">NA()</definedName>
    <definedName name="SHARED_FORMULA_50_212_50_212_1">NA()</definedName>
    <definedName name="SHARED_FORMULA_50_228_50_228_1">NA()</definedName>
    <definedName name="SHARED_FORMULA_50_24_50_24_1">NA()</definedName>
    <definedName name="SHARED_FORMULA_50_27_50_27_5">NA()</definedName>
    <definedName name="SHARED_FORMULA_50_40_50_40_1">NA()</definedName>
    <definedName name="SHARED_FORMULA_50_51_50_51_5">NA()</definedName>
    <definedName name="SHARED_FORMULA_50_56_50_56_1">NA()</definedName>
    <definedName name="SHARED_FORMULA_50_7_50_7_4">NA()</definedName>
    <definedName name="SHARED_FORMULA_50_72_50_72_1">NA()</definedName>
    <definedName name="SHARED_FORMULA_50_8_50_8_1">NA()</definedName>
    <definedName name="SHARED_FORMULA_50_86_50_86_4">NA()</definedName>
    <definedName name="SHARED_FORMULA_50_88_50_88_1">NA()</definedName>
    <definedName name="SHARED_FORMULA_50_88_50_88_4">NA()</definedName>
    <definedName name="SHARED_FORMULA_51_104_51_104_1">NA()</definedName>
    <definedName name="SHARED_FORMULA_51_120_51_120_1">NA()</definedName>
    <definedName name="SHARED_FORMULA_51_136_51_136_1">NA()</definedName>
    <definedName name="SHARED_FORMULA_51_152_51_152_1">NA()</definedName>
    <definedName name="SHARED_FORMULA_51_168_51_168_1">NA()</definedName>
    <definedName name="SHARED_FORMULA_51_184_51_184_1">NA()</definedName>
    <definedName name="SHARED_FORMULA_51_187_51_187_1">NA()</definedName>
    <definedName name="SHARED_FORMULA_51_190_51_190_1">NA()</definedName>
    <definedName name="SHARED_FORMULA_51_193_51_193_1">NA()</definedName>
    <definedName name="SHARED_FORMULA_51_196_51_196_1">NA()</definedName>
    <definedName name="SHARED_FORMULA_51_212_51_212_1">NA()</definedName>
    <definedName name="SHARED_FORMULA_51_228_51_228_1">NA()</definedName>
    <definedName name="SHARED_FORMULA_51_24_51_24_1">NA()</definedName>
    <definedName name="SHARED_FORMULA_51_28_51_28_5">NA()</definedName>
    <definedName name="SHARED_FORMULA_51_40_51_40_1">NA()</definedName>
    <definedName name="SHARED_FORMULA_51_56_51_56_1">NA()</definedName>
    <definedName name="SHARED_FORMULA_51_7_51_7_4">NA()</definedName>
    <definedName name="SHARED_FORMULA_51_72_51_72_1">NA()</definedName>
    <definedName name="SHARED_FORMULA_51_8_51_8_1">NA()</definedName>
    <definedName name="SHARED_FORMULA_51_86_51_86_4">NA()</definedName>
    <definedName name="SHARED_FORMULA_51_88_51_88_1">NA()</definedName>
    <definedName name="SHARED_FORMULA_51_88_51_88_4">NA()</definedName>
    <definedName name="SHARED_FORMULA_52_28_52_28_5">NA()</definedName>
    <definedName name="SHARED_FORMULA_52_7_52_7_4">NA()</definedName>
    <definedName name="SHARED_FORMULA_52_86_52_86_4">NA()</definedName>
    <definedName name="SHARED_FORMULA_52_88_52_88_4">NA()</definedName>
    <definedName name="SHARED_FORMULA_53_19_53_19_7">NA()</definedName>
    <definedName name="SHARED_FORMULA_53_28_53_28_5">NA()</definedName>
    <definedName name="SHARED_FORMULA_53_7_53_7_4">NA()</definedName>
    <definedName name="SHARED_FORMULA_53_8_53_8_7">NA()</definedName>
    <definedName name="SHARED_FORMULA_53_86_53_86_4">NA()</definedName>
    <definedName name="SHARED_FORMULA_53_88_53_88_4">NA()</definedName>
    <definedName name="SHARED_FORMULA_54_2_54_2_5">NA()</definedName>
    <definedName name="SHARED_FORMULA_54_86_54_86_4">NA()</definedName>
    <definedName name="SHARED_FORMULA_54_88_54_88_4">NA()</definedName>
    <definedName name="SHARED_FORMULA_55_2_55_2_5">NA()</definedName>
    <definedName name="SHARED_FORMULA_55_7_55_7_4">NA()</definedName>
    <definedName name="SHARED_FORMULA_55_86_55_86_4">NA()</definedName>
    <definedName name="SHARED_FORMULA_55_88_55_88_4">NA()</definedName>
    <definedName name="SHARED_FORMULA_56_3_56_3_5">NA()</definedName>
    <definedName name="SHARED_FORMULA_56_7_56_7_4">NA()</definedName>
    <definedName name="SHARED_FORMULA_56_86_56_86_4">NA()</definedName>
    <definedName name="SHARED_FORMULA_56_88_56_88_4">NA()</definedName>
    <definedName name="SHARED_FORMULA_57_136_57_136_1">NA()</definedName>
    <definedName name="SHARED_FORMULA_57_24_57_24_1">NA()</definedName>
    <definedName name="SHARED_FORMULA_57_3_57_3_5">NA()</definedName>
    <definedName name="SHARED_FORMULA_57_7_57_7_4">NA()</definedName>
    <definedName name="SHARED_FORMULA_57_8_57_8_1">NA()</definedName>
    <definedName name="SHARED_FORMULA_57_86_57_86_4">NA()</definedName>
    <definedName name="SHARED_FORMULA_57_88_57_88_4">NA()</definedName>
    <definedName name="SHARED_FORMULA_58_136_58_136_1">NA()</definedName>
    <definedName name="SHARED_FORMULA_58_24_58_24_1">NA()</definedName>
    <definedName name="SHARED_FORMULA_58_7_58_7_4">NA()</definedName>
    <definedName name="SHARED_FORMULA_58_8_58_8_1">NA()</definedName>
    <definedName name="SHARED_FORMULA_58_86_58_86_4">NA()</definedName>
    <definedName name="SHARED_FORMULA_58_88_58_88_4">NA()</definedName>
    <definedName name="SHARED_FORMULA_59_136_59_136_1">NA()</definedName>
    <definedName name="SHARED_FORMULA_59_24_59_24_1">NA()</definedName>
    <definedName name="SHARED_FORMULA_59_8_59_8_1">NA()</definedName>
    <definedName name="SHARED_FORMULA_59_86_59_86_4">NA()</definedName>
    <definedName name="SHARED_FORMULA_59_88_59_88_4">NA()</definedName>
    <definedName name="SHARED_FORMULA_6_26_6_26_5">NA()</definedName>
    <definedName name="SHARED_FORMULA_6_49_6_49_5">NA()</definedName>
    <definedName name="SHARED_FORMULA_6_86_6_86_4">NA()</definedName>
    <definedName name="SHARED_FORMULA_6_88_6_88_4">NA()</definedName>
    <definedName name="SHARED_FORMULA_60_136_60_136_1">NA()</definedName>
    <definedName name="SHARED_FORMULA_60_24_60_24_1">NA()</definedName>
    <definedName name="SHARED_FORMULA_60_7_60_7_4">NA()</definedName>
    <definedName name="SHARED_FORMULA_60_8_60_8_1">NA()</definedName>
    <definedName name="SHARED_FORMULA_60_8_60_8_7">NA()</definedName>
    <definedName name="SHARED_FORMULA_60_86_60_86_4">NA()</definedName>
    <definedName name="SHARED_FORMULA_60_88_60_88_4">NA()</definedName>
    <definedName name="SHARED_FORMULA_61_136_61_136_1">NA()</definedName>
    <definedName name="SHARED_FORMULA_61_24_61_24_1">NA()</definedName>
    <definedName name="SHARED_FORMULA_61_7_61_7_4">NA()</definedName>
    <definedName name="SHARED_FORMULA_61_8_61_8_1">NA()</definedName>
    <definedName name="SHARED_FORMULA_61_86_61_86_4">NA()</definedName>
    <definedName name="SHARED_FORMULA_61_88_61_88_4">NA()</definedName>
    <definedName name="SHARED_FORMULA_62_136_62_136_1">NA()</definedName>
    <definedName name="SHARED_FORMULA_62_24_62_24_1">NA()</definedName>
    <definedName name="SHARED_FORMULA_62_7_62_7_4">NA()</definedName>
    <definedName name="SHARED_FORMULA_62_8_62_8_1">NA()</definedName>
    <definedName name="SHARED_FORMULA_62_8_62_8_7">NA()</definedName>
    <definedName name="SHARED_FORMULA_62_86_62_86_4">NA()</definedName>
    <definedName name="SHARED_FORMULA_62_88_62_88_4">NA()</definedName>
    <definedName name="SHARED_FORMULA_63_136_63_136_1">NA()</definedName>
    <definedName name="SHARED_FORMULA_63_24_63_24_1">NA()</definedName>
    <definedName name="SHARED_FORMULA_63_7_63_7_4">NA()</definedName>
    <definedName name="SHARED_FORMULA_63_8_63_8_1">NA()</definedName>
    <definedName name="SHARED_FORMULA_63_8_63_8_7">NA()</definedName>
    <definedName name="SHARED_FORMULA_63_86_63_86_4">NA()</definedName>
    <definedName name="SHARED_FORMULA_63_88_63_88_4">NA()</definedName>
    <definedName name="SHARED_FORMULA_64_136_64_136_1">NA()</definedName>
    <definedName name="SHARED_FORMULA_64_24_64_24_1">NA()</definedName>
    <definedName name="SHARED_FORMULA_64_8_64_8_1">NA()</definedName>
    <definedName name="SHARED_FORMULA_64_86_64_86_4">NA()</definedName>
    <definedName name="SHARED_FORMULA_64_88_64_88_4">NA()</definedName>
    <definedName name="SHARED_FORMULA_65_136_65_136_1">NA()</definedName>
    <definedName name="SHARED_FORMULA_65_24_65_24_1">NA()</definedName>
    <definedName name="SHARED_FORMULA_65_7_65_7_4">NA()</definedName>
    <definedName name="SHARED_FORMULA_65_8_65_8_1">NA()</definedName>
    <definedName name="SHARED_FORMULA_65_86_65_86_4">NA()</definedName>
    <definedName name="SHARED_FORMULA_65_88_65_88_4">NA()</definedName>
    <definedName name="SHARED_FORMULA_66_136_66_136_1">NA()</definedName>
    <definedName name="SHARED_FORMULA_66_2_66_2_5">NA()</definedName>
    <definedName name="SHARED_FORMULA_66_24_66_24_1">NA()</definedName>
    <definedName name="SHARED_FORMULA_66_7_66_7_4">NA()</definedName>
    <definedName name="SHARED_FORMULA_66_8_66_8_1">NA()</definedName>
    <definedName name="SHARED_FORMULA_66_86_66_86_4">NA()</definedName>
    <definedName name="SHARED_FORMULA_66_88_66_88_4">NA()</definedName>
    <definedName name="SHARED_FORMULA_67_136_67_136_1">NA()</definedName>
    <definedName name="SHARED_FORMULA_67_24_67_24_1">NA()</definedName>
    <definedName name="SHARED_FORMULA_67_7_67_7_4">NA()</definedName>
    <definedName name="SHARED_FORMULA_67_8_67_8_1">NA()</definedName>
    <definedName name="SHARED_FORMULA_67_86_67_86_4">NA()</definedName>
    <definedName name="SHARED_FORMULA_67_88_67_88_4">NA()</definedName>
    <definedName name="SHARED_FORMULA_68_136_68_136_1">NA()</definedName>
    <definedName name="SHARED_FORMULA_68_24_68_24_1">NA()</definedName>
    <definedName name="SHARED_FORMULA_68_7_68_7_4">NA()</definedName>
    <definedName name="SHARED_FORMULA_68_8_68_8_1">NA()</definedName>
    <definedName name="SHARED_FORMULA_68_86_68_86_4">NA()</definedName>
    <definedName name="SHARED_FORMULA_68_88_68_88_4">NA()</definedName>
    <definedName name="SHARED_FORMULA_69_24_69_24_1">NA()</definedName>
    <definedName name="SHARED_FORMULA_69_40_69_40_1">NA()</definedName>
    <definedName name="SHARED_FORMULA_69_8_69_8_1">NA()</definedName>
    <definedName name="SHARED_FORMULA_69_86_69_86_4">NA()</definedName>
    <definedName name="SHARED_FORMULA_69_88_69_88_4">NA()</definedName>
    <definedName name="SHARED_FORMULA_7_26_7_26_5">NA()</definedName>
    <definedName name="SHARED_FORMULA_7_49_7_49_5">NA()</definedName>
    <definedName name="SHARED_FORMULA_7_86_7_86_4">NA()</definedName>
    <definedName name="SHARED_FORMULA_7_88_7_88_4">NA()</definedName>
    <definedName name="SHARED_FORMULA_70_24_70_24_1">NA()</definedName>
    <definedName name="SHARED_FORMULA_70_40_70_40_1">NA()</definedName>
    <definedName name="SHARED_FORMULA_70_8_70_8_1">NA()</definedName>
    <definedName name="SHARED_FORMULA_70_86_70_86_4">NA()</definedName>
    <definedName name="SHARED_FORMULA_70_88_70_88_4">NA()</definedName>
    <definedName name="SHARED_FORMULA_71_24_71_24_1">NA()</definedName>
    <definedName name="SHARED_FORMULA_71_40_71_40_1">NA()</definedName>
    <definedName name="SHARED_FORMULA_71_8_71_8_1">NA()</definedName>
    <definedName name="SHARED_FORMULA_71_86_71_86_4">NA()</definedName>
    <definedName name="SHARED_FORMULA_71_88_71_88_4">NA()</definedName>
    <definedName name="SHARED_FORMULA_72_24_72_24_1">NA()</definedName>
    <definedName name="SHARED_FORMULA_72_40_72_40_1">NA()</definedName>
    <definedName name="SHARED_FORMULA_72_8_72_8_1">NA()</definedName>
    <definedName name="SHARED_FORMULA_72_86_72_86_4">NA()</definedName>
    <definedName name="SHARED_FORMULA_72_88_72_88_4">NA()</definedName>
    <definedName name="SHARED_FORMULA_73_24_73_24_1">NA()</definedName>
    <definedName name="SHARED_FORMULA_73_40_73_40_1">NA()</definedName>
    <definedName name="SHARED_FORMULA_73_8_73_8_1">NA()</definedName>
    <definedName name="SHARED_FORMULA_73_86_73_86_4">NA()</definedName>
    <definedName name="SHARED_FORMULA_73_88_73_88_4">NA()</definedName>
    <definedName name="SHARED_FORMULA_74_104_74_104_1">NA()</definedName>
    <definedName name="SHARED_FORMULA_74_120_74_120_1">NA()</definedName>
    <definedName name="SHARED_FORMULA_74_136_74_136_1">NA()</definedName>
    <definedName name="SHARED_FORMULA_74_152_74_152_1">NA()</definedName>
    <definedName name="SHARED_FORMULA_74_24_74_24_1">NA()</definedName>
    <definedName name="SHARED_FORMULA_74_40_74_40_1">NA()</definedName>
    <definedName name="SHARED_FORMULA_74_56_74_56_1">NA()</definedName>
    <definedName name="SHARED_FORMULA_74_72_74_72_1">NA()</definedName>
    <definedName name="SHARED_FORMULA_74_8_74_8_1">NA()</definedName>
    <definedName name="SHARED_FORMULA_74_86_74_86_4">NA()</definedName>
    <definedName name="SHARED_FORMULA_74_88_74_88_1">NA()</definedName>
    <definedName name="SHARED_FORMULA_74_88_74_88_4">NA()</definedName>
    <definedName name="SHARED_FORMULA_75_104_75_104_1">NA()</definedName>
    <definedName name="SHARED_FORMULA_75_120_75_120_1">NA()</definedName>
    <definedName name="SHARED_FORMULA_75_136_75_136_1">NA()</definedName>
    <definedName name="SHARED_FORMULA_75_152_75_152_1">NA()</definedName>
    <definedName name="SHARED_FORMULA_75_24_75_24_1">NA()</definedName>
    <definedName name="SHARED_FORMULA_75_40_75_40_1">NA()</definedName>
    <definedName name="SHARED_FORMULA_75_56_75_56_1">NA()</definedName>
    <definedName name="SHARED_FORMULA_75_72_75_72_1">NA()</definedName>
    <definedName name="SHARED_FORMULA_75_8_75_8_1">NA()</definedName>
    <definedName name="SHARED_FORMULA_75_86_75_86_4">NA()</definedName>
    <definedName name="SHARED_FORMULA_75_88_75_88_1">NA()</definedName>
    <definedName name="SHARED_FORMULA_75_88_75_88_4">NA()</definedName>
    <definedName name="SHARED_FORMULA_76_104_76_104_1">NA()</definedName>
    <definedName name="SHARED_FORMULA_76_120_76_120_1">NA()</definedName>
    <definedName name="SHARED_FORMULA_76_136_76_136_1">NA()</definedName>
    <definedName name="SHARED_FORMULA_76_152_76_152_1">NA()</definedName>
    <definedName name="SHARED_FORMULA_76_24_76_24_1">NA()</definedName>
    <definedName name="SHARED_FORMULA_76_40_76_40_1">NA()</definedName>
    <definedName name="SHARED_FORMULA_76_56_76_56_1">NA()</definedName>
    <definedName name="SHARED_FORMULA_76_72_76_72_1">NA()</definedName>
    <definedName name="SHARED_FORMULA_76_8_76_8_1">NA()</definedName>
    <definedName name="SHARED_FORMULA_76_86_76_86_4">NA()</definedName>
    <definedName name="SHARED_FORMULA_76_88_76_88_1">NA()</definedName>
    <definedName name="SHARED_FORMULA_76_88_76_88_4">NA()</definedName>
    <definedName name="SHARED_FORMULA_77_104_77_104_1">NA()</definedName>
    <definedName name="SHARED_FORMULA_77_120_77_120_1">NA()</definedName>
    <definedName name="SHARED_FORMULA_77_136_77_136_1">NA()</definedName>
    <definedName name="SHARED_FORMULA_77_152_77_152_1">NA()</definedName>
    <definedName name="SHARED_FORMULA_77_18_77_18_7">NA()</definedName>
    <definedName name="SHARED_FORMULA_77_24_77_24_1">NA()</definedName>
    <definedName name="SHARED_FORMULA_77_40_77_40_1">NA()</definedName>
    <definedName name="SHARED_FORMULA_77_56_77_56_1">NA()</definedName>
    <definedName name="SHARED_FORMULA_77_72_77_72_1">NA()</definedName>
    <definedName name="SHARED_FORMULA_77_8_77_8_1">NA()</definedName>
    <definedName name="SHARED_FORMULA_77_86_77_86_4">NA()</definedName>
    <definedName name="SHARED_FORMULA_77_88_77_88_1">NA()</definedName>
    <definedName name="SHARED_FORMULA_77_88_77_88_4">NA()</definedName>
    <definedName name="SHARED_FORMULA_78_104_78_104_1">NA()</definedName>
    <definedName name="SHARED_FORMULA_78_120_78_120_1">NA()</definedName>
    <definedName name="SHARED_FORMULA_78_136_78_136_1">NA()</definedName>
    <definedName name="SHARED_FORMULA_78_152_78_152_1">NA()</definedName>
    <definedName name="SHARED_FORMULA_78_24_78_24_1">NA()</definedName>
    <definedName name="SHARED_FORMULA_78_40_78_40_1">NA()</definedName>
    <definedName name="SHARED_FORMULA_78_56_78_56_1">NA()</definedName>
    <definedName name="SHARED_FORMULA_78_72_78_72_1">NA()</definedName>
    <definedName name="SHARED_FORMULA_78_8_78_8_1">NA()</definedName>
    <definedName name="SHARED_FORMULA_78_86_78_86_4">NA()</definedName>
    <definedName name="SHARED_FORMULA_78_88_78_88_1">NA()</definedName>
    <definedName name="SHARED_FORMULA_78_88_78_88_4">NA()</definedName>
    <definedName name="SHARED_FORMULA_8_26_8_26_5">NA()</definedName>
    <definedName name="SHARED_FORMULA_8_49_8_49_5">NA()</definedName>
    <definedName name="SHARED_FORMULA_8_86_8_86_4">NA()</definedName>
    <definedName name="SHARED_FORMULA_8_88_8_88_4">NA()</definedName>
    <definedName name="SHARED_FORMULA_87_102_87_102_1">NA()</definedName>
    <definedName name="SHARED_FORMULA_87_115_87_115_1">NA()</definedName>
    <definedName name="SHARED_FORMULA_87_126_87_126_1">NA()</definedName>
    <definedName name="SHARED_FORMULA_87_150_87_150_1">NA()</definedName>
    <definedName name="SHARED_FORMULA_87_30_87_30_1">NA()</definedName>
    <definedName name="SHARED_FORMULA_87_43_87_43_1">NA()</definedName>
    <definedName name="SHARED_FORMULA_87_5_87_5_1">NA()</definedName>
    <definedName name="SHARED_FORMULA_87_54_87_54_1">NA()</definedName>
    <definedName name="SHARED_FORMULA_87_78_87_78_1">NA()</definedName>
    <definedName name="SHARED_FORMULA_88_102_88_102_1">NA()</definedName>
    <definedName name="SHARED_FORMULA_88_115_88_115_1">NA()</definedName>
    <definedName name="SHARED_FORMULA_88_126_88_126_1">NA()</definedName>
    <definedName name="SHARED_FORMULA_88_150_88_150_1">NA()</definedName>
    <definedName name="SHARED_FORMULA_88_30_88_30_1">NA()</definedName>
    <definedName name="SHARED_FORMULA_88_43_88_43_1">NA()</definedName>
    <definedName name="SHARED_FORMULA_88_5_88_5_1">NA()</definedName>
    <definedName name="SHARED_FORMULA_88_54_88_54_1">NA()</definedName>
    <definedName name="SHARED_FORMULA_88_78_88_78_1">NA()</definedName>
    <definedName name="SHARED_FORMULA_89_102_89_102_1">NA()</definedName>
    <definedName name="SHARED_FORMULA_89_115_89_115_1">NA()</definedName>
    <definedName name="SHARED_FORMULA_89_126_89_126_1">NA()</definedName>
    <definedName name="SHARED_FORMULA_89_150_89_150_1">NA()</definedName>
    <definedName name="SHARED_FORMULA_89_30_89_30_1">NA()</definedName>
    <definedName name="SHARED_FORMULA_89_43_89_43_1">NA()</definedName>
    <definedName name="SHARED_FORMULA_89_5_89_5_1">NA()</definedName>
    <definedName name="SHARED_FORMULA_89_54_89_54_1">NA()</definedName>
    <definedName name="SHARED_FORMULA_89_78_89_78_1">NA()</definedName>
    <definedName name="SHARED_FORMULA_9_13_9_13_7">NA()</definedName>
    <definedName name="SHARED_FORMULA_9_26_9_26_5">NA()</definedName>
    <definedName name="SHARED_FORMULA_9_49_9_49_5">NA()</definedName>
    <definedName name="SHARED_FORMULA_9_86_9_86_4">NA()</definedName>
    <definedName name="SHARED_FORMULA_9_88_9_88_4">NA()</definedName>
    <definedName name="SHARED_FORMULA_9_9_9_9_7">NA()</definedName>
    <definedName name="SHARED_FORMULA_90_102_90_102_1">NA()</definedName>
    <definedName name="SHARED_FORMULA_90_115_90_115_1">NA()</definedName>
    <definedName name="SHARED_FORMULA_90_126_90_126_1">NA()</definedName>
    <definedName name="SHARED_FORMULA_90_150_90_150_1">NA()</definedName>
    <definedName name="SHARED_FORMULA_90_30_90_30_1">NA()</definedName>
    <definedName name="SHARED_FORMULA_90_43_90_43_1">NA()</definedName>
    <definedName name="SHARED_FORMULA_90_5_90_5_1">NA()</definedName>
    <definedName name="SHARED_FORMULA_90_54_90_54_1">NA()</definedName>
    <definedName name="SHARED_FORMULA_90_78_90_78_1">NA()</definedName>
    <definedName name="SHARED_FORMULA_91_102_91_102_1">NA()</definedName>
    <definedName name="SHARED_FORMULA_91_115_91_115_1">NA()</definedName>
    <definedName name="SHARED_FORMULA_91_126_91_126_1">NA()</definedName>
    <definedName name="SHARED_FORMULA_91_150_91_150_1">NA()</definedName>
    <definedName name="SHARED_FORMULA_91_30_91_30_1">NA()</definedName>
    <definedName name="SHARED_FORMULA_91_43_91_43_1">NA()</definedName>
    <definedName name="SHARED_FORMULA_91_5_91_5_1">NA()</definedName>
    <definedName name="SHARED_FORMULA_91_54_91_54_1">NA()</definedName>
    <definedName name="SHARED_FORMULA_91_78_91_78_1">NA()</definedName>
    <definedName name="SHARED_FORMULA_92_108_92_108_4">NA()</definedName>
    <definedName name="SHARED_FORMULA_92_112_92_112_4">NA()</definedName>
    <definedName name="SHARED_FORMULA_92_116_92_116_4">NA()</definedName>
    <definedName name="SHARED_FORMULA_92_120_92_120_4">NA()</definedName>
    <definedName name="SHARED_FORMULA_92_124_92_124_4">NA()</definedName>
    <definedName name="SHARED_FORMULA_92_128_92_128_4">NA()</definedName>
    <definedName name="SHARED_FORMULA_92_132_92_132_4">NA()</definedName>
    <definedName name="SHARED_FORMULA_92_23_92_23_4">NA()</definedName>
    <definedName name="SHARED_FORMULA_92_25_92_25_4">NA()</definedName>
    <definedName name="SHARED_FORMULA_92_27_92_27_4">NA()</definedName>
    <definedName name="SHARED_FORMULA_92_29_92_29_4">NA()</definedName>
    <definedName name="SHARED_FORMULA_92_31_92_31_4">NA()</definedName>
    <definedName name="SHARED_FORMULA_92_33_92_33_4">NA()</definedName>
    <definedName name="SHARED_FORMULA_92_35_92_35_4">NA()</definedName>
    <definedName name="SHARED_FORMULA_92_37_92_37_4">NA()</definedName>
    <definedName name="SHARED_FORMULA_92_39_92_39_4">NA()</definedName>
    <definedName name="SHARED_FORMULA_92_41_92_41_4">NA()</definedName>
    <definedName name="SHARED_FORMULA_92_43_92_43_4">NA()</definedName>
    <definedName name="SHARED_FORMULA_92_45_92_45_4">NA()</definedName>
    <definedName name="SHARED_FORMULA_92_47_92_47_4">NA()</definedName>
    <definedName name="SHARED_FORMULA_92_49_92_49_4">NA()</definedName>
    <definedName name="SHARED_FORMULA_92_51_92_51_4">NA()</definedName>
    <definedName name="SHARED_FORMULA_92_53_92_53_4">NA()</definedName>
    <definedName name="SHARED_FORMULA_92_55_92_55_4">NA()</definedName>
    <definedName name="SHARED_FORMULA_92_57_92_57_4">NA()</definedName>
    <definedName name="SHARED_FORMULA_92_59_92_59_4">NA()</definedName>
    <definedName name="SHARED_FORMULA_92_61_92_61_4">NA()</definedName>
    <definedName name="SHARED_FORMULA_92_63_92_63_4">NA()</definedName>
    <definedName name="SHARED_FORMULA_92_91_92_91_4">NA()</definedName>
    <definedName name="SHARED_FORMULA_94_154_94_154_1">NA()</definedName>
    <definedName name="SHARED_FORMULA_95_94_95_94_4">NA()</definedName>
    <definedName name="SHARED_FORMULA_97_27_97_27_4">NA()</definedName>
    <definedName name="SHARED_FORMULA_99_26_99_26_4">NA()</definedName>
    <definedName name="SHARED_FORMULA_99_38_99_38_4">NA()</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S61" i="8" l="1"/>
  <c r="Q61" i="8"/>
  <c r="P61" i="8"/>
  <c r="O61" i="8"/>
  <c r="N61" i="8"/>
  <c r="M61" i="8"/>
  <c r="R61" i="8" s="1"/>
  <c r="L61" i="8"/>
  <c r="X68" i="5"/>
  <c r="X67" i="5"/>
  <c r="X66" i="5"/>
  <c r="X65" i="5"/>
  <c r="R31" i="8"/>
  <c r="V31" i="8"/>
  <c r="P31" i="8" s="1"/>
  <c r="U31" i="8"/>
  <c r="Q31" i="8"/>
  <c r="O31" i="8"/>
  <c r="N31" i="8" s="1"/>
  <c r="M31" i="8"/>
  <c r="L31" i="8"/>
  <c r="H31" i="8"/>
  <c r="G31" i="8"/>
  <c r="J31" i="8" s="1"/>
  <c r="F31" i="8"/>
  <c r="E31" i="8"/>
  <c r="D31" i="8"/>
  <c r="C31" i="8"/>
  <c r="B31" i="8"/>
  <c r="A31" i="8"/>
  <c r="AT68" i="5"/>
  <c r="AT67" i="5"/>
  <c r="AS67" i="5"/>
  <c r="S67" i="5"/>
  <c r="AS66" i="5"/>
  <c r="AS68" i="5"/>
  <c r="AK35" i="5"/>
  <c r="AV68" i="5"/>
  <c r="AU68" i="5"/>
  <c r="BA68" i="5" s="1"/>
  <c r="AQ68" i="5"/>
  <c r="AP68" i="5"/>
  <c r="AW68" i="5" s="1"/>
  <c r="AO68" i="5"/>
  <c r="BW35" i="5"/>
  <c r="CP35" i="5"/>
  <c r="CN35" i="5"/>
  <c r="CO35" i="5" s="1"/>
  <c r="CP34" i="5"/>
  <c r="CN34" i="5"/>
  <c r="CO34" i="5" s="1"/>
  <c r="CL35" i="5"/>
  <c r="CI35" i="5"/>
  <c r="CG35" i="5"/>
  <c r="BY35" i="5"/>
  <c r="BO35" i="5"/>
  <c r="BN35" i="5"/>
  <c r="BM35" i="5"/>
  <c r="BK35" i="5"/>
  <c r="BJ41" i="5"/>
  <c r="BG35" i="5"/>
  <c r="BF35" i="5"/>
  <c r="BE35" i="5"/>
  <c r="AZ35" i="5"/>
  <c r="AY35" i="5"/>
  <c r="AX35" i="5"/>
  <c r="AW35" i="5"/>
  <c r="S35" i="5"/>
  <c r="AN35" i="5"/>
  <c r="AO35" i="5" s="1"/>
  <c r="AM35" i="5"/>
  <c r="AI35" i="5"/>
  <c r="CR35" i="5"/>
  <c r="AH35" i="5"/>
  <c r="AG35" i="5"/>
  <c r="AC35" i="5"/>
  <c r="F35" i="5"/>
  <c r="AF35" i="5" s="1"/>
  <c r="W35" i="5"/>
  <c r="R35" i="5"/>
  <c r="G35" i="5"/>
  <c r="AV42" i="5"/>
  <c r="AV43" i="5"/>
  <c r="AV47" i="5"/>
  <c r="AV48" i="5"/>
  <c r="AV49" i="5"/>
  <c r="AV50" i="5"/>
  <c r="AV51" i="5"/>
  <c r="AV52" i="5"/>
  <c r="AX68" i="5" l="1"/>
  <c r="AW107" i="5" s="1"/>
  <c r="W31" i="8"/>
  <c r="X31" i="8" s="1"/>
  <c r="Y31" i="8" s="1"/>
  <c r="Z31" i="8" s="1"/>
  <c r="CF35" i="5"/>
  <c r="H87" i="9"/>
  <c r="H88" i="9" s="1"/>
  <c r="H89" i="9" s="1"/>
  <c r="H90" i="9" s="1"/>
  <c r="H91" i="9" s="1"/>
  <c r="H86" i="9"/>
  <c r="C86" i="9"/>
  <c r="C87" i="9" s="1"/>
  <c r="C88" i="9" s="1"/>
  <c r="C89" i="9" s="1"/>
  <c r="C90" i="9" s="1"/>
  <c r="C91" i="9" s="1"/>
  <c r="C58" i="9"/>
  <c r="C59" i="9" s="1"/>
  <c r="C60" i="9" s="1"/>
  <c r="C61" i="9" s="1"/>
  <c r="O28" i="9"/>
  <c r="O29" i="9" s="1"/>
  <c r="O30" i="9" s="1"/>
  <c r="O31" i="9" s="1"/>
  <c r="C28" i="9"/>
  <c r="C29" i="9" s="1"/>
  <c r="C30" i="9" s="1"/>
  <c r="C31" i="9" s="1"/>
  <c r="K10" i="9"/>
  <c r="P10" i="9" s="1"/>
  <c r="K40" i="9" s="1"/>
  <c r="K9" i="9"/>
  <c r="P9" i="9" s="1"/>
  <c r="K39" i="9" s="1"/>
  <c r="K8" i="9"/>
  <c r="P8" i="9" s="1"/>
  <c r="K38" i="9" s="1"/>
  <c r="K7" i="9"/>
  <c r="P7" i="9" s="1"/>
  <c r="K37" i="9" s="1"/>
  <c r="K6" i="9"/>
  <c r="P6" i="9" s="1"/>
  <c r="K36" i="9" s="1"/>
  <c r="A88" i="8"/>
  <c r="A87" i="8"/>
  <c r="A86" i="8"/>
  <c r="A85" i="8"/>
  <c r="A84" i="8"/>
  <c r="A83" i="8"/>
  <c r="A82" i="8"/>
  <c r="A81" i="8"/>
  <c r="A80" i="8"/>
  <c r="A79" i="8"/>
  <c r="A78" i="8"/>
  <c r="A77" i="8"/>
  <c r="A76" i="8"/>
  <c r="A75" i="8"/>
  <c r="A74" i="8"/>
  <c r="A73" i="8"/>
  <c r="A72" i="8"/>
  <c r="A71" i="8"/>
  <c r="A70" i="8"/>
  <c r="A69" i="8"/>
  <c r="L57" i="8"/>
  <c r="L56" i="8"/>
  <c r="L55" i="8"/>
  <c r="L54" i="8"/>
  <c r="L53" i="8"/>
  <c r="L52" i="8"/>
  <c r="L51" i="8"/>
  <c r="L50" i="8"/>
  <c r="L49" i="8"/>
  <c r="L48" i="8"/>
  <c r="L47" i="8"/>
  <c r="L46" i="8"/>
  <c r="L45" i="8"/>
  <c r="L44" i="8"/>
  <c r="L43" i="8"/>
  <c r="L42" i="8"/>
  <c r="L41" i="8"/>
  <c r="L40" i="8"/>
  <c r="L39" i="8"/>
  <c r="L38" i="8"/>
  <c r="L37" i="8"/>
  <c r="L36" i="8"/>
  <c r="AI35" i="8"/>
  <c r="AI36" i="8" s="1"/>
  <c r="AI37" i="8" s="1"/>
  <c r="AI38" i="8" s="1"/>
  <c r="L35" i="8"/>
  <c r="L29" i="8"/>
  <c r="L30" i="8" s="1"/>
  <c r="L60" i="8" s="1"/>
  <c r="L28" i="8"/>
  <c r="L58" i="8" s="1"/>
  <c r="L27" i="8"/>
  <c r="AI26" i="8"/>
  <c r="AI27" i="8" s="1"/>
  <c r="AI28" i="8" s="1"/>
  <c r="AI29" i="8" s="1"/>
  <c r="AI30" i="8" s="1"/>
  <c r="AI31" i="8" s="1"/>
  <c r="AI32" i="8" s="1"/>
  <c r="AI33" i="8" s="1"/>
  <c r="AI34" i="8" s="1"/>
  <c r="A26" i="8"/>
  <c r="AD25" i="8"/>
  <c r="AD26" i="8" s="1"/>
  <c r="AD27" i="8" s="1"/>
  <c r="AD28" i="8" s="1"/>
  <c r="AD29" i="8" s="1"/>
  <c r="AD30" i="8" s="1"/>
  <c r="AD31" i="8" s="1"/>
  <c r="AD32" i="8" s="1"/>
  <c r="AD33" i="8" s="1"/>
  <c r="AD34" i="8" s="1"/>
  <c r="AD35" i="8" s="1"/>
  <c r="AD36" i="8" s="1"/>
  <c r="AD37" i="8" s="1"/>
  <c r="AD38" i="8" s="1"/>
  <c r="A25" i="8"/>
  <c r="A89" i="8" s="1"/>
  <c r="AI24" i="8"/>
  <c r="AI25" i="8" s="1"/>
  <c r="AD24" i="8"/>
  <c r="AG23" i="8"/>
  <c r="AI22" i="8"/>
  <c r="AG22" i="8"/>
  <c r="AD22" i="8"/>
  <c r="AI21" i="8"/>
  <c r="AI20" i="8" s="1"/>
  <c r="AI19" i="8" s="1"/>
  <c r="AG21" i="8"/>
  <c r="AD21" i="8"/>
  <c r="AG20" i="8"/>
  <c r="AD20" i="8"/>
  <c r="AD19" i="8" s="1"/>
  <c r="AD18" i="8" s="1"/>
  <c r="AD17" i="8" s="1"/>
  <c r="AD16" i="8" s="1"/>
  <c r="AD15" i="8" s="1"/>
  <c r="AD14" i="8" s="1"/>
  <c r="AD13" i="8" s="1"/>
  <c r="AG19" i="8"/>
  <c r="AI18" i="8"/>
  <c r="AI17" i="8" s="1"/>
  <c r="AG18" i="8"/>
  <c r="AG17" i="8"/>
  <c r="AI16" i="8"/>
  <c r="AI15" i="8" s="1"/>
  <c r="AI14" i="8" s="1"/>
  <c r="AG16" i="8"/>
  <c r="AG15" i="8"/>
  <c r="V15" i="8"/>
  <c r="AG14" i="8"/>
  <c r="V14" i="8"/>
  <c r="AI13" i="8"/>
  <c r="AG13" i="8"/>
  <c r="AE13" i="8" s="1"/>
  <c r="V13" i="8"/>
  <c r="V12" i="8"/>
  <c r="V11" i="8"/>
  <c r="V10" i="8"/>
  <c r="V9" i="8"/>
  <c r="V8" i="8"/>
  <c r="P8" i="8" s="1"/>
  <c r="B8" i="8"/>
  <c r="V7" i="8"/>
  <c r="P7" i="8" s="1"/>
  <c r="V6" i="8"/>
  <c r="V5" i="8"/>
  <c r="P5" i="8"/>
  <c r="G6" i="9" s="1"/>
  <c r="M3" i="8"/>
  <c r="O62" i="7"/>
  <c r="N62" i="7"/>
  <c r="M62" i="7"/>
  <c r="L62" i="7"/>
  <c r="K62" i="7"/>
  <c r="J62" i="7"/>
  <c r="O61" i="7"/>
  <c r="N61" i="7"/>
  <c r="M61" i="7"/>
  <c r="L61" i="7"/>
  <c r="K61" i="7"/>
  <c r="J61" i="7"/>
  <c r="O60" i="7"/>
  <c r="N60" i="7"/>
  <c r="M60" i="7"/>
  <c r="L60" i="7"/>
  <c r="K60" i="7"/>
  <c r="J60" i="7"/>
  <c r="O59" i="7"/>
  <c r="N59" i="7"/>
  <c r="M59" i="7"/>
  <c r="L59" i="7"/>
  <c r="K59" i="7"/>
  <c r="J59" i="7"/>
  <c r="O58" i="7"/>
  <c r="N58" i="7"/>
  <c r="M58" i="7"/>
  <c r="L58" i="7"/>
  <c r="L56" i="7" s="1"/>
  <c r="K58" i="7"/>
  <c r="J58" i="7"/>
  <c r="O57" i="7"/>
  <c r="N57" i="7"/>
  <c r="N56" i="7" s="1"/>
  <c r="M57" i="7"/>
  <c r="L57" i="7"/>
  <c r="K57" i="7"/>
  <c r="J57" i="7"/>
  <c r="O56" i="7"/>
  <c r="M56" i="7"/>
  <c r="K56" i="7"/>
  <c r="O55" i="7"/>
  <c r="N55" i="7"/>
  <c r="M55" i="7"/>
  <c r="L55" i="7"/>
  <c r="K55" i="7"/>
  <c r="O54" i="7"/>
  <c r="N54" i="7"/>
  <c r="M54" i="7"/>
  <c r="L54" i="7"/>
  <c r="K54" i="7"/>
  <c r="O53" i="7"/>
  <c r="N53" i="7"/>
  <c r="M53" i="7"/>
  <c r="L53" i="7"/>
  <c r="K53" i="7"/>
  <c r="O52" i="7"/>
  <c r="N52" i="7"/>
  <c r="M52" i="7"/>
  <c r="L52" i="7"/>
  <c r="K52" i="7"/>
  <c r="O51" i="7"/>
  <c r="N51" i="7"/>
  <c r="M51" i="7"/>
  <c r="L51" i="7"/>
  <c r="K51" i="7"/>
  <c r="O50" i="7"/>
  <c r="N50" i="7"/>
  <c r="M50" i="7"/>
  <c r="L50" i="7"/>
  <c r="K50" i="7"/>
  <c r="O49" i="7"/>
  <c r="N49" i="7"/>
  <c r="M49" i="7"/>
  <c r="L49" i="7"/>
  <c r="K49" i="7"/>
  <c r="O48" i="7"/>
  <c r="N48" i="7"/>
  <c r="M48" i="7"/>
  <c r="L48" i="7"/>
  <c r="K48" i="7"/>
  <c r="O47" i="7"/>
  <c r="N47" i="7"/>
  <c r="M47" i="7"/>
  <c r="L47" i="7"/>
  <c r="K47" i="7"/>
  <c r="P46" i="7"/>
  <c r="O46" i="7"/>
  <c r="N46" i="7"/>
  <c r="M46" i="7"/>
  <c r="L46" i="7"/>
  <c r="K46" i="7"/>
  <c r="P45" i="7"/>
  <c r="O45" i="7"/>
  <c r="N45" i="7"/>
  <c r="M45" i="7"/>
  <c r="L45" i="7"/>
  <c r="K45" i="7"/>
  <c r="P44" i="7"/>
  <c r="O44" i="7"/>
  <c r="N44" i="7"/>
  <c r="M44" i="7"/>
  <c r="L44" i="7"/>
  <c r="K44" i="7"/>
  <c r="P43" i="7"/>
  <c r="O43" i="7"/>
  <c r="N43" i="7"/>
  <c r="M43" i="7"/>
  <c r="L43" i="7"/>
  <c r="K43" i="7"/>
  <c r="P42" i="7"/>
  <c r="O42" i="7"/>
  <c r="N42" i="7"/>
  <c r="M42" i="7"/>
  <c r="L42" i="7"/>
  <c r="K42" i="7"/>
  <c r="P41" i="7"/>
  <c r="O41" i="7"/>
  <c r="N41" i="7"/>
  <c r="M41" i="7"/>
  <c r="L41" i="7"/>
  <c r="K41" i="7"/>
  <c r="P40" i="7"/>
  <c r="O40" i="7"/>
  <c r="N40" i="7"/>
  <c r="M40" i="7"/>
  <c r="L40" i="7"/>
  <c r="K40" i="7"/>
  <c r="P39" i="7"/>
  <c r="O39" i="7"/>
  <c r="N39" i="7"/>
  <c r="M39" i="7"/>
  <c r="L39" i="7"/>
  <c r="K39" i="7"/>
  <c r="P38" i="7"/>
  <c r="O38" i="7"/>
  <c r="N38" i="7"/>
  <c r="M38" i="7"/>
  <c r="L38" i="7"/>
  <c r="K38" i="7"/>
  <c r="P37" i="7"/>
  <c r="O37" i="7"/>
  <c r="N37" i="7"/>
  <c r="M37" i="7"/>
  <c r="L37" i="7"/>
  <c r="K37" i="7"/>
  <c r="P36" i="7"/>
  <c r="O36" i="7"/>
  <c r="N36" i="7"/>
  <c r="M36" i="7"/>
  <c r="L36" i="7"/>
  <c r="K36" i="7"/>
  <c r="J36" i="7"/>
  <c r="J37" i="7" s="1"/>
  <c r="J38" i="7" s="1"/>
  <c r="J39" i="7" s="1"/>
  <c r="J40" i="7" s="1"/>
  <c r="J41" i="7" s="1"/>
  <c r="J42" i="7" s="1"/>
  <c r="J43" i="7" s="1"/>
  <c r="J44" i="7" s="1"/>
  <c r="J45" i="7" s="1"/>
  <c r="J46" i="7" s="1"/>
  <c r="J47" i="7" s="1"/>
  <c r="J48" i="7" s="1"/>
  <c r="J49" i="7" s="1"/>
  <c r="J50" i="7" s="1"/>
  <c r="J51" i="7" s="1"/>
  <c r="J52" i="7" s="1"/>
  <c r="J53" i="7" s="1"/>
  <c r="J54" i="7" s="1"/>
  <c r="J55" i="7" s="1"/>
  <c r="P35" i="7"/>
  <c r="O35" i="7"/>
  <c r="N35" i="7"/>
  <c r="M35" i="7"/>
  <c r="L35" i="7"/>
  <c r="K35" i="7"/>
  <c r="P34" i="7"/>
  <c r="O34" i="7"/>
  <c r="N34" i="7"/>
  <c r="M34" i="7"/>
  <c r="L34" i="7"/>
  <c r="K34" i="7"/>
  <c r="J34" i="7"/>
  <c r="J35" i="7" s="1"/>
  <c r="P33" i="7"/>
  <c r="O33" i="7"/>
  <c r="N33" i="7"/>
  <c r="M33" i="7"/>
  <c r="L33" i="7"/>
  <c r="K33" i="7"/>
  <c r="J33" i="7"/>
  <c r="P32" i="7"/>
  <c r="O32" i="7"/>
  <c r="N32" i="7"/>
  <c r="M32" i="7"/>
  <c r="L32" i="7"/>
  <c r="K32" i="7"/>
  <c r="O31" i="7"/>
  <c r="N31" i="7"/>
  <c r="M31" i="7"/>
  <c r="L31" i="7"/>
  <c r="K31" i="7"/>
  <c r="H29" i="7"/>
  <c r="G29" i="7"/>
  <c r="E29" i="7"/>
  <c r="D29" i="7"/>
  <c r="L28" i="7"/>
  <c r="K28" i="7"/>
  <c r="M28" i="7" s="1"/>
  <c r="H28" i="7"/>
  <c r="G28" i="7"/>
  <c r="E28" i="7"/>
  <c r="D28" i="7"/>
  <c r="L27" i="7"/>
  <c r="M27" i="7" s="1"/>
  <c r="K27" i="7"/>
  <c r="H27" i="7"/>
  <c r="G27" i="7"/>
  <c r="E27" i="7"/>
  <c r="D27" i="7"/>
  <c r="M26" i="7"/>
  <c r="L26" i="7"/>
  <c r="K26" i="7"/>
  <c r="H26" i="7"/>
  <c r="G26" i="7"/>
  <c r="E26" i="7"/>
  <c r="D26" i="7"/>
  <c r="L25" i="7"/>
  <c r="K25" i="7"/>
  <c r="M25" i="7" s="1"/>
  <c r="H25" i="7"/>
  <c r="G25" i="7"/>
  <c r="E25" i="7"/>
  <c r="D25" i="7"/>
  <c r="L24" i="7"/>
  <c r="K24" i="7"/>
  <c r="M24" i="7" s="1"/>
  <c r="H24" i="7"/>
  <c r="G24" i="7"/>
  <c r="E24" i="7"/>
  <c r="D24" i="7"/>
  <c r="L23" i="7"/>
  <c r="M23" i="7" s="1"/>
  <c r="K23" i="7"/>
  <c r="H23" i="7"/>
  <c r="G23" i="7"/>
  <c r="E23" i="7"/>
  <c r="D23" i="7"/>
  <c r="M22" i="7"/>
  <c r="L22" i="7"/>
  <c r="K22" i="7"/>
  <c r="H22" i="7"/>
  <c r="G22" i="7"/>
  <c r="E22" i="7"/>
  <c r="D22" i="7"/>
  <c r="C22" i="7"/>
  <c r="C23" i="7" s="1"/>
  <c r="C24" i="7" s="1"/>
  <c r="C25" i="7" s="1"/>
  <c r="C26" i="7" s="1"/>
  <c r="C27" i="7" s="1"/>
  <c r="C28" i="7" s="1"/>
  <c r="C29" i="7" s="1"/>
  <c r="L21" i="7"/>
  <c r="K21" i="7"/>
  <c r="M21" i="7" s="1"/>
  <c r="H21" i="7"/>
  <c r="G21" i="7"/>
  <c r="E21" i="7"/>
  <c r="D21" i="7"/>
  <c r="C21" i="7"/>
  <c r="L20" i="7"/>
  <c r="K20" i="7"/>
  <c r="M20" i="7" s="1"/>
  <c r="H20" i="7"/>
  <c r="G20" i="7"/>
  <c r="E20" i="7"/>
  <c r="D20" i="7"/>
  <c r="L19" i="7"/>
  <c r="K19" i="7"/>
  <c r="M19" i="7" s="1"/>
  <c r="H19" i="7"/>
  <c r="G19" i="7"/>
  <c r="F19" i="7"/>
  <c r="E19" i="7"/>
  <c r="D19" i="7"/>
  <c r="K18" i="7"/>
  <c r="M18" i="7" s="1"/>
  <c r="H18" i="7"/>
  <c r="G18" i="7"/>
  <c r="F18" i="7"/>
  <c r="K17" i="7"/>
  <c r="M17" i="7" s="1"/>
  <c r="H17" i="7"/>
  <c r="G17" i="7"/>
  <c r="F17" i="7"/>
  <c r="E17" i="7"/>
  <c r="D17" i="7"/>
  <c r="M16" i="7"/>
  <c r="K16" i="7"/>
  <c r="H16" i="7"/>
  <c r="G16" i="7"/>
  <c r="F16" i="7"/>
  <c r="E16" i="7"/>
  <c r="D16" i="7"/>
  <c r="K15" i="7"/>
  <c r="M15" i="7" s="1"/>
  <c r="H15" i="7"/>
  <c r="G15" i="7"/>
  <c r="F15" i="7"/>
  <c r="E15" i="7"/>
  <c r="D15" i="7"/>
  <c r="M14" i="7"/>
  <c r="K14" i="7"/>
  <c r="H14" i="7"/>
  <c r="G14" i="7"/>
  <c r="F14" i="7"/>
  <c r="E14" i="7"/>
  <c r="D14" i="7"/>
  <c r="K13" i="7"/>
  <c r="M13" i="7" s="1"/>
  <c r="H13" i="7"/>
  <c r="G13" i="7"/>
  <c r="F13" i="7"/>
  <c r="E13" i="7"/>
  <c r="D13" i="7"/>
  <c r="M12" i="7"/>
  <c r="K12" i="7"/>
  <c r="H12" i="7"/>
  <c r="G12" i="7"/>
  <c r="F12" i="7"/>
  <c r="E12" i="7"/>
  <c r="D12" i="7"/>
  <c r="K11" i="7"/>
  <c r="M11" i="7" s="1"/>
  <c r="H11" i="7"/>
  <c r="G11" i="7"/>
  <c r="F11" i="7"/>
  <c r="E11" i="7"/>
  <c r="D11" i="7"/>
  <c r="M10" i="7"/>
  <c r="K10" i="7"/>
  <c r="H10" i="7"/>
  <c r="G10" i="7"/>
  <c r="F10" i="7"/>
  <c r="E10" i="7"/>
  <c r="D10" i="7"/>
  <c r="K9" i="7"/>
  <c r="M9" i="7" s="1"/>
  <c r="H9" i="7"/>
  <c r="G9" i="7"/>
  <c r="F9" i="7"/>
  <c r="E9" i="7"/>
  <c r="D9" i="7"/>
  <c r="M8" i="7"/>
  <c r="K8" i="7"/>
  <c r="H8" i="7"/>
  <c r="G8" i="7"/>
  <c r="F8" i="7"/>
  <c r="E8" i="7"/>
  <c r="D8" i="7"/>
  <c r="K7" i="7"/>
  <c r="M7" i="7" s="1"/>
  <c r="H7" i="7"/>
  <c r="G7" i="7"/>
  <c r="F7" i="7"/>
  <c r="E7" i="7"/>
  <c r="D7" i="7"/>
  <c r="M6" i="7"/>
  <c r="K6" i="7"/>
  <c r="J6" i="7"/>
  <c r="J7" i="7" s="1"/>
  <c r="J8" i="7" s="1"/>
  <c r="J9" i="7" s="1"/>
  <c r="J10" i="7" s="1"/>
  <c r="J11" i="7" s="1"/>
  <c r="J12" i="7" s="1"/>
  <c r="J13" i="7" s="1"/>
  <c r="J14" i="7" s="1"/>
  <c r="J15" i="7" s="1"/>
  <c r="J16" i="7" s="1"/>
  <c r="J17" i="7" s="1"/>
  <c r="J18" i="7" s="1"/>
  <c r="J19" i="7" s="1"/>
  <c r="J20" i="7" s="1"/>
  <c r="J21" i="7" s="1"/>
  <c r="J22" i="7" s="1"/>
  <c r="J23" i="7" s="1"/>
  <c r="J24" i="7" s="1"/>
  <c r="J25" i="7" s="1"/>
  <c r="J26" i="7" s="1"/>
  <c r="J27" i="7" s="1"/>
  <c r="J28" i="7" s="1"/>
  <c r="H6" i="7"/>
  <c r="G6" i="7"/>
  <c r="F6" i="7"/>
  <c r="E6" i="7"/>
  <c r="D6" i="7"/>
  <c r="C6" i="7"/>
  <c r="C7" i="7" s="1"/>
  <c r="C8" i="7" s="1"/>
  <c r="C9" i="7" s="1"/>
  <c r="C10" i="7" s="1"/>
  <c r="C11" i="7" s="1"/>
  <c r="C12" i="7" s="1"/>
  <c r="C13" i="7" s="1"/>
  <c r="C14" i="7" s="1"/>
  <c r="C15" i="7" s="1"/>
  <c r="C16" i="7" s="1"/>
  <c r="C17" i="7" s="1"/>
  <c r="K5" i="7"/>
  <c r="M5" i="7" s="1"/>
  <c r="J5" i="7"/>
  <c r="H5" i="7"/>
  <c r="G5" i="7"/>
  <c r="F5" i="7"/>
  <c r="E5" i="7"/>
  <c r="D5" i="7"/>
  <c r="C5" i="7"/>
  <c r="M4" i="7"/>
  <c r="K4" i="7"/>
  <c r="H4" i="7"/>
  <c r="G4" i="7"/>
  <c r="F4" i="7"/>
  <c r="E4" i="7"/>
  <c r="D4" i="7"/>
  <c r="C122" i="6"/>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18" i="6"/>
  <c r="C119" i="6" s="1"/>
  <c r="C120" i="6" s="1"/>
  <c r="U105" i="6"/>
  <c r="U106" i="6" s="1"/>
  <c r="U107" i="6" s="1"/>
  <c r="U108" i="6" s="1"/>
  <c r="U109" i="6" s="1"/>
  <c r="U110" i="6" s="1"/>
  <c r="U111" i="6" s="1"/>
  <c r="U112" i="6" s="1"/>
  <c r="U113" i="6" s="1"/>
  <c r="U114" i="6" s="1"/>
  <c r="U97" i="6"/>
  <c r="U98" i="6" s="1"/>
  <c r="U99" i="6" s="1"/>
  <c r="U100" i="6" s="1"/>
  <c r="U101" i="6" s="1"/>
  <c r="U102" i="6" s="1"/>
  <c r="U103" i="6" s="1"/>
  <c r="U104" i="6" s="1"/>
  <c r="C93" i="6"/>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A92" i="6"/>
  <c r="A91" i="6"/>
  <c r="A90" i="6"/>
  <c r="C89" i="6"/>
  <c r="C90" i="6" s="1"/>
  <c r="C91" i="6" s="1"/>
  <c r="A89" i="6"/>
  <c r="A88" i="6"/>
  <c r="AJ70" i="6"/>
  <c r="AJ71" i="6" s="1"/>
  <c r="AJ72" i="6" s="1"/>
  <c r="AJ73" i="6" s="1"/>
  <c r="AJ74" i="6" s="1"/>
  <c r="AJ75" i="6" s="1"/>
  <c r="AJ76" i="6" s="1"/>
  <c r="AJ77" i="6" s="1"/>
  <c r="AJ78" i="6" s="1"/>
  <c r="AJ79" i="6" s="1"/>
  <c r="AJ80" i="6" s="1"/>
  <c r="AJ81" i="6" s="1"/>
  <c r="AJ82" i="6" s="1"/>
  <c r="AJ83" i="6" s="1"/>
  <c r="AJ84" i="6" s="1"/>
  <c r="AJ85" i="6" s="1"/>
  <c r="AJ86" i="6" s="1"/>
  <c r="AJ87" i="6" s="1"/>
  <c r="AH88" i="6" s="1"/>
  <c r="AH89" i="6" s="1"/>
  <c r="AJ66" i="6"/>
  <c r="AJ67" i="6" s="1"/>
  <c r="AJ68" i="6" s="1"/>
  <c r="AJ69" i="6" s="1"/>
  <c r="C66" i="6"/>
  <c r="C67" i="6" s="1"/>
  <c r="C68" i="6" s="1"/>
  <c r="C69" i="6" s="1"/>
  <c r="C70" i="6" s="1"/>
  <c r="C71" i="6" s="1"/>
  <c r="C72" i="6" s="1"/>
  <c r="C73" i="6" s="1"/>
  <c r="C74" i="6" s="1"/>
  <c r="C75" i="6" s="1"/>
  <c r="C76" i="6" s="1"/>
  <c r="C77" i="6" s="1"/>
  <c r="C78" i="6" s="1"/>
  <c r="C79" i="6" s="1"/>
  <c r="C80" i="6" s="1"/>
  <c r="C81" i="6" s="1"/>
  <c r="C82" i="6" s="1"/>
  <c r="C83" i="6" s="1"/>
  <c r="C84" i="6" s="1"/>
  <c r="C85" i="6" s="1"/>
  <c r="C86" i="6" s="1"/>
  <c r="C87" i="6" s="1"/>
  <c r="C62" i="6"/>
  <c r="C63" i="6" s="1"/>
  <c r="C64" i="6" s="1"/>
  <c r="A60" i="6"/>
  <c r="T59" i="6"/>
  <c r="A59" i="6"/>
  <c r="A58" i="6"/>
  <c r="A57" i="6"/>
  <c r="A56" i="6"/>
  <c r="A55" i="6"/>
  <c r="A54" i="6"/>
  <c r="A53" i="6"/>
  <c r="A52" i="6"/>
  <c r="A51" i="6"/>
  <c r="A50" i="6"/>
  <c r="A49" i="6"/>
  <c r="A48" i="6"/>
  <c r="A47" i="6"/>
  <c r="A46" i="6"/>
  <c r="A45" i="6"/>
  <c r="A44" i="6"/>
  <c r="A43" i="6"/>
  <c r="AR42" i="6"/>
  <c r="AQ42" i="6"/>
  <c r="A42" i="6"/>
  <c r="AR41" i="6"/>
  <c r="V41" i="6"/>
  <c r="T41" i="6"/>
  <c r="A41" i="6"/>
  <c r="AR40" i="6"/>
  <c r="V40" i="6"/>
  <c r="T40" i="6"/>
  <c r="A40" i="6"/>
  <c r="AR39" i="6"/>
  <c r="AQ39" i="6"/>
  <c r="V39" i="6"/>
  <c r="T39" i="6"/>
  <c r="AR38" i="6"/>
  <c r="T38" i="6"/>
  <c r="AR37" i="6"/>
  <c r="T37" i="6"/>
  <c r="AR36" i="6"/>
  <c r="AO36" i="6"/>
  <c r="T36" i="6"/>
  <c r="AR35" i="6"/>
  <c r="AN35" i="6"/>
  <c r="AM35" i="6"/>
  <c r="T35" i="6"/>
  <c r="O35" i="6"/>
  <c r="AR34" i="6"/>
  <c r="AP34" i="6"/>
  <c r="AO34" i="6"/>
  <c r="AN34" i="6"/>
  <c r="AM34" i="6"/>
  <c r="T34" i="6"/>
  <c r="AR33" i="6"/>
  <c r="AP33" i="6"/>
  <c r="AO33" i="6"/>
  <c r="AN33" i="6"/>
  <c r="AM33" i="6"/>
  <c r="AL33" i="6"/>
  <c r="AL34" i="6" s="1"/>
  <c r="AL35" i="6" s="1"/>
  <c r="AL36" i="6" s="1"/>
  <c r="AL37" i="6" s="1"/>
  <c r="AL38" i="6" s="1"/>
  <c r="AL39" i="6" s="1"/>
  <c r="AL40" i="6" s="1"/>
  <c r="AL41" i="6" s="1"/>
  <c r="AL42" i="6" s="1"/>
  <c r="AL43" i="6" s="1"/>
  <c r="AL44" i="6" s="1"/>
  <c r="AL45" i="6" s="1"/>
  <c r="AL46" i="6" s="1"/>
  <c r="AL47" i="6" s="1"/>
  <c r="AL48" i="6" s="1"/>
  <c r="AL49" i="6" s="1"/>
  <c r="AL50" i="6" s="1"/>
  <c r="AL51" i="6" s="1"/>
  <c r="AL52" i="6" s="1"/>
  <c r="AL53" i="6" s="1"/>
  <c r="AL54" i="6" s="1"/>
  <c r="AL55" i="6" s="1"/>
  <c r="AI59" i="6" s="1"/>
  <c r="X33" i="6"/>
  <c r="P33" i="6"/>
  <c r="P34" i="6" s="1"/>
  <c r="P35" i="6" s="1"/>
  <c r="P36" i="6" s="1"/>
  <c r="P37" i="6" s="1"/>
  <c r="P38" i="6" s="1"/>
  <c r="P39" i="6" s="1"/>
  <c r="P40" i="6" s="1"/>
  <c r="P41" i="6" s="1"/>
  <c r="P42" i="6" s="1"/>
  <c r="P43" i="6" s="1"/>
  <c r="P44" i="6" s="1"/>
  <c r="P45" i="6" s="1"/>
  <c r="P46" i="6" s="1"/>
  <c r="P47" i="6" s="1"/>
  <c r="P48" i="6" s="1"/>
  <c r="P49" i="6" s="1"/>
  <c r="P50" i="6" s="1"/>
  <c r="P51" i="6" s="1"/>
  <c r="P52" i="6" s="1"/>
  <c r="P53" i="6" s="1"/>
  <c r="P54" i="6" s="1"/>
  <c r="P55" i="6" s="1"/>
  <c r="AR32" i="6"/>
  <c r="AP32" i="6"/>
  <c r="AO32" i="6"/>
  <c r="AN32" i="6"/>
  <c r="AM32" i="6"/>
  <c r="X32" i="6"/>
  <c r="P32" i="6"/>
  <c r="X31" i="6"/>
  <c r="AE30" i="6"/>
  <c r="X30" i="6"/>
  <c r="U30" i="6"/>
  <c r="S30" i="6"/>
  <c r="R30" i="6"/>
  <c r="AV29" i="6"/>
  <c r="AR29" i="6"/>
  <c r="AP29" i="6"/>
  <c r="AE29" i="6"/>
  <c r="U29" i="6"/>
  <c r="AQ29" i="6" s="1"/>
  <c r="R29" i="6"/>
  <c r="AV28" i="6"/>
  <c r="AR28" i="6"/>
  <c r="AP28" i="6"/>
  <c r="AE28" i="6"/>
  <c r="AC28" i="6"/>
  <c r="X28" i="6"/>
  <c r="U28" i="6"/>
  <c r="AQ28" i="6" s="1"/>
  <c r="S28" i="6"/>
  <c r="R28" i="6"/>
  <c r="AV27" i="6"/>
  <c r="AR27" i="6"/>
  <c r="AP27" i="6"/>
  <c r="AC27" i="6"/>
  <c r="X27" i="6"/>
  <c r="U27" i="6"/>
  <c r="AQ27" i="6" s="1"/>
  <c r="S27" i="6"/>
  <c r="R27" i="6"/>
  <c r="AV26" i="6"/>
  <c r="AR26" i="6"/>
  <c r="AP26" i="6"/>
  <c r="AC26" i="6"/>
  <c r="X26" i="6"/>
  <c r="U26" i="6"/>
  <c r="S26" i="6"/>
  <c r="R26" i="6"/>
  <c r="Q26" i="6"/>
  <c r="AV25" i="6"/>
  <c r="AR25" i="6"/>
  <c r="AP25" i="6"/>
  <c r="AC25" i="6"/>
  <c r="X25" i="6"/>
  <c r="U25" i="6"/>
  <c r="S25" i="6"/>
  <c r="R25" i="6"/>
  <c r="Q25" i="6"/>
  <c r="AV24" i="6"/>
  <c r="AR24" i="6"/>
  <c r="AP24" i="6"/>
  <c r="AC24" i="6"/>
  <c r="X24" i="6"/>
  <c r="U24" i="6"/>
  <c r="S24" i="6"/>
  <c r="R24" i="6"/>
  <c r="Q24" i="6"/>
  <c r="AV23" i="6"/>
  <c r="AR23" i="6"/>
  <c r="AP23" i="6"/>
  <c r="AE23" i="6"/>
  <c r="AC23" i="6"/>
  <c r="X23" i="6"/>
  <c r="U23" i="6"/>
  <c r="AQ23" i="6" s="1"/>
  <c r="S23" i="6"/>
  <c r="R23" i="6"/>
  <c r="Q23" i="6"/>
  <c r="AV22" i="6"/>
  <c r="AR22" i="6"/>
  <c r="AP22" i="6"/>
  <c r="AC22" i="6"/>
  <c r="X22" i="6"/>
  <c r="U22" i="6"/>
  <c r="S22" i="6"/>
  <c r="R22" i="6"/>
  <c r="Q22" i="6"/>
  <c r="O22" i="6"/>
  <c r="AV21" i="6"/>
  <c r="AR21" i="6"/>
  <c r="AP21" i="6"/>
  <c r="AC21" i="6"/>
  <c r="Q21" i="6"/>
  <c r="AV20" i="6"/>
  <c r="AR20" i="6"/>
  <c r="AP20" i="6"/>
  <c r="AC20" i="6"/>
  <c r="Q20" i="6"/>
  <c r="AV19" i="6"/>
  <c r="AU19" i="6"/>
  <c r="AR19" i="6"/>
  <c r="AP19" i="6"/>
  <c r="AC19" i="6"/>
  <c r="Q19" i="6"/>
  <c r="AV18" i="6"/>
  <c r="AU18" i="6"/>
  <c r="AR18" i="6"/>
  <c r="AP18" i="6"/>
  <c r="AC18" i="6"/>
  <c r="Q18" i="6"/>
  <c r="AV17" i="6"/>
  <c r="AU17" i="6"/>
  <c r="AR17" i="6"/>
  <c r="AP17" i="6"/>
  <c r="AC17" i="6"/>
  <c r="Q17" i="6"/>
  <c r="AV16" i="6"/>
  <c r="AU16" i="6"/>
  <c r="AR16" i="6"/>
  <c r="AP16" i="6"/>
  <c r="AC16" i="6"/>
  <c r="Q16" i="6"/>
  <c r="AV15" i="6"/>
  <c r="AU15" i="6"/>
  <c r="AR15" i="6"/>
  <c r="AP15" i="6"/>
  <c r="AO42" i="6" s="1"/>
  <c r="AC15" i="6"/>
  <c r="Q15" i="6"/>
  <c r="AV14" i="6"/>
  <c r="AU14" i="6"/>
  <c r="AR14" i="6"/>
  <c r="AQ41" i="6" s="1"/>
  <c r="AP14" i="6"/>
  <c r="AO41" i="6" s="1"/>
  <c r="AC14" i="6"/>
  <c r="Q14" i="6"/>
  <c r="Q40" i="6" s="1"/>
  <c r="AV13" i="6"/>
  <c r="AU13" i="6"/>
  <c r="AR13" i="6"/>
  <c r="AQ40" i="6" s="1"/>
  <c r="AP13" i="6"/>
  <c r="AO40" i="6" s="1"/>
  <c r="AC13" i="6"/>
  <c r="Q13" i="6"/>
  <c r="Q39" i="6" s="1"/>
  <c r="AV12" i="6"/>
  <c r="AU12" i="6"/>
  <c r="AR12" i="6"/>
  <c r="AP12" i="6"/>
  <c r="AO39" i="6" s="1"/>
  <c r="AC12" i="6"/>
  <c r="Q12" i="6"/>
  <c r="AV11" i="6"/>
  <c r="AU11" i="6"/>
  <c r="AR11" i="6"/>
  <c r="AQ38" i="6" s="1"/>
  <c r="AP11" i="6"/>
  <c r="AO38" i="6" s="1"/>
  <c r="AC11" i="6"/>
  <c r="Q11" i="6"/>
  <c r="AV10" i="6"/>
  <c r="AU10" i="6"/>
  <c r="AR10" i="6"/>
  <c r="AQ37" i="6" s="1"/>
  <c r="AP10" i="6"/>
  <c r="AO37" i="6" s="1"/>
  <c r="AC10" i="6"/>
  <c r="Q10" i="6"/>
  <c r="AV9" i="6"/>
  <c r="AU9" i="6"/>
  <c r="AR9" i="6"/>
  <c r="AQ36" i="6" s="1"/>
  <c r="AP9" i="6"/>
  <c r="AC9" i="6"/>
  <c r="Q9" i="6"/>
  <c r="Q35" i="6" s="1"/>
  <c r="AV8" i="6"/>
  <c r="AU8" i="6"/>
  <c r="AR8" i="6"/>
  <c r="AQ35" i="6" s="1"/>
  <c r="AP8" i="6"/>
  <c r="AO35" i="6" s="1"/>
  <c r="AC8" i="6"/>
  <c r="Y8" i="6"/>
  <c r="Y34" i="6" s="1"/>
  <c r="Q8" i="6"/>
  <c r="AV7" i="6"/>
  <c r="AU7" i="6"/>
  <c r="AR7" i="6"/>
  <c r="AQ34" i="6" s="1"/>
  <c r="AC7" i="6"/>
  <c r="Y7" i="6"/>
  <c r="Y33" i="6" s="1"/>
  <c r="Q7" i="6"/>
  <c r="AV6" i="6"/>
  <c r="AU6" i="6"/>
  <c r="AR6" i="6"/>
  <c r="AQ33" i="6" s="1"/>
  <c r="AM6" i="6"/>
  <c r="AM7" i="6" s="1"/>
  <c r="AM8" i="6" s="1"/>
  <c r="AM9" i="6" s="1"/>
  <c r="AM10" i="6" s="1"/>
  <c r="AM11" i="6" s="1"/>
  <c r="AM12" i="6" s="1"/>
  <c r="AM13" i="6" s="1"/>
  <c r="AM14" i="6" s="1"/>
  <c r="AM15" i="6" s="1"/>
  <c r="AM16" i="6" s="1"/>
  <c r="AM17" i="6" s="1"/>
  <c r="AM18" i="6" s="1"/>
  <c r="AM19" i="6" s="1"/>
  <c r="AM20" i="6" s="1"/>
  <c r="AM21" i="6" s="1"/>
  <c r="AM22" i="6" s="1"/>
  <c r="AM23" i="6" s="1"/>
  <c r="AM24" i="6" s="1"/>
  <c r="AM25" i="6" s="1"/>
  <c r="AM26" i="6" s="1"/>
  <c r="AM27" i="6" s="1"/>
  <c r="AM28" i="6" s="1"/>
  <c r="AM29" i="6" s="1"/>
  <c r="AC6" i="6"/>
  <c r="AA6" i="6"/>
  <c r="AA32" i="6" s="1"/>
  <c r="Q6" i="6"/>
  <c r="P6" i="6"/>
  <c r="P7" i="6" s="1"/>
  <c r="P8" i="6" s="1"/>
  <c r="P9" i="6" s="1"/>
  <c r="P10" i="6" s="1"/>
  <c r="P11" i="6" s="1"/>
  <c r="P12" i="6" s="1"/>
  <c r="P13" i="6" s="1"/>
  <c r="P14" i="6" s="1"/>
  <c r="P15" i="6" s="1"/>
  <c r="P16" i="6" s="1"/>
  <c r="P17" i="6" s="1"/>
  <c r="P18" i="6" s="1"/>
  <c r="P19" i="6" s="1"/>
  <c r="P20" i="6" s="1"/>
  <c r="P21" i="6" s="1"/>
  <c r="P22" i="6" s="1"/>
  <c r="P23" i="6" s="1"/>
  <c r="P24" i="6" s="1"/>
  <c r="P25" i="6" s="1"/>
  <c r="P26" i="6" s="1"/>
  <c r="P27" i="6" s="1"/>
  <c r="P28" i="6" s="1"/>
  <c r="P29" i="6" s="1"/>
  <c r="C6" i="6"/>
  <c r="AV5" i="6"/>
  <c r="AU5" i="6"/>
  <c r="AR5" i="6"/>
  <c r="AQ32" i="6" s="1"/>
  <c r="AC5" i="6"/>
  <c r="AB5" i="6"/>
  <c r="AB31" i="6" s="1"/>
  <c r="AA5" i="6"/>
  <c r="AA31" i="6" s="1"/>
  <c r="Y5" i="6"/>
  <c r="Y31" i="6" s="1"/>
  <c r="Q5" i="6"/>
  <c r="L117" i="5"/>
  <c r="AA117" i="5" s="1"/>
  <c r="L116" i="5"/>
  <c r="AA116" i="5" s="1"/>
  <c r="L115" i="5"/>
  <c r="AA115" i="5" s="1"/>
  <c r="L114" i="5"/>
  <c r="AA114" i="5" s="1"/>
  <c r="L113" i="5"/>
  <c r="AA113" i="5" s="1"/>
  <c r="L112" i="5"/>
  <c r="AA112" i="5" s="1"/>
  <c r="L111" i="5"/>
  <c r="AA111" i="5" s="1"/>
  <c r="L110" i="5"/>
  <c r="M110" i="5" s="1"/>
  <c r="AB110" i="5" s="1"/>
  <c r="L109" i="5"/>
  <c r="M109" i="5" s="1"/>
  <c r="AB109" i="5" s="1"/>
  <c r="L108" i="5"/>
  <c r="M108" i="5" s="1"/>
  <c r="AB108" i="5" s="1"/>
  <c r="L107" i="5"/>
  <c r="M107" i="5" s="1"/>
  <c r="AB107" i="5" s="1"/>
  <c r="L106" i="5"/>
  <c r="M106" i="5" s="1"/>
  <c r="AB106" i="5" s="1"/>
  <c r="L105" i="5"/>
  <c r="M105" i="5" s="1"/>
  <c r="AB105" i="5" s="1"/>
  <c r="L104" i="5"/>
  <c r="M104" i="5" s="1"/>
  <c r="AB104" i="5" s="1"/>
  <c r="L103" i="5"/>
  <c r="M103" i="5" s="1"/>
  <c r="AB103" i="5" s="1"/>
  <c r="L102" i="5"/>
  <c r="M102" i="5" s="1"/>
  <c r="AB102" i="5" s="1"/>
  <c r="L101" i="5"/>
  <c r="M101" i="5" s="1"/>
  <c r="AB101" i="5" s="1"/>
  <c r="L100" i="5"/>
  <c r="M100" i="5" s="1"/>
  <c r="AB100" i="5" s="1"/>
  <c r="L99" i="5"/>
  <c r="M99" i="5" s="1"/>
  <c r="AB99" i="5" s="1"/>
  <c r="L98" i="5"/>
  <c r="M98" i="5" s="1"/>
  <c r="AB98" i="5" s="1"/>
  <c r="L97" i="5"/>
  <c r="M97" i="5" s="1"/>
  <c r="AB97" i="5" s="1"/>
  <c r="M96" i="5"/>
  <c r="AB96" i="5" s="1"/>
  <c r="L96" i="5"/>
  <c r="U79" i="5"/>
  <c r="U78" i="5"/>
  <c r="U77" i="5"/>
  <c r="U76" i="5"/>
  <c r="U75" i="5"/>
  <c r="U74" i="5"/>
  <c r="U73" i="5"/>
  <c r="W72" i="5"/>
  <c r="U72" i="5"/>
  <c r="U71" i="5"/>
  <c r="U70" i="5"/>
  <c r="S70" i="5"/>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U69" i="5"/>
  <c r="BK67" i="5"/>
  <c r="BL67" i="5" s="1"/>
  <c r="BO66" i="5"/>
  <c r="BP66" i="5" s="1"/>
  <c r="BO65" i="5"/>
  <c r="BP65" i="5" s="1"/>
  <c r="BY64" i="5"/>
  <c r="BX64" i="5"/>
  <c r="BX63" i="5"/>
  <c r="BY63" i="5" s="1"/>
  <c r="BX62" i="5"/>
  <c r="BY62" i="5" s="1"/>
  <c r="BX61" i="5"/>
  <c r="BY61" i="5" s="1"/>
  <c r="BY60" i="5"/>
  <c r="BX60" i="5"/>
  <c r="BX59" i="5"/>
  <c r="BY59" i="5" s="1"/>
  <c r="BX58" i="5"/>
  <c r="BY58" i="5" s="1"/>
  <c r="BX57" i="5"/>
  <c r="BY57" i="5" s="1"/>
  <c r="BX56" i="5"/>
  <c r="BY56" i="5" s="1"/>
  <c r="BX55" i="5"/>
  <c r="BY55" i="5" s="1"/>
  <c r="BX54" i="5"/>
  <c r="BY54" i="5" s="1"/>
  <c r="BX53" i="5"/>
  <c r="BY53" i="5" s="1"/>
  <c r="BX52" i="5"/>
  <c r="BY52" i="5" s="1"/>
  <c r="Q15" i="8"/>
  <c r="V52" i="5"/>
  <c r="R52" i="5"/>
  <c r="M15" i="8" s="1"/>
  <c r="BX51" i="5"/>
  <c r="BY51" i="5" s="1"/>
  <c r="Q14" i="8"/>
  <c r="AN51" i="5"/>
  <c r="V51" i="5"/>
  <c r="T51" i="5"/>
  <c r="U14" i="8" s="1"/>
  <c r="N14" i="8" s="1"/>
  <c r="R51" i="5"/>
  <c r="F51" i="5"/>
  <c r="AP51" i="5" s="1"/>
  <c r="Q13" i="8"/>
  <c r="AN50" i="5"/>
  <c r="AN49" i="5" s="1"/>
  <c r="AN48" i="5" s="1"/>
  <c r="AN47" i="5" s="1"/>
  <c r="AN46" i="5" s="1"/>
  <c r="AN45" i="5" s="1"/>
  <c r="AN44" i="5" s="1"/>
  <c r="AN43" i="5" s="1"/>
  <c r="V50" i="5"/>
  <c r="T50" i="5"/>
  <c r="R50" i="5"/>
  <c r="M13" i="8" s="1"/>
  <c r="F50" i="5"/>
  <c r="AP50" i="5" s="1"/>
  <c r="Q12" i="8"/>
  <c r="V49" i="5"/>
  <c r="T49" i="5"/>
  <c r="U12" i="8" s="1"/>
  <c r="N12" i="8" s="1"/>
  <c r="R49" i="5"/>
  <c r="F49" i="5"/>
  <c r="AP49" i="5" s="1"/>
  <c r="BF48" i="5"/>
  <c r="Q11" i="8"/>
  <c r="T48" i="5"/>
  <c r="U11" i="8" s="1"/>
  <c r="N11" i="8" s="1"/>
  <c r="R48" i="5"/>
  <c r="F48" i="5"/>
  <c r="AP48" i="5" s="1"/>
  <c r="BN47" i="5"/>
  <c r="BF47" i="5"/>
  <c r="Q10" i="8"/>
  <c r="T47" i="5"/>
  <c r="U10" i="8" s="1"/>
  <c r="N10" i="8" s="1"/>
  <c r="R47" i="5"/>
  <c r="M10" i="8" s="1"/>
  <c r="F47" i="5"/>
  <c r="BO46" i="5"/>
  <c r="BF46" i="5"/>
  <c r="BM45" i="5"/>
  <c r="BK45" i="5"/>
  <c r="BK46" i="5" s="1"/>
  <c r="BF45" i="5"/>
  <c r="V45" i="5"/>
  <c r="R45" i="5"/>
  <c r="M8" i="8" s="1"/>
  <c r="K45" i="5"/>
  <c r="F45" i="5"/>
  <c r="AP45" i="5" s="1"/>
  <c r="BF44" i="5"/>
  <c r="V44" i="5"/>
  <c r="R44" i="5"/>
  <c r="M7" i="8" s="1"/>
  <c r="F44" i="5"/>
  <c r="Q6" i="8"/>
  <c r="V43" i="5"/>
  <c r="L43" i="5"/>
  <c r="F43" i="5"/>
  <c r="AP43" i="5" s="1"/>
  <c r="Q5" i="8"/>
  <c r="AN42" i="5"/>
  <c r="V42" i="5"/>
  <c r="R42" i="5"/>
  <c r="M5" i="8" s="1"/>
  <c r="L42" i="5"/>
  <c r="D5" i="8" s="1"/>
  <c r="F42" i="5"/>
  <c r="AP42" i="5" s="1"/>
  <c r="DB41" i="5"/>
  <c r="CZ40" i="5"/>
  <c r="BK40" i="5"/>
  <c r="BO39" i="5"/>
  <c r="BN37" i="5"/>
  <c r="Z37" i="5"/>
  <c r="K36" i="5"/>
  <c r="CR34" i="5"/>
  <c r="CM34" i="5"/>
  <c r="V77" i="5" s="1"/>
  <c r="CL34" i="5"/>
  <c r="CJ34" i="5"/>
  <c r="CI34" i="5"/>
  <c r="CG34" i="5"/>
  <c r="CG37" i="5" s="1"/>
  <c r="BZ34" i="5"/>
  <c r="BY34" i="5"/>
  <c r="BR34" i="5"/>
  <c r="BQ34" i="5"/>
  <c r="BP34" i="5"/>
  <c r="BO34" i="5"/>
  <c r="BN34" i="5"/>
  <c r="BM34" i="5"/>
  <c r="BL34" i="5"/>
  <c r="BK34" i="5"/>
  <c r="BG34" i="5"/>
  <c r="AD30" i="6" s="1"/>
  <c r="BF34" i="5"/>
  <c r="BE34" i="5"/>
  <c r="BB34" i="5"/>
  <c r="AZ34" i="5"/>
  <c r="AY34" i="5"/>
  <c r="AL34" i="5"/>
  <c r="AK34" i="5"/>
  <c r="BV34" i="5" s="1"/>
  <c r="AI34" i="5"/>
  <c r="AG34" i="5"/>
  <c r="AE34" i="5"/>
  <c r="AC34" i="5" s="1"/>
  <c r="AD34" i="5"/>
  <c r="Y34" i="5"/>
  <c r="X34" i="5"/>
  <c r="U34" i="5"/>
  <c r="S34" i="5" s="1"/>
  <c r="T34" i="5"/>
  <c r="R34" i="5"/>
  <c r="O34" i="5"/>
  <c r="G34" i="5" s="1"/>
  <c r="DF33" i="5"/>
  <c r="DA37" i="5" s="1"/>
  <c r="CR33" i="5"/>
  <c r="CM33" i="5"/>
  <c r="V76" i="5" s="1"/>
  <c r="CL33" i="5"/>
  <c r="CJ33" i="5"/>
  <c r="CI33" i="5"/>
  <c r="AA29" i="6" s="1"/>
  <c r="CG33" i="5"/>
  <c r="BZ33" i="5"/>
  <c r="BY33" i="5" s="1"/>
  <c r="BR33" i="5"/>
  <c r="BQ33" i="5"/>
  <c r="BP33" i="5"/>
  <c r="BK41" i="5" s="1"/>
  <c r="BO33" i="5"/>
  <c r="BN33" i="5"/>
  <c r="EA33" i="5" s="1"/>
  <c r="BM33" i="5"/>
  <c r="BW33" i="5" s="1"/>
  <c r="BL33" i="5"/>
  <c r="BG33" i="5"/>
  <c r="AD29" i="6" s="1"/>
  <c r="BF33" i="5"/>
  <c r="AI33" i="5" s="1"/>
  <c r="BE33" i="5"/>
  <c r="BB33" i="5"/>
  <c r="AZ33" i="5"/>
  <c r="AY33" i="5"/>
  <c r="AK33" i="5"/>
  <c r="AG33" i="5"/>
  <c r="AD33" i="5"/>
  <c r="AC33" i="5" s="1"/>
  <c r="Y33" i="5"/>
  <c r="W33" i="5" s="1"/>
  <c r="X33" i="5"/>
  <c r="U33" i="5"/>
  <c r="T33" i="5"/>
  <c r="S33" i="5" s="1"/>
  <c r="CP33" i="5" s="1"/>
  <c r="R33" i="5"/>
  <c r="O33" i="5"/>
  <c r="K33" i="5"/>
  <c r="J33" i="5"/>
  <c r="I33" i="5"/>
  <c r="H33" i="5"/>
  <c r="Q29" i="6" s="1"/>
  <c r="G33" i="5"/>
  <c r="EB32" i="5"/>
  <c r="DF32" i="5"/>
  <c r="CR32" i="5"/>
  <c r="CJ32" i="5"/>
  <c r="CK32" i="5" s="1"/>
  <c r="CI32" i="5"/>
  <c r="AA28" i="6" s="1"/>
  <c r="CG32" i="5"/>
  <c r="BZ32" i="5"/>
  <c r="BY32" i="5"/>
  <c r="BU32" i="5"/>
  <c r="BR32" i="5"/>
  <c r="BQ32" i="5"/>
  <c r="BP32" i="5"/>
  <c r="BO32" i="5"/>
  <c r="BN32" i="5"/>
  <c r="BM32" i="5"/>
  <c r="BL32" i="5"/>
  <c r="BF32" i="5"/>
  <c r="AI32" i="5" s="1"/>
  <c r="BE32" i="5"/>
  <c r="BB32" i="5"/>
  <c r="AZ32" i="5"/>
  <c r="AY32" i="5"/>
  <c r="AK32" i="5"/>
  <c r="AG32" i="5"/>
  <c r="AD32" i="5"/>
  <c r="AC32" i="5" s="1"/>
  <c r="Y32" i="5"/>
  <c r="X32" i="5"/>
  <c r="W32" i="5" s="1"/>
  <c r="DP17" i="5" s="1"/>
  <c r="DV17" i="5" s="1"/>
  <c r="U32" i="5"/>
  <c r="S32" i="5" s="1"/>
  <c r="T32" i="5"/>
  <c r="R32" i="5"/>
  <c r="O32" i="5"/>
  <c r="J32" i="5"/>
  <c r="I32" i="5"/>
  <c r="F39" i="5" s="1"/>
  <c r="H32" i="5"/>
  <c r="Q28" i="6" s="1"/>
  <c r="G32" i="5"/>
  <c r="DF31" i="5"/>
  <c r="CJ31" i="5"/>
  <c r="CI31" i="5"/>
  <c r="AA27" i="6" s="1"/>
  <c r="CG31" i="5"/>
  <c r="BZ31" i="5"/>
  <c r="BY31" i="5" s="1"/>
  <c r="BR31" i="5"/>
  <c r="BQ31" i="5"/>
  <c r="BP31" i="5"/>
  <c r="BX31" i="5" s="1"/>
  <c r="BO31" i="5"/>
  <c r="BJ46" i="5" s="1"/>
  <c r="BM31" i="5"/>
  <c r="BW31" i="5" s="1"/>
  <c r="BL31" i="5"/>
  <c r="BE31" i="5"/>
  <c r="BB31" i="5"/>
  <c r="AZ31" i="5"/>
  <c r="AY31" i="5"/>
  <c r="AX31" i="5" s="1"/>
  <c r="AU31" i="5"/>
  <c r="AT31" i="5" s="1"/>
  <c r="AK31" i="5"/>
  <c r="AH31" i="5"/>
  <c r="AG31" i="5"/>
  <c r="AD31" i="5"/>
  <c r="AC31" i="5" s="1"/>
  <c r="Y31" i="5"/>
  <c r="X31" i="5"/>
  <c r="W31" i="5" s="1"/>
  <c r="DP16" i="5" s="1"/>
  <c r="DR16" i="5" s="1"/>
  <c r="U31" i="5"/>
  <c r="T31" i="5"/>
  <c r="S31" i="5" s="1"/>
  <c r="R31" i="5"/>
  <c r="O31" i="5"/>
  <c r="J31" i="5"/>
  <c r="H31" i="5"/>
  <c r="Q27" i="6" s="1"/>
  <c r="G31" i="5"/>
  <c r="EB30" i="5"/>
  <c r="EA30" i="5"/>
  <c r="DF30" i="5"/>
  <c r="DQ16" i="5" s="1"/>
  <c r="CJ30" i="5"/>
  <c r="CI30" i="5"/>
  <c r="AA26" i="6" s="1"/>
  <c r="BY30" i="5"/>
  <c r="BW30" i="5"/>
  <c r="AW30" i="5" s="1"/>
  <c r="AX30" i="5"/>
  <c r="AU30" i="5"/>
  <c r="AT30" i="5"/>
  <c r="AK30" i="5"/>
  <c r="AH30" i="5"/>
  <c r="AC30" i="5"/>
  <c r="W30" i="5"/>
  <c r="S30" i="5"/>
  <c r="CP30" i="5" s="1"/>
  <c r="G30" i="5"/>
  <c r="EB29" i="5"/>
  <c r="EA29" i="5"/>
  <c r="DE29" i="5"/>
  <c r="DD29" i="5"/>
  <c r="DC29" i="5"/>
  <c r="DB29" i="5"/>
  <c r="CY39" i="5" s="1"/>
  <c r="CK29" i="5"/>
  <c r="CJ29" i="5"/>
  <c r="CI29" i="5"/>
  <c r="AA25" i="6" s="1"/>
  <c r="BY29" i="5"/>
  <c r="BW29" i="5"/>
  <c r="AX29" i="5"/>
  <c r="AU29" i="5"/>
  <c r="AT29" i="5" s="1"/>
  <c r="AH29" i="5"/>
  <c r="AN29" i="5" s="1"/>
  <c r="AC29" i="5"/>
  <c r="W29" i="5"/>
  <c r="S29" i="5"/>
  <c r="G29" i="5"/>
  <c r="EB28" i="5"/>
  <c r="EA28" i="5"/>
  <c r="DE28" i="5"/>
  <c r="DD28" i="5"/>
  <c r="DC28" i="5"/>
  <c r="DB28" i="5"/>
  <c r="CY28" i="5"/>
  <c r="CX28" i="5"/>
  <c r="CW28" i="5"/>
  <c r="CK28" i="5"/>
  <c r="CJ28" i="5"/>
  <c r="CI28" i="5"/>
  <c r="AA24" i="6" s="1"/>
  <c r="BY28" i="5"/>
  <c r="BW28" i="5"/>
  <c r="AX28" i="5"/>
  <c r="AU28" i="5"/>
  <c r="AT28" i="5" s="1"/>
  <c r="AH28" i="5"/>
  <c r="AM28" i="5" s="1"/>
  <c r="AC28" i="5"/>
  <c r="W28" i="5"/>
  <c r="S28" i="5"/>
  <c r="G28" i="5"/>
  <c r="EB27" i="5"/>
  <c r="EA27" i="5"/>
  <c r="DS27" i="5"/>
  <c r="DE27" i="5"/>
  <c r="DD27" i="5"/>
  <c r="DC27" i="5"/>
  <c r="DB27" i="5"/>
  <c r="DA27" i="5"/>
  <c r="CZ27" i="5"/>
  <c r="CY27" i="5"/>
  <c r="CX27" i="5"/>
  <c r="CW27" i="5"/>
  <c r="CJ27" i="5"/>
  <c r="CI27" i="5"/>
  <c r="AA23" i="6" s="1"/>
  <c r="BY27" i="5"/>
  <c r="BW27" i="5"/>
  <c r="AW27" i="5" s="1"/>
  <c r="AX27" i="5"/>
  <c r="AU27" i="5"/>
  <c r="AT27" i="5"/>
  <c r="AH27" i="5"/>
  <c r="AN27" i="5" s="1"/>
  <c r="AC27" i="5"/>
  <c r="W27" i="5"/>
  <c r="DP12" i="5" s="1"/>
  <c r="S27" i="5"/>
  <c r="G27" i="5"/>
  <c r="EB26" i="5"/>
  <c r="EA26" i="5"/>
  <c r="DE26" i="5"/>
  <c r="DD26" i="5"/>
  <c r="DC26" i="5"/>
  <c r="DB26" i="5"/>
  <c r="DA26" i="5"/>
  <c r="CZ26" i="5"/>
  <c r="CY26" i="5"/>
  <c r="CX26" i="5"/>
  <c r="CW26" i="5"/>
  <c r="CK26" i="5"/>
  <c r="CJ26" i="5"/>
  <c r="CI26" i="5"/>
  <c r="AA22" i="6" s="1"/>
  <c r="BY26" i="5"/>
  <c r="BW26" i="5"/>
  <c r="AX26" i="5"/>
  <c r="AU26" i="5"/>
  <c r="AT26" i="5" s="1"/>
  <c r="AH26" i="5"/>
  <c r="AM26" i="5" s="1"/>
  <c r="AC26" i="5"/>
  <c r="Z26" i="5"/>
  <c r="W26" i="5"/>
  <c r="DP11" i="5" s="1"/>
  <c r="S26" i="5"/>
  <c r="G26" i="5"/>
  <c r="EB25" i="5"/>
  <c r="EA25" i="5"/>
  <c r="DE25" i="5"/>
  <c r="DW12" i="5" s="1"/>
  <c r="DD25" i="5"/>
  <c r="DC25" i="5"/>
  <c r="DB25" i="5"/>
  <c r="DA25" i="5"/>
  <c r="CZ25" i="5"/>
  <c r="CY25" i="5"/>
  <c r="CX25" i="5"/>
  <c r="CW25" i="5"/>
  <c r="CK25" i="5"/>
  <c r="CJ25" i="5"/>
  <c r="CI25" i="5"/>
  <c r="AA21" i="6" s="1"/>
  <c r="BY25" i="5"/>
  <c r="BW25" i="5"/>
  <c r="AX25" i="5"/>
  <c r="AU25" i="5"/>
  <c r="AT25" i="5" s="1"/>
  <c r="AM25" i="5"/>
  <c r="AH25" i="5"/>
  <c r="AN25" i="5" s="1"/>
  <c r="AC25" i="5"/>
  <c r="Z25" i="5"/>
  <c r="W25" i="5"/>
  <c r="DP10" i="5" s="1"/>
  <c r="S25" i="5"/>
  <c r="G25" i="5"/>
  <c r="EB24" i="5"/>
  <c r="EA24" i="5"/>
  <c r="DE24" i="5"/>
  <c r="DD24" i="5"/>
  <c r="DC24" i="5"/>
  <c r="DB24" i="5"/>
  <c r="DA24" i="5"/>
  <c r="CZ24" i="5"/>
  <c r="CY24" i="5"/>
  <c r="CX24" i="5"/>
  <c r="CW24" i="5"/>
  <c r="CJ24" i="5"/>
  <c r="CK24" i="5" s="1"/>
  <c r="CI24" i="5"/>
  <c r="AA20" i="6" s="1"/>
  <c r="BY24" i="5"/>
  <c r="BW24" i="5"/>
  <c r="AX24" i="5"/>
  <c r="AU24" i="5"/>
  <c r="AT24" i="5" s="1"/>
  <c r="AH24" i="5"/>
  <c r="AN24" i="5" s="1"/>
  <c r="AO24" i="5" s="1"/>
  <c r="AC24" i="5"/>
  <c r="Z24" i="5"/>
  <c r="W24" i="5"/>
  <c r="DP9" i="5" s="1"/>
  <c r="S24" i="5"/>
  <c r="G24" i="5"/>
  <c r="EB23" i="5"/>
  <c r="EA23" i="5"/>
  <c r="DE23" i="5"/>
  <c r="DP22" i="5" s="1"/>
  <c r="DD23" i="5"/>
  <c r="DC23" i="5"/>
  <c r="DB23" i="5"/>
  <c r="DA23" i="5"/>
  <c r="CZ23" i="5"/>
  <c r="CY23" i="5"/>
  <c r="CX23" i="5"/>
  <c r="CW23" i="5"/>
  <c r="CJ23" i="5"/>
  <c r="CI23" i="5"/>
  <c r="AA19" i="6" s="1"/>
  <c r="BY23" i="5"/>
  <c r="BW23" i="5"/>
  <c r="AX23" i="5"/>
  <c r="AU23" i="5"/>
  <c r="AT23" i="5"/>
  <c r="AH23" i="5"/>
  <c r="AC23" i="5"/>
  <c r="Z23" i="5"/>
  <c r="W23" i="5"/>
  <c r="S23" i="5"/>
  <c r="CP23" i="5" s="1"/>
  <c r="G23" i="5"/>
  <c r="EB22" i="5"/>
  <c r="EA22" i="5"/>
  <c r="DE22" i="5"/>
  <c r="DD22" i="5"/>
  <c r="DC22" i="5"/>
  <c r="DB22" i="5"/>
  <c r="DA22" i="5"/>
  <c r="CZ22" i="5"/>
  <c r="CY22" i="5"/>
  <c r="CX22" i="5"/>
  <c r="CW22" i="5"/>
  <c r="CJ22" i="5"/>
  <c r="CI22" i="5"/>
  <c r="AA18" i="6" s="1"/>
  <c r="BY22" i="5"/>
  <c r="BW22" i="5"/>
  <c r="AX22" i="5"/>
  <c r="AU22" i="5"/>
  <c r="AT22" i="5" s="1"/>
  <c r="AC22" i="5"/>
  <c r="W22" i="5"/>
  <c r="S22" i="5"/>
  <c r="G22" i="5"/>
  <c r="EB21" i="5"/>
  <c r="EA21" i="5"/>
  <c r="DY21" i="5"/>
  <c r="DY22" i="5" s="1"/>
  <c r="DY23" i="5" s="1"/>
  <c r="DY24" i="5" s="1"/>
  <c r="DY25" i="5" s="1"/>
  <c r="DY26" i="5" s="1"/>
  <c r="DY27" i="5" s="1"/>
  <c r="DY28" i="5" s="1"/>
  <c r="DY29" i="5" s="1"/>
  <c r="DY30" i="5" s="1"/>
  <c r="DY31" i="5" s="1"/>
  <c r="DY32" i="5" s="1"/>
  <c r="DY33" i="5" s="1"/>
  <c r="DP21" i="5"/>
  <c r="DO21" i="5"/>
  <c r="DN21" i="5"/>
  <c r="DE21" i="5"/>
  <c r="DD21" i="5"/>
  <c r="DC21" i="5"/>
  <c r="DB21" i="5"/>
  <c r="DA21" i="5"/>
  <c r="CZ21" i="5"/>
  <c r="CY21" i="5"/>
  <c r="CX21" i="5"/>
  <c r="CW21" i="5"/>
  <c r="CJ21" i="5"/>
  <c r="CK21" i="5" s="1"/>
  <c r="CI21" i="5"/>
  <c r="AA17" i="6" s="1"/>
  <c r="BY21" i="5"/>
  <c r="BW21" i="5"/>
  <c r="AX21" i="5"/>
  <c r="Y17" i="6" s="1"/>
  <c r="AU21" i="5"/>
  <c r="AT21" i="5" s="1"/>
  <c r="AC21" i="5"/>
  <c r="W21" i="5"/>
  <c r="S21" i="5"/>
  <c r="G21" i="5"/>
  <c r="EB20" i="5"/>
  <c r="EA20" i="5"/>
  <c r="DO20" i="5"/>
  <c r="DE20" i="5"/>
  <c r="DD20" i="5"/>
  <c r="DC20" i="5"/>
  <c r="DB20" i="5"/>
  <c r="DA20" i="5"/>
  <c r="CZ20" i="5"/>
  <c r="CY20" i="5"/>
  <c r="CX20" i="5"/>
  <c r="CW20" i="5"/>
  <c r="CK20" i="5"/>
  <c r="CJ20" i="5"/>
  <c r="CI20" i="5"/>
  <c r="AA16" i="6" s="1"/>
  <c r="BY20" i="5"/>
  <c r="BW20" i="5"/>
  <c r="AX20" i="5"/>
  <c r="AC20" i="5"/>
  <c r="W20" i="5"/>
  <c r="S20" i="5"/>
  <c r="G20" i="5"/>
  <c r="DE19" i="5"/>
  <c r="DD19" i="5"/>
  <c r="DC19" i="5"/>
  <c r="DB19" i="5"/>
  <c r="DA19" i="5"/>
  <c r="CZ19" i="5"/>
  <c r="CY19" i="5"/>
  <c r="CX19" i="5"/>
  <c r="CW19" i="5"/>
  <c r="CJ19" i="5"/>
  <c r="K16" i="9" s="1"/>
  <c r="P16" i="9" s="1"/>
  <c r="K46" i="9" s="1"/>
  <c r="CI19" i="5"/>
  <c r="AA15" i="6" s="1"/>
  <c r="AA41" i="6" s="1"/>
  <c r="BY19" i="5"/>
  <c r="BW19" i="5"/>
  <c r="T52" i="5" s="1"/>
  <c r="AX19" i="5"/>
  <c r="AC19" i="5"/>
  <c r="W19" i="5"/>
  <c r="H52" i="5" s="1"/>
  <c r="E15" i="8" s="1"/>
  <c r="S19" i="5"/>
  <c r="K52" i="5" s="1"/>
  <c r="G19" i="5"/>
  <c r="G52" i="5" s="1"/>
  <c r="C15" i="8" s="1"/>
  <c r="DZ18" i="5"/>
  <c r="DY18" i="5"/>
  <c r="DX18" i="5"/>
  <c r="DW18" i="5"/>
  <c r="DU18" i="5"/>
  <c r="DA18" i="5"/>
  <c r="CZ18" i="5"/>
  <c r="CY18" i="5"/>
  <c r="CX18" i="5"/>
  <c r="CW18" i="5"/>
  <c r="CJ18" i="5"/>
  <c r="K15" i="9" s="1"/>
  <c r="P15" i="9" s="1"/>
  <c r="K45" i="9" s="1"/>
  <c r="CI18" i="5"/>
  <c r="AA14" i="6" s="1"/>
  <c r="AA40" i="6" s="1"/>
  <c r="BY18" i="5"/>
  <c r="BW18" i="5"/>
  <c r="AX18" i="5"/>
  <c r="AC18" i="5"/>
  <c r="W18" i="5"/>
  <c r="H51" i="5" s="1"/>
  <c r="E14" i="8" s="1"/>
  <c r="S18" i="5"/>
  <c r="B14" i="8" s="1"/>
  <c r="G18" i="5"/>
  <c r="DX17" i="5"/>
  <c r="DW17" i="5"/>
  <c r="DU17" i="5"/>
  <c r="DA17" i="5"/>
  <c r="CZ17" i="5"/>
  <c r="CY17" i="5"/>
  <c r="CX17" i="5"/>
  <c r="CW17" i="5"/>
  <c r="CJ17" i="5"/>
  <c r="CI17" i="5"/>
  <c r="AA13" i="6" s="1"/>
  <c r="AA39" i="6" s="1"/>
  <c r="BY17" i="5"/>
  <c r="BW17" i="5"/>
  <c r="AX17" i="5"/>
  <c r="P13" i="8" s="1"/>
  <c r="AC17" i="5"/>
  <c r="W17" i="5"/>
  <c r="H50" i="5" s="1"/>
  <c r="E13" i="8" s="1"/>
  <c r="S17" i="5"/>
  <c r="G17" i="5"/>
  <c r="G50" i="5" s="1"/>
  <c r="C13" i="8" s="1"/>
  <c r="DX16" i="5"/>
  <c r="DW16" i="5"/>
  <c r="DU16" i="5"/>
  <c r="DA16" i="5"/>
  <c r="CZ16" i="5"/>
  <c r="CY16" i="5"/>
  <c r="CX16" i="5"/>
  <c r="CW16" i="5"/>
  <c r="CJ16" i="5"/>
  <c r="CI16" i="5"/>
  <c r="AA12" i="6" s="1"/>
  <c r="AA38" i="6" s="1"/>
  <c r="BY16" i="5"/>
  <c r="BW16" i="5"/>
  <c r="AX16" i="5"/>
  <c r="P12" i="8" s="1"/>
  <c r="AH16" i="5"/>
  <c r="AC16" i="5"/>
  <c r="W16" i="5"/>
  <c r="H49" i="5" s="1"/>
  <c r="E12" i="8" s="1"/>
  <c r="S16" i="5"/>
  <c r="CP16" i="5" s="1"/>
  <c r="G16" i="5"/>
  <c r="G49" i="5" s="1"/>
  <c r="C12" i="8" s="1"/>
  <c r="DX15" i="5"/>
  <c r="DW15" i="5"/>
  <c r="DU15" i="5"/>
  <c r="DU21" i="5" s="1"/>
  <c r="DP15" i="5"/>
  <c r="DA15" i="5"/>
  <c r="CZ15" i="5"/>
  <c r="CY15" i="5"/>
  <c r="CX15" i="5"/>
  <c r="CW15" i="5"/>
  <c r="CJ15" i="5"/>
  <c r="CI15" i="5"/>
  <c r="AA11" i="6" s="1"/>
  <c r="AA37" i="6" s="1"/>
  <c r="BY15" i="5"/>
  <c r="BM15" i="5"/>
  <c r="V48" i="5" s="1"/>
  <c r="AX15" i="5"/>
  <c r="AC15" i="5"/>
  <c r="W15" i="5"/>
  <c r="H48" i="5" s="1"/>
  <c r="E11" i="8" s="1"/>
  <c r="S15" i="5"/>
  <c r="B11" i="8" s="1"/>
  <c r="G15" i="5"/>
  <c r="DX14" i="5"/>
  <c r="DU14" i="5"/>
  <c r="DA14" i="5"/>
  <c r="CZ14" i="5"/>
  <c r="CY14" i="5"/>
  <c r="CX14" i="5"/>
  <c r="CW14" i="5"/>
  <c r="CJ14" i="5"/>
  <c r="K11" i="9" s="1"/>
  <c r="P11" i="9" s="1"/>
  <c r="K41" i="9" s="1"/>
  <c r="CI14" i="5"/>
  <c r="AA10" i="6" s="1"/>
  <c r="AA36" i="6" s="1"/>
  <c r="BY14" i="5"/>
  <c r="BM14" i="5"/>
  <c r="AZ14" i="5"/>
  <c r="AX14" i="5" s="1"/>
  <c r="AC14" i="5"/>
  <c r="W14" i="5"/>
  <c r="H47" i="5" s="1"/>
  <c r="E10" i="8" s="1"/>
  <c r="S14" i="5"/>
  <c r="B10" i="8" s="1"/>
  <c r="G14" i="5"/>
  <c r="DX13" i="5"/>
  <c r="DP13" i="5"/>
  <c r="DS13" i="5" s="1"/>
  <c r="DA13" i="5"/>
  <c r="CZ13" i="5"/>
  <c r="CY13" i="5"/>
  <c r="CX13" i="5"/>
  <c r="CW13" i="5"/>
  <c r="CK13" i="5"/>
  <c r="CI13" i="5"/>
  <c r="AA9" i="6" s="1"/>
  <c r="AA35" i="6" s="1"/>
  <c r="CG13" i="5"/>
  <c r="BY13" i="5"/>
  <c r="BM13" i="5"/>
  <c r="BE13" i="5"/>
  <c r="R46" i="5" s="1"/>
  <c r="M9" i="8" s="1"/>
  <c r="AZ13" i="5"/>
  <c r="AX13" i="5" s="1"/>
  <c r="AH13" i="5"/>
  <c r="AC13" i="5"/>
  <c r="W13" i="5"/>
  <c r="H46" i="5" s="1"/>
  <c r="E9" i="8" s="1"/>
  <c r="S13" i="5"/>
  <c r="G13" i="5"/>
  <c r="G46" i="5" s="1"/>
  <c r="C9" i="8" s="1"/>
  <c r="DX12" i="5"/>
  <c r="DU12" i="5"/>
  <c r="DA12" i="5"/>
  <c r="CZ12" i="5"/>
  <c r="CY12" i="5"/>
  <c r="CX12" i="5"/>
  <c r="CW12" i="5"/>
  <c r="CP12" i="5"/>
  <c r="CK12" i="5"/>
  <c r="CI12" i="5"/>
  <c r="AA8" i="6" s="1"/>
  <c r="AA34" i="6" s="1"/>
  <c r="CG12" i="5"/>
  <c r="BY12" i="5"/>
  <c r="BW12" i="5"/>
  <c r="AG12" i="5"/>
  <c r="AD12" i="5"/>
  <c r="AC12" i="5" s="1"/>
  <c r="W12" i="5"/>
  <c r="H45" i="5" s="1"/>
  <c r="E8" i="8" s="1"/>
  <c r="G12" i="5"/>
  <c r="G45" i="5" s="1"/>
  <c r="C8" i="8" s="1"/>
  <c r="DX11" i="5"/>
  <c r="DU11" i="5"/>
  <c r="DA11" i="5"/>
  <c r="CZ11" i="5"/>
  <c r="CY11" i="5"/>
  <c r="CX11" i="5"/>
  <c r="CW11" i="5"/>
  <c r="CK11" i="5"/>
  <c r="CI11" i="5"/>
  <c r="AA7" i="6" s="1"/>
  <c r="AA33" i="6" s="1"/>
  <c r="CG11" i="5"/>
  <c r="AV44" i="5" s="1"/>
  <c r="Q7" i="8" s="1"/>
  <c r="BY11" i="5"/>
  <c r="BW11" i="5"/>
  <c r="BQ11" i="5"/>
  <c r="AZ11" i="5"/>
  <c r="AG11" i="5"/>
  <c r="AC11" i="5"/>
  <c r="W11" i="5"/>
  <c r="H44" i="5" s="1"/>
  <c r="E7" i="8" s="1"/>
  <c r="S11" i="5"/>
  <c r="G11" i="5"/>
  <c r="G44" i="5" s="1"/>
  <c r="C7" i="8" s="1"/>
  <c r="DX10" i="5"/>
  <c r="DU10" i="5"/>
  <c r="DN10" i="5"/>
  <c r="DN11" i="5" s="1"/>
  <c r="DN12" i="5" s="1"/>
  <c r="DN13" i="5" s="1"/>
  <c r="DN14" i="5" s="1"/>
  <c r="DN15" i="5" s="1"/>
  <c r="DN16" i="5" s="1"/>
  <c r="DN17" i="5" s="1"/>
  <c r="DN18" i="5" s="1"/>
  <c r="DL10" i="5"/>
  <c r="DJ10" i="5"/>
  <c r="DA10" i="5"/>
  <c r="CZ10" i="5"/>
  <c r="CY10" i="5"/>
  <c r="CX10" i="5"/>
  <c r="CW10" i="5"/>
  <c r="CK10" i="5"/>
  <c r="AE14" i="8" s="1"/>
  <c r="BZ10" i="5"/>
  <c r="BY10" i="5"/>
  <c r="BW10" i="5"/>
  <c r="T43" i="5" s="1"/>
  <c r="BQ10" i="5"/>
  <c r="BE10" i="5"/>
  <c r="R43" i="5" s="1"/>
  <c r="M6" i="8" s="1"/>
  <c r="AZ10" i="5"/>
  <c r="AY10" i="5"/>
  <c r="AO10" i="5"/>
  <c r="AN10" i="5"/>
  <c r="M43" i="5" s="1"/>
  <c r="AC10" i="5"/>
  <c r="W10" i="5"/>
  <c r="H43" i="5" s="1"/>
  <c r="E6" i="8" s="1"/>
  <c r="S10" i="5"/>
  <c r="B6" i="8" s="1"/>
  <c r="G10" i="5"/>
  <c r="DL9" i="5"/>
  <c r="DJ9" i="5"/>
  <c r="DA9" i="5"/>
  <c r="CZ9" i="5"/>
  <c r="CY9" i="5"/>
  <c r="CX9" i="5"/>
  <c r="CW9" i="5"/>
  <c r="BY9" i="5"/>
  <c r="BW9" i="5"/>
  <c r="BQ9" i="5"/>
  <c r="AI42" i="5" s="1"/>
  <c r="AZ9" i="5"/>
  <c r="AN9" i="5"/>
  <c r="M42" i="5" s="1"/>
  <c r="AC9" i="5"/>
  <c r="W9" i="5"/>
  <c r="H42" i="5" s="1"/>
  <c r="E5" i="8" s="1"/>
  <c r="S9" i="5"/>
  <c r="B5" i="8" s="1"/>
  <c r="G9" i="5"/>
  <c r="DL8" i="5"/>
  <c r="DJ8" i="5"/>
  <c r="DA8" i="5"/>
  <c r="CZ8" i="5"/>
  <c r="CY8" i="5"/>
  <c r="CX8" i="5"/>
  <c r="CW8" i="5"/>
  <c r="BC5" i="5"/>
  <c r="BD4" i="5" s="1"/>
  <c r="BB5" i="5"/>
  <c r="BC4" i="5"/>
  <c r="BD2" i="5"/>
  <c r="Y30" i="4"/>
  <c r="X30" i="4"/>
  <c r="AH34" i="5" s="1"/>
  <c r="R30" i="4"/>
  <c r="Q30" i="4"/>
  <c r="M30" i="4"/>
  <c r="Y29" i="4"/>
  <c r="W29" i="4"/>
  <c r="X29" i="4" s="1"/>
  <c r="AH33" i="5" s="1"/>
  <c r="T29" i="4"/>
  <c r="P29" i="4"/>
  <c r="P30" i="4" s="1"/>
  <c r="M29" i="4"/>
  <c r="Y28" i="4"/>
  <c r="X28" i="4"/>
  <c r="AH32" i="5" s="1"/>
  <c r="W28" i="4"/>
  <c r="T28" i="4"/>
  <c r="P28" i="4"/>
  <c r="O28" i="4"/>
  <c r="S28" i="4" s="1"/>
  <c r="U28" i="4" s="1"/>
  <c r="M28" i="4"/>
  <c r="Y27" i="4"/>
  <c r="X27" i="4"/>
  <c r="T27" i="4"/>
  <c r="P27" i="4"/>
  <c r="O27" i="4"/>
  <c r="M27" i="4"/>
  <c r="I27" i="4"/>
  <c r="H27" i="4"/>
  <c r="X26" i="4"/>
  <c r="T26" i="4"/>
  <c r="Q26" i="4"/>
  <c r="P26" i="4"/>
  <c r="O26" i="4"/>
  <c r="M26" i="4"/>
  <c r="S26" i="4" s="1"/>
  <c r="U26" i="4" s="1"/>
  <c r="I26" i="4"/>
  <c r="H26" i="4"/>
  <c r="X25" i="4"/>
  <c r="U25" i="4"/>
  <c r="T25" i="4"/>
  <c r="P25" i="4"/>
  <c r="O25" i="4"/>
  <c r="S25" i="4" s="1"/>
  <c r="M25" i="4"/>
  <c r="H25" i="4"/>
  <c r="I25" i="4" s="1"/>
  <c r="X24" i="4"/>
  <c r="T24" i="4"/>
  <c r="P24" i="4"/>
  <c r="O24" i="4"/>
  <c r="M24" i="4"/>
  <c r="S24" i="4" s="1"/>
  <c r="U24" i="4" s="1"/>
  <c r="I24" i="4"/>
  <c r="H24" i="4"/>
  <c r="X23" i="4"/>
  <c r="T23" i="4"/>
  <c r="S23" i="4"/>
  <c r="U23" i="4" s="1"/>
  <c r="P23" i="4"/>
  <c r="M23" i="4"/>
  <c r="I23" i="4"/>
  <c r="H23" i="4"/>
  <c r="X22" i="4"/>
  <c r="U22" i="4"/>
  <c r="T22" i="4"/>
  <c r="P22" i="4"/>
  <c r="O22" i="4"/>
  <c r="S22" i="4" s="1"/>
  <c r="M22" i="4"/>
  <c r="H22" i="4"/>
  <c r="I22" i="4" s="1"/>
  <c r="X21" i="4"/>
  <c r="T21" i="4"/>
  <c r="P21" i="4"/>
  <c r="O21" i="4"/>
  <c r="M21" i="4"/>
  <c r="S21" i="4" s="1"/>
  <c r="U21" i="4" s="1"/>
  <c r="I21" i="4"/>
  <c r="H21" i="4"/>
  <c r="X20" i="4"/>
  <c r="M20" i="4"/>
  <c r="S20" i="4" s="1"/>
  <c r="U20" i="4" s="1"/>
  <c r="I20" i="4"/>
  <c r="H20" i="4"/>
  <c r="X19" i="4"/>
  <c r="P19" i="4"/>
  <c r="O19" i="4"/>
  <c r="H19" i="4"/>
  <c r="I19" i="4" s="1"/>
  <c r="S18" i="4"/>
  <c r="U18" i="4" s="1"/>
  <c r="I18" i="4"/>
  <c r="H18" i="4"/>
  <c r="B18" i="4"/>
  <c r="B19" i="4" s="1"/>
  <c r="B20" i="4" s="1"/>
  <c r="B21" i="4" s="1"/>
  <c r="B22" i="4" s="1"/>
  <c r="B23" i="4" s="1"/>
  <c r="B24" i="4" s="1"/>
  <c r="B25" i="4" s="1"/>
  <c r="B26" i="4" s="1"/>
  <c r="B27" i="4" s="1"/>
  <c r="U17" i="4"/>
  <c r="AH21" i="5" s="1"/>
  <c r="S17" i="4"/>
  <c r="H17" i="4"/>
  <c r="I17" i="4" s="1"/>
  <c r="S16" i="4"/>
  <c r="U16" i="4" s="1"/>
  <c r="AH20" i="5" s="1"/>
  <c r="I16" i="4"/>
  <c r="H16" i="4"/>
  <c r="U15" i="4"/>
  <c r="S15" i="4"/>
  <c r="H15" i="4"/>
  <c r="I15" i="4" s="1"/>
  <c r="S14" i="4"/>
  <c r="U14" i="4" s="1"/>
  <c r="I14" i="4"/>
  <c r="H14" i="4"/>
  <c r="U13" i="4"/>
  <c r="AH17" i="5" s="1"/>
  <c r="S13" i="4"/>
  <c r="H13" i="4"/>
  <c r="I13" i="4" s="1"/>
  <c r="X12" i="4"/>
  <c r="S12" i="4"/>
  <c r="U12" i="4" s="1"/>
  <c r="I12" i="4"/>
  <c r="H12" i="4"/>
  <c r="U11" i="4"/>
  <c r="S11" i="4"/>
  <c r="H11" i="4"/>
  <c r="I11" i="4" s="1"/>
  <c r="S10" i="4"/>
  <c r="U10" i="4" s="1"/>
  <c r="I10" i="4"/>
  <c r="H10" i="4"/>
  <c r="U9" i="4"/>
  <c r="X9" i="4" s="1"/>
  <c r="S9" i="4"/>
  <c r="H9" i="4"/>
  <c r="I9" i="4" s="1"/>
  <c r="Y8" i="4"/>
  <c r="U8" i="4"/>
  <c r="AH12" i="5" s="1"/>
  <c r="S8" i="4"/>
  <c r="L8" i="4"/>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H8" i="4"/>
  <c r="I8" i="4" s="1"/>
  <c r="Y7" i="4"/>
  <c r="U7" i="4"/>
  <c r="AH11" i="5" s="1"/>
  <c r="S7" i="4"/>
  <c r="L7" i="4"/>
  <c r="H7" i="4"/>
  <c r="I7" i="4" s="1"/>
  <c r="S6" i="4"/>
  <c r="U6" i="4" s="1"/>
  <c r="AH10" i="5" s="1"/>
  <c r="L6" i="4"/>
  <c r="I6" i="4"/>
  <c r="H6" i="4"/>
  <c r="U5" i="4"/>
  <c r="S5" i="4"/>
  <c r="I5" i="4"/>
  <c r="H5" i="4"/>
  <c r="B5" i="4"/>
  <c r="B6" i="4" s="1"/>
  <c r="B7" i="4" s="1"/>
  <c r="B8" i="4" s="1"/>
  <c r="B9" i="4" s="1"/>
  <c r="B10" i="4" s="1"/>
  <c r="B11" i="4" s="1"/>
  <c r="B12" i="4" s="1"/>
  <c r="B13" i="4" s="1"/>
  <c r="B14" i="4" s="1"/>
  <c r="B15" i="4" s="1"/>
  <c r="B16" i="4" s="1"/>
  <c r="B17" i="4" s="1"/>
  <c r="H4" i="4"/>
  <c r="I4" i="4" s="1"/>
  <c r="B4" i="4"/>
  <c r="I3" i="4"/>
  <c r="H3" i="4"/>
  <c r="X22" i="2"/>
  <c r="X20" i="2"/>
  <c r="X19" i="2"/>
  <c r="AT261" i="1"/>
  <c r="AS261" i="1"/>
  <c r="AX261" i="1" s="1"/>
  <c r="AR261" i="1"/>
  <c r="AQ261" i="1"/>
  <c r="AT260" i="1"/>
  <c r="AS260" i="1"/>
  <c r="AR260" i="1"/>
  <c r="AQ260" i="1"/>
  <c r="AT259" i="1"/>
  <c r="AS259" i="1"/>
  <c r="AR259" i="1"/>
  <c r="AQ259" i="1"/>
  <c r="AT258" i="1"/>
  <c r="AS258" i="1"/>
  <c r="AR258" i="1"/>
  <c r="AQ258" i="1"/>
  <c r="AW257" i="1"/>
  <c r="AT257" i="1"/>
  <c r="AS257" i="1"/>
  <c r="AR257" i="1"/>
  <c r="AQ257" i="1"/>
  <c r="AV257" i="1" s="1"/>
  <c r="AT256" i="1"/>
  <c r="AS256" i="1"/>
  <c r="AR256" i="1"/>
  <c r="AQ256" i="1"/>
  <c r="AT255" i="1"/>
  <c r="AS255" i="1"/>
  <c r="AR255" i="1"/>
  <c r="AQ255" i="1"/>
  <c r="AT254" i="1"/>
  <c r="AS254" i="1"/>
  <c r="AR254" i="1"/>
  <c r="AQ254" i="1"/>
  <c r="AT253" i="1"/>
  <c r="AS253" i="1"/>
  <c r="AR253" i="1"/>
  <c r="AQ253" i="1"/>
  <c r="AT252" i="1"/>
  <c r="AS252" i="1"/>
  <c r="AR252" i="1"/>
  <c r="AQ252" i="1"/>
  <c r="AT251" i="1"/>
  <c r="AS251" i="1"/>
  <c r="AR251" i="1"/>
  <c r="AQ251" i="1"/>
  <c r="AT250" i="1"/>
  <c r="AS250" i="1"/>
  <c r="AR250" i="1"/>
  <c r="AQ250" i="1"/>
  <c r="AT249" i="1"/>
  <c r="AS249" i="1"/>
  <c r="AR249" i="1"/>
  <c r="AQ249" i="1"/>
  <c r="AT248" i="1"/>
  <c r="AS248" i="1"/>
  <c r="AR248" i="1"/>
  <c r="AQ248" i="1"/>
  <c r="AT247" i="1"/>
  <c r="AS247" i="1"/>
  <c r="AR247" i="1"/>
  <c r="AQ247" i="1"/>
  <c r="AY246" i="1"/>
  <c r="AT246" i="1"/>
  <c r="AS246" i="1"/>
  <c r="AR246" i="1"/>
  <c r="AQ246" i="1"/>
  <c r="AP244" i="1"/>
  <c r="AT244" i="1" s="1"/>
  <c r="AO244" i="1"/>
  <c r="AN244" i="1"/>
  <c r="AM244" i="1"/>
  <c r="AL244" i="1"/>
  <c r="AK244" i="1"/>
  <c r="AS244" i="1" s="1"/>
  <c r="AJ244" i="1"/>
  <c r="AI244" i="1"/>
  <c r="AH244" i="1"/>
  <c r="AR244" i="1" s="1"/>
  <c r="AG244" i="1"/>
  <c r="AF244" i="1"/>
  <c r="AE244" i="1"/>
  <c r="AP243" i="1"/>
  <c r="AT243" i="1" s="1"/>
  <c r="AO243" i="1"/>
  <c r="AN243" i="1"/>
  <c r="AM243" i="1"/>
  <c r="AL243" i="1"/>
  <c r="AK243" i="1"/>
  <c r="AS243" i="1" s="1"/>
  <c r="AJ243" i="1"/>
  <c r="AI243" i="1"/>
  <c r="AH243" i="1"/>
  <c r="AG243" i="1"/>
  <c r="AF243" i="1"/>
  <c r="AE243" i="1"/>
  <c r="AQ243" i="1" s="1"/>
  <c r="AS242" i="1"/>
  <c r="AP242" i="1"/>
  <c r="AO242" i="1"/>
  <c r="AN242" i="1"/>
  <c r="AM242" i="1"/>
  <c r="AL242" i="1"/>
  <c r="AK242" i="1"/>
  <c r="AJ242" i="1"/>
  <c r="AI242" i="1"/>
  <c r="AH242" i="1"/>
  <c r="AR242" i="1" s="1"/>
  <c r="AG242" i="1"/>
  <c r="AF242" i="1"/>
  <c r="AE242" i="1"/>
  <c r="AQ242" i="1" s="1"/>
  <c r="AP241" i="1"/>
  <c r="AT241" i="1" s="1"/>
  <c r="AO241" i="1"/>
  <c r="AN241" i="1"/>
  <c r="AM241" i="1"/>
  <c r="AL241" i="1"/>
  <c r="AK241" i="1"/>
  <c r="AS241" i="1" s="1"/>
  <c r="AJ241" i="1"/>
  <c r="AI241" i="1"/>
  <c r="AH241" i="1"/>
  <c r="AR241" i="1" s="1"/>
  <c r="AG241" i="1"/>
  <c r="AF241" i="1"/>
  <c r="AE241" i="1"/>
  <c r="AQ241" i="1" s="1"/>
  <c r="AS240" i="1"/>
  <c r="AP240" i="1"/>
  <c r="AT240" i="1" s="1"/>
  <c r="AO240" i="1"/>
  <c r="AN240" i="1"/>
  <c r="AM240" i="1"/>
  <c r="AL240" i="1"/>
  <c r="AK240" i="1"/>
  <c r="AJ240" i="1"/>
  <c r="AI240" i="1"/>
  <c r="AH240" i="1"/>
  <c r="AR240" i="1" s="1"/>
  <c r="AG240" i="1"/>
  <c r="AF240" i="1"/>
  <c r="AE240" i="1"/>
  <c r="AQ240" i="1" s="1"/>
  <c r="AP239" i="1"/>
  <c r="AT239" i="1" s="1"/>
  <c r="AO239" i="1"/>
  <c r="AN239" i="1"/>
  <c r="AM239" i="1"/>
  <c r="AL239" i="1"/>
  <c r="AK239" i="1"/>
  <c r="AJ239" i="1"/>
  <c r="AI239" i="1"/>
  <c r="AH239" i="1"/>
  <c r="AG239" i="1"/>
  <c r="AF239" i="1"/>
  <c r="AE239" i="1"/>
  <c r="AQ239" i="1" s="1"/>
  <c r="AP238" i="1"/>
  <c r="AO238" i="1"/>
  <c r="AN238" i="1"/>
  <c r="AM238" i="1"/>
  <c r="AL238" i="1"/>
  <c r="AK238" i="1"/>
  <c r="AS238" i="1" s="1"/>
  <c r="AJ238" i="1"/>
  <c r="AI238" i="1"/>
  <c r="AH238" i="1"/>
  <c r="AR238" i="1" s="1"/>
  <c r="AG238" i="1"/>
  <c r="AF238" i="1"/>
  <c r="AE238" i="1"/>
  <c r="AP237" i="1"/>
  <c r="AT237" i="1" s="1"/>
  <c r="AO237" i="1"/>
  <c r="AN237" i="1"/>
  <c r="AM237" i="1"/>
  <c r="AL237" i="1"/>
  <c r="AK237" i="1"/>
  <c r="AJ237" i="1"/>
  <c r="AI237" i="1"/>
  <c r="AH237" i="1"/>
  <c r="AR237" i="1" s="1"/>
  <c r="AG237" i="1"/>
  <c r="AF237" i="1"/>
  <c r="AE237" i="1"/>
  <c r="AQ237" i="1" s="1"/>
  <c r="AP236" i="1"/>
  <c r="AT236" i="1" s="1"/>
  <c r="AO236" i="1"/>
  <c r="AN236" i="1"/>
  <c r="AM236" i="1"/>
  <c r="AL236" i="1"/>
  <c r="AK236" i="1"/>
  <c r="AS236" i="1" s="1"/>
  <c r="AX236" i="1" s="1"/>
  <c r="AJ236" i="1"/>
  <c r="AI236" i="1"/>
  <c r="AH236" i="1"/>
  <c r="AR236" i="1" s="1"/>
  <c r="AG236" i="1"/>
  <c r="AF236" i="1"/>
  <c r="AE236" i="1"/>
  <c r="AP235" i="1"/>
  <c r="AT235" i="1" s="1"/>
  <c r="AO235" i="1"/>
  <c r="AN235" i="1"/>
  <c r="AM235" i="1"/>
  <c r="AL235" i="1"/>
  <c r="AK235" i="1"/>
  <c r="AS235" i="1" s="1"/>
  <c r="AJ235" i="1"/>
  <c r="AI235" i="1"/>
  <c r="AH235" i="1"/>
  <c r="AG235" i="1"/>
  <c r="AF235" i="1"/>
  <c r="AE235" i="1"/>
  <c r="AQ235" i="1" s="1"/>
  <c r="AS234" i="1"/>
  <c r="AP234" i="1"/>
  <c r="AO234" i="1"/>
  <c r="AN234" i="1"/>
  <c r="AM234" i="1"/>
  <c r="AL234" i="1"/>
  <c r="AK234" i="1"/>
  <c r="AJ234" i="1"/>
  <c r="AI234" i="1"/>
  <c r="AH234" i="1"/>
  <c r="AR234" i="1" s="1"/>
  <c r="AG234" i="1"/>
  <c r="AF234" i="1"/>
  <c r="AE234" i="1"/>
  <c r="AQ234" i="1" s="1"/>
  <c r="AP233" i="1"/>
  <c r="AT233" i="1" s="1"/>
  <c r="AO233" i="1"/>
  <c r="AN233" i="1"/>
  <c r="AM233" i="1"/>
  <c r="AL233" i="1"/>
  <c r="AK233" i="1"/>
  <c r="AS233" i="1" s="1"/>
  <c r="AJ233" i="1"/>
  <c r="AI233" i="1"/>
  <c r="AH233" i="1"/>
  <c r="AR233" i="1" s="1"/>
  <c r="AG233" i="1"/>
  <c r="AF233" i="1"/>
  <c r="AE233" i="1"/>
  <c r="AQ233" i="1" s="1"/>
  <c r="AS232" i="1"/>
  <c r="AP232" i="1"/>
  <c r="AT232" i="1" s="1"/>
  <c r="AO232" i="1"/>
  <c r="AN232" i="1"/>
  <c r="AM232" i="1"/>
  <c r="AL232" i="1"/>
  <c r="AK232" i="1"/>
  <c r="AJ232" i="1"/>
  <c r="AI232" i="1"/>
  <c r="AH232" i="1"/>
  <c r="AR232" i="1" s="1"/>
  <c r="AG232" i="1"/>
  <c r="AF232" i="1"/>
  <c r="AE232" i="1"/>
  <c r="AQ232" i="1" s="1"/>
  <c r="AM229" i="1"/>
  <c r="AE229" i="1"/>
  <c r="AT228" i="1"/>
  <c r="AS228" i="1"/>
  <c r="AR228" i="1"/>
  <c r="AQ228" i="1"/>
  <c r="AT227" i="1"/>
  <c r="AS227" i="1"/>
  <c r="AR227" i="1"/>
  <c r="AQ227" i="1"/>
  <c r="AY226" i="1"/>
  <c r="AT226" i="1"/>
  <c r="AS226" i="1"/>
  <c r="AR226" i="1"/>
  <c r="AQ226" i="1"/>
  <c r="AT225" i="1"/>
  <c r="AS225" i="1"/>
  <c r="AR225" i="1"/>
  <c r="AQ225" i="1"/>
  <c r="AT224" i="1"/>
  <c r="AS224" i="1"/>
  <c r="AR224" i="1"/>
  <c r="AQ224" i="1"/>
  <c r="AT223" i="1"/>
  <c r="AS223" i="1"/>
  <c r="AR223" i="1"/>
  <c r="AQ223" i="1"/>
  <c r="AT222" i="1"/>
  <c r="AS222" i="1"/>
  <c r="AR222" i="1"/>
  <c r="AQ222" i="1"/>
  <c r="AT221" i="1"/>
  <c r="AS221" i="1"/>
  <c r="AR221" i="1"/>
  <c r="AQ221" i="1"/>
  <c r="AT220" i="1"/>
  <c r="AS220" i="1"/>
  <c r="AX220" i="1" s="1"/>
  <c r="AR220" i="1"/>
  <c r="AQ220" i="1"/>
  <c r="AT219" i="1"/>
  <c r="AS219" i="1"/>
  <c r="AR219" i="1"/>
  <c r="AQ219" i="1"/>
  <c r="AT218" i="1"/>
  <c r="AS218" i="1"/>
  <c r="AR218" i="1"/>
  <c r="AQ218" i="1"/>
  <c r="AT217" i="1"/>
  <c r="AS217" i="1"/>
  <c r="AR217" i="1"/>
  <c r="AQ217" i="1"/>
  <c r="AT216" i="1"/>
  <c r="AS216" i="1"/>
  <c r="AR216" i="1"/>
  <c r="AQ216" i="1"/>
  <c r="AT215" i="1"/>
  <c r="AS215" i="1"/>
  <c r="AR215" i="1"/>
  <c r="AQ215" i="1"/>
  <c r="AP214" i="1"/>
  <c r="AP231" i="1" s="1"/>
  <c r="AO214" i="1"/>
  <c r="AO231" i="1" s="1"/>
  <c r="AN214" i="1"/>
  <c r="AT214" i="1" s="1"/>
  <c r="AM214" i="1"/>
  <c r="AM231" i="1" s="1"/>
  <c r="AL214" i="1"/>
  <c r="AL231" i="1" s="1"/>
  <c r="AK214" i="1"/>
  <c r="AK231" i="1" s="1"/>
  <c r="AJ214" i="1"/>
  <c r="AJ231" i="1" s="1"/>
  <c r="AI214" i="1"/>
  <c r="AI231" i="1" s="1"/>
  <c r="AH214" i="1"/>
  <c r="AH231" i="1" s="1"/>
  <c r="AG214" i="1"/>
  <c r="AG231" i="1" s="1"/>
  <c r="AF214" i="1"/>
  <c r="AF231" i="1" s="1"/>
  <c r="AE214" i="1"/>
  <c r="AE231" i="1" s="1"/>
  <c r="AQ231" i="1" s="1"/>
  <c r="AP213" i="1"/>
  <c r="AP230" i="1" s="1"/>
  <c r="AO213" i="1"/>
  <c r="AO230" i="1" s="1"/>
  <c r="AN213" i="1"/>
  <c r="AN230" i="1" s="1"/>
  <c r="AM213" i="1"/>
  <c r="AM230" i="1" s="1"/>
  <c r="AL213" i="1"/>
  <c r="AL230" i="1" s="1"/>
  <c r="AK213" i="1"/>
  <c r="AJ213" i="1"/>
  <c r="AJ230" i="1" s="1"/>
  <c r="AI213" i="1"/>
  <c r="AI230" i="1" s="1"/>
  <c r="AH213" i="1"/>
  <c r="AR213" i="1" s="1"/>
  <c r="AG213" i="1"/>
  <c r="AG230" i="1" s="1"/>
  <c r="AF213" i="1"/>
  <c r="AF230" i="1" s="1"/>
  <c r="AE213" i="1"/>
  <c r="AE230" i="1" s="1"/>
  <c r="AP212" i="1"/>
  <c r="AP229" i="1" s="1"/>
  <c r="AO212" i="1"/>
  <c r="AO229" i="1" s="1"/>
  <c r="AN212" i="1"/>
  <c r="AT212" i="1" s="1"/>
  <c r="AM212" i="1"/>
  <c r="AL212" i="1"/>
  <c r="AL229" i="1" s="1"/>
  <c r="AK212" i="1"/>
  <c r="AK229" i="1" s="1"/>
  <c r="AJ212" i="1"/>
  <c r="AJ229" i="1" s="1"/>
  <c r="AI212" i="1"/>
  <c r="AI229" i="1" s="1"/>
  <c r="AH212" i="1"/>
  <c r="AH229" i="1" s="1"/>
  <c r="AG212" i="1"/>
  <c r="AG229" i="1" s="1"/>
  <c r="AF212" i="1"/>
  <c r="AF229" i="1" s="1"/>
  <c r="AE212" i="1"/>
  <c r="AQ212" i="1" s="1"/>
  <c r="AT210" i="1"/>
  <c r="AS210" i="1"/>
  <c r="AR210" i="1"/>
  <c r="AQ210" i="1"/>
  <c r="AT209" i="1"/>
  <c r="AS209" i="1"/>
  <c r="AR209" i="1"/>
  <c r="AQ209" i="1"/>
  <c r="AT208" i="1"/>
  <c r="AS208" i="1"/>
  <c r="AR208" i="1"/>
  <c r="AQ208" i="1"/>
  <c r="AT207" i="1"/>
  <c r="AS207" i="1"/>
  <c r="AR207" i="1"/>
  <c r="AQ207" i="1"/>
  <c r="AT206" i="1"/>
  <c r="AS206" i="1"/>
  <c r="AR206" i="1"/>
  <c r="AQ206" i="1"/>
  <c r="AW205" i="1"/>
  <c r="AT205" i="1"/>
  <c r="AS205" i="1"/>
  <c r="AR205" i="1"/>
  <c r="AQ205" i="1"/>
  <c r="AT204" i="1"/>
  <c r="AS204" i="1"/>
  <c r="AR204" i="1"/>
  <c r="AQ204" i="1"/>
  <c r="AT203" i="1"/>
  <c r="AS203" i="1"/>
  <c r="AR203" i="1"/>
  <c r="AQ203" i="1"/>
  <c r="AT202" i="1"/>
  <c r="AS202" i="1"/>
  <c r="AR202" i="1"/>
  <c r="AQ202" i="1"/>
  <c r="BT201" i="1"/>
  <c r="AT201" i="1"/>
  <c r="AS201" i="1"/>
  <c r="AR201" i="1"/>
  <c r="AQ201" i="1"/>
  <c r="BT200" i="1"/>
  <c r="AT200" i="1"/>
  <c r="AS200" i="1"/>
  <c r="AR200" i="1"/>
  <c r="AQ200" i="1"/>
  <c r="AU200" i="1" s="1"/>
  <c r="AP198" i="1"/>
  <c r="AO198" i="1"/>
  <c r="AN198" i="1"/>
  <c r="AT198" i="1" s="1"/>
  <c r="AM198" i="1"/>
  <c r="AL198" i="1"/>
  <c r="AK198" i="1"/>
  <c r="AS198" i="1" s="1"/>
  <c r="AJ198" i="1"/>
  <c r="AR198" i="1" s="1"/>
  <c r="AI198" i="1"/>
  <c r="AH198" i="1"/>
  <c r="AG198" i="1"/>
  <c r="AF198" i="1"/>
  <c r="AE198" i="1"/>
  <c r="AP197" i="1"/>
  <c r="AT197" i="1" s="1"/>
  <c r="AO197" i="1"/>
  <c r="AN197" i="1"/>
  <c r="AM197" i="1"/>
  <c r="AL197" i="1"/>
  <c r="AK197" i="1"/>
  <c r="AJ197" i="1"/>
  <c r="AI197" i="1"/>
  <c r="AH197" i="1"/>
  <c r="AR197" i="1" s="1"/>
  <c r="AG197" i="1"/>
  <c r="AF197" i="1"/>
  <c r="AE197" i="1"/>
  <c r="AQ197" i="1" s="1"/>
  <c r="BU196" i="1"/>
  <c r="BT196" i="1"/>
  <c r="BS196" i="1"/>
  <c r="BR196" i="1"/>
  <c r="AP196" i="1"/>
  <c r="AT196" i="1" s="1"/>
  <c r="AO196" i="1"/>
  <c r="AN196" i="1"/>
  <c r="AM196" i="1"/>
  <c r="AL196" i="1"/>
  <c r="AK196" i="1"/>
  <c r="AJ196" i="1"/>
  <c r="AI196" i="1"/>
  <c r="AH196" i="1"/>
  <c r="AR196" i="1" s="1"/>
  <c r="AG196" i="1"/>
  <c r="AF196" i="1"/>
  <c r="AE196" i="1"/>
  <c r="AQ196" i="1" s="1"/>
  <c r="BU195" i="1"/>
  <c r="BT195" i="1"/>
  <c r="BS195" i="1"/>
  <c r="BR195" i="1"/>
  <c r="AT195" i="1"/>
  <c r="AS195" i="1"/>
  <c r="AR195" i="1"/>
  <c r="AQ195" i="1"/>
  <c r="AU195" i="1" s="1"/>
  <c r="BU194" i="1"/>
  <c r="BT194" i="1"/>
  <c r="BS194" i="1"/>
  <c r="BR194" i="1"/>
  <c r="BV194" i="1" s="1"/>
  <c r="AT194" i="1"/>
  <c r="AS194" i="1"/>
  <c r="AR194" i="1"/>
  <c r="AQ194" i="1"/>
  <c r="BU193" i="1"/>
  <c r="BT193" i="1"/>
  <c r="BS193" i="1"/>
  <c r="BR193" i="1"/>
  <c r="AT193" i="1"/>
  <c r="AS193" i="1"/>
  <c r="AR193" i="1"/>
  <c r="AQ193" i="1"/>
  <c r="AU193" i="1" s="1"/>
  <c r="BW192" i="1"/>
  <c r="BU192" i="1"/>
  <c r="BT192" i="1"/>
  <c r="BS192" i="1"/>
  <c r="BR192" i="1"/>
  <c r="BV192" i="1" s="1"/>
  <c r="AT192" i="1"/>
  <c r="AS192" i="1"/>
  <c r="AR192" i="1"/>
  <c r="AQ192" i="1"/>
  <c r="BU191" i="1"/>
  <c r="BT191" i="1"/>
  <c r="BS191" i="1"/>
  <c r="BR191" i="1"/>
  <c r="AT191" i="1"/>
  <c r="AS191" i="1"/>
  <c r="AR191" i="1"/>
  <c r="AQ191" i="1"/>
  <c r="AU191" i="1" s="1"/>
  <c r="BU190" i="1"/>
  <c r="BT190" i="1"/>
  <c r="BS190" i="1"/>
  <c r="BR190" i="1"/>
  <c r="BV190" i="1" s="1"/>
  <c r="AT190" i="1"/>
  <c r="AS190" i="1"/>
  <c r="AR190" i="1"/>
  <c r="AQ190" i="1"/>
  <c r="BU189" i="1"/>
  <c r="BT189" i="1"/>
  <c r="BS189" i="1"/>
  <c r="BR189" i="1"/>
  <c r="AT189" i="1"/>
  <c r="AS189" i="1"/>
  <c r="AR189" i="1"/>
  <c r="AQ189" i="1"/>
  <c r="AU189" i="1" s="1"/>
  <c r="BU188" i="1"/>
  <c r="BT188" i="1"/>
  <c r="BS188" i="1"/>
  <c r="BR188" i="1"/>
  <c r="BV188" i="1" s="1"/>
  <c r="AT188" i="1"/>
  <c r="AS188" i="1"/>
  <c r="AR188" i="1"/>
  <c r="AQ188" i="1"/>
  <c r="BU187" i="1"/>
  <c r="BT187" i="1"/>
  <c r="BS187" i="1"/>
  <c r="BR187" i="1"/>
  <c r="AX187" i="1"/>
  <c r="AT187" i="1"/>
  <c r="AS187" i="1"/>
  <c r="AR187" i="1"/>
  <c r="AQ187" i="1"/>
  <c r="AU187" i="1" s="1"/>
  <c r="BU186" i="1"/>
  <c r="BT186" i="1"/>
  <c r="BS186" i="1"/>
  <c r="BR186" i="1"/>
  <c r="BV186" i="1" s="1"/>
  <c r="CA186" i="1" s="1"/>
  <c r="AT186" i="1"/>
  <c r="AS186" i="1"/>
  <c r="AR186" i="1"/>
  <c r="AQ186" i="1"/>
  <c r="BU185" i="1"/>
  <c r="BT185" i="1"/>
  <c r="BS185" i="1"/>
  <c r="BR185" i="1"/>
  <c r="AT185" i="1"/>
  <c r="AS185" i="1"/>
  <c r="AR185" i="1"/>
  <c r="AQ185" i="1"/>
  <c r="AU185" i="1" s="1"/>
  <c r="BU184" i="1"/>
  <c r="BT184" i="1"/>
  <c r="BS184" i="1"/>
  <c r="BR184" i="1"/>
  <c r="BV184" i="1" s="1"/>
  <c r="AT184" i="1"/>
  <c r="AS184" i="1"/>
  <c r="AR184" i="1"/>
  <c r="AQ184" i="1"/>
  <c r="BU183" i="1"/>
  <c r="BT183" i="1"/>
  <c r="BS183" i="1"/>
  <c r="BR183" i="1"/>
  <c r="AT183" i="1"/>
  <c r="AS183" i="1"/>
  <c r="AR183" i="1"/>
  <c r="AQ183" i="1"/>
  <c r="AU183" i="1" s="1"/>
  <c r="BU182" i="1"/>
  <c r="BT182" i="1"/>
  <c r="BS182" i="1"/>
  <c r="BR182" i="1"/>
  <c r="BV182" i="1" s="1"/>
  <c r="AT182" i="1"/>
  <c r="AY182" i="1" s="1"/>
  <c r="AS182" i="1"/>
  <c r="AR182" i="1"/>
  <c r="AQ182" i="1"/>
  <c r="BU181" i="1"/>
  <c r="BT181" i="1"/>
  <c r="BS181" i="1"/>
  <c r="BR181" i="1"/>
  <c r="AT181" i="1"/>
  <c r="AS181" i="1"/>
  <c r="AR181" i="1"/>
  <c r="AQ181" i="1"/>
  <c r="AU181" i="1" s="1"/>
  <c r="AT180" i="1"/>
  <c r="AS180" i="1"/>
  <c r="AR180" i="1"/>
  <c r="AQ180" i="1"/>
  <c r="AT179" i="1"/>
  <c r="AS179" i="1"/>
  <c r="AR179" i="1"/>
  <c r="AQ179" i="1"/>
  <c r="AT178" i="1"/>
  <c r="AS178" i="1"/>
  <c r="AR178" i="1"/>
  <c r="AQ178" i="1"/>
  <c r="AT177" i="1"/>
  <c r="AS177" i="1"/>
  <c r="AR177" i="1"/>
  <c r="AQ177" i="1"/>
  <c r="AT176" i="1"/>
  <c r="AS176" i="1"/>
  <c r="AR176" i="1"/>
  <c r="AQ176" i="1"/>
  <c r="AT175" i="1"/>
  <c r="AS175" i="1"/>
  <c r="AX175" i="1" s="1"/>
  <c r="AR175" i="1"/>
  <c r="AQ175" i="1"/>
  <c r="AY174" i="1"/>
  <c r="AT174" i="1"/>
  <c r="AS174" i="1"/>
  <c r="AR174" i="1"/>
  <c r="AQ174" i="1"/>
  <c r="AT173" i="1"/>
  <c r="AS173" i="1"/>
  <c r="AR173" i="1"/>
  <c r="AQ173" i="1"/>
  <c r="AT172" i="1"/>
  <c r="AS172" i="1"/>
  <c r="AR172" i="1"/>
  <c r="AQ172" i="1"/>
  <c r="AT171" i="1"/>
  <c r="AS171" i="1"/>
  <c r="AR171" i="1"/>
  <c r="AQ171" i="1"/>
  <c r="AT170" i="1"/>
  <c r="AS170" i="1"/>
  <c r="AR170" i="1"/>
  <c r="AQ170" i="1"/>
  <c r="CP169" i="1"/>
  <c r="AT169" i="1"/>
  <c r="AS169" i="1"/>
  <c r="AR169" i="1"/>
  <c r="AQ169" i="1"/>
  <c r="AV168" i="1"/>
  <c r="AT168" i="1"/>
  <c r="AS168" i="1"/>
  <c r="AR168" i="1"/>
  <c r="AQ168" i="1"/>
  <c r="AU168" i="1" s="1"/>
  <c r="CO167" i="1"/>
  <c r="AT167" i="1"/>
  <c r="AS167" i="1"/>
  <c r="AR167" i="1"/>
  <c r="AQ167" i="1"/>
  <c r="CO166" i="1"/>
  <c r="AT166" i="1"/>
  <c r="AS166" i="1"/>
  <c r="AR166" i="1"/>
  <c r="AQ166" i="1"/>
  <c r="CO165" i="1"/>
  <c r="AT165" i="1"/>
  <c r="AS165" i="1"/>
  <c r="AR165" i="1"/>
  <c r="AQ165" i="1"/>
  <c r="CO164" i="1"/>
  <c r="AX164" i="1"/>
  <c r="AT164" i="1"/>
  <c r="AS164" i="1"/>
  <c r="AR164" i="1"/>
  <c r="AQ164" i="1"/>
  <c r="AU164" i="1" s="1"/>
  <c r="CO163" i="1"/>
  <c r="AT163" i="1"/>
  <c r="AS163" i="1"/>
  <c r="AR163" i="1"/>
  <c r="AQ163" i="1"/>
  <c r="CO162" i="1"/>
  <c r="BU162" i="1"/>
  <c r="BT162" i="1"/>
  <c r="BS162" i="1"/>
  <c r="BR162" i="1"/>
  <c r="AT162" i="1"/>
  <c r="AS162" i="1"/>
  <c r="AR162" i="1"/>
  <c r="AQ162" i="1"/>
  <c r="CO161" i="1"/>
  <c r="BU161" i="1"/>
  <c r="BT161" i="1"/>
  <c r="BS161" i="1"/>
  <c r="BR161" i="1"/>
  <c r="AS161" i="1"/>
  <c r="AX161" i="1" s="1"/>
  <c r="AP161" i="1"/>
  <c r="AO161" i="1"/>
  <c r="AN161" i="1"/>
  <c r="AM161" i="1"/>
  <c r="AL161" i="1"/>
  <c r="AK161" i="1"/>
  <c r="AJ161" i="1"/>
  <c r="AI161" i="1"/>
  <c r="AH161" i="1"/>
  <c r="AR161" i="1" s="1"/>
  <c r="AG161" i="1"/>
  <c r="AF161" i="1"/>
  <c r="AE161" i="1"/>
  <c r="AQ161" i="1" s="1"/>
  <c r="CO160" i="1"/>
  <c r="BU160" i="1"/>
  <c r="BT160" i="1"/>
  <c r="BS160" i="1"/>
  <c r="BR160" i="1"/>
  <c r="AR160" i="1"/>
  <c r="AP160" i="1"/>
  <c r="AO160" i="1"/>
  <c r="AN160" i="1"/>
  <c r="AT160" i="1" s="1"/>
  <c r="AM160" i="1"/>
  <c r="AL160" i="1"/>
  <c r="AK160" i="1"/>
  <c r="AS160" i="1" s="1"/>
  <c r="AJ160" i="1"/>
  <c r="AI160" i="1"/>
  <c r="AH160" i="1"/>
  <c r="AG160" i="1"/>
  <c r="AF160" i="1"/>
  <c r="AE160" i="1"/>
  <c r="AQ160" i="1" s="1"/>
  <c r="CO159" i="1"/>
  <c r="BU159" i="1"/>
  <c r="BT159" i="1"/>
  <c r="BS159" i="1"/>
  <c r="BR159" i="1"/>
  <c r="AP159" i="1"/>
  <c r="AO159" i="1"/>
  <c r="AN159" i="1"/>
  <c r="AT159" i="1" s="1"/>
  <c r="AM159" i="1"/>
  <c r="AL159" i="1"/>
  <c r="AK159" i="1"/>
  <c r="AJ159" i="1"/>
  <c r="AI159" i="1"/>
  <c r="AH159" i="1"/>
  <c r="AR159" i="1" s="1"/>
  <c r="AG159" i="1"/>
  <c r="AF159" i="1"/>
  <c r="AE159" i="1"/>
  <c r="AQ159" i="1" s="1"/>
  <c r="CO158" i="1"/>
  <c r="BU158" i="1"/>
  <c r="BT158" i="1"/>
  <c r="BS158" i="1"/>
  <c r="BR158" i="1"/>
  <c r="AP158" i="1"/>
  <c r="AT158" i="1" s="1"/>
  <c r="AO158" i="1"/>
  <c r="AN158" i="1"/>
  <c r="AM158" i="1"/>
  <c r="AL158" i="1"/>
  <c r="AK158" i="1"/>
  <c r="AJ158" i="1"/>
  <c r="AI158" i="1"/>
  <c r="AH158" i="1"/>
  <c r="AR158" i="1" s="1"/>
  <c r="AG158" i="1"/>
  <c r="AF158" i="1"/>
  <c r="AE158" i="1"/>
  <c r="AQ158" i="1" s="1"/>
  <c r="CO157" i="1"/>
  <c r="BU157" i="1"/>
  <c r="BT157" i="1"/>
  <c r="BS157" i="1"/>
  <c r="BR157" i="1"/>
  <c r="AP157" i="1"/>
  <c r="AO157" i="1"/>
  <c r="AN157" i="1"/>
  <c r="AM157" i="1"/>
  <c r="AL157" i="1"/>
  <c r="AK157" i="1"/>
  <c r="AS157" i="1" s="1"/>
  <c r="AJ157" i="1"/>
  <c r="AI157" i="1"/>
  <c r="AH157" i="1"/>
  <c r="AR157" i="1" s="1"/>
  <c r="AG157" i="1"/>
  <c r="AF157" i="1"/>
  <c r="AE157" i="1"/>
  <c r="CO156" i="1"/>
  <c r="BU156" i="1"/>
  <c r="BT156" i="1"/>
  <c r="BS156" i="1"/>
  <c r="BX156" i="1" s="1"/>
  <c r="BR156" i="1"/>
  <c r="AR156" i="1"/>
  <c r="AP156" i="1"/>
  <c r="AO156" i="1"/>
  <c r="AN156" i="1"/>
  <c r="AT156" i="1" s="1"/>
  <c r="AM156" i="1"/>
  <c r="AL156" i="1"/>
  <c r="AK156" i="1"/>
  <c r="AS156" i="1" s="1"/>
  <c r="AJ156" i="1"/>
  <c r="AI156" i="1"/>
  <c r="AH156" i="1"/>
  <c r="AG156" i="1"/>
  <c r="AF156" i="1"/>
  <c r="AE156" i="1"/>
  <c r="AQ156" i="1" s="1"/>
  <c r="CO155" i="1"/>
  <c r="BU155" i="1"/>
  <c r="BT155" i="1"/>
  <c r="BS155" i="1"/>
  <c r="BR155" i="1"/>
  <c r="BW155" i="1" s="1"/>
  <c r="AP155" i="1"/>
  <c r="AO155" i="1"/>
  <c r="AN155" i="1"/>
  <c r="AT155" i="1" s="1"/>
  <c r="AM155" i="1"/>
  <c r="AL155" i="1"/>
  <c r="AK155" i="1"/>
  <c r="AS155" i="1" s="1"/>
  <c r="AJ155" i="1"/>
  <c r="AI155" i="1"/>
  <c r="AH155" i="1"/>
  <c r="AR155" i="1" s="1"/>
  <c r="AG155" i="1"/>
  <c r="AF155" i="1"/>
  <c r="AE155" i="1"/>
  <c r="AQ155" i="1" s="1"/>
  <c r="BU154" i="1"/>
  <c r="BT154" i="1"/>
  <c r="BS154" i="1"/>
  <c r="BX154" i="1" s="1"/>
  <c r="BR154" i="1"/>
  <c r="AR154" i="1"/>
  <c r="AP154" i="1"/>
  <c r="AO154" i="1"/>
  <c r="AN154" i="1"/>
  <c r="AT154" i="1" s="1"/>
  <c r="AM154" i="1"/>
  <c r="AL154" i="1"/>
  <c r="AK154" i="1"/>
  <c r="AS154" i="1" s="1"/>
  <c r="AJ154" i="1"/>
  <c r="AI154" i="1"/>
  <c r="AH154" i="1"/>
  <c r="AG154" i="1"/>
  <c r="AF154" i="1"/>
  <c r="AE154" i="1"/>
  <c r="AQ154" i="1" s="1"/>
  <c r="BU153" i="1"/>
  <c r="BT153" i="1"/>
  <c r="BS153" i="1"/>
  <c r="BR153" i="1"/>
  <c r="AP153" i="1"/>
  <c r="AO153" i="1"/>
  <c r="AN153" i="1"/>
  <c r="AT153" i="1" s="1"/>
  <c r="AM153" i="1"/>
  <c r="AL153" i="1"/>
  <c r="AK153" i="1"/>
  <c r="AS153" i="1" s="1"/>
  <c r="AJ153" i="1"/>
  <c r="AI153" i="1"/>
  <c r="AH153" i="1"/>
  <c r="AR153" i="1" s="1"/>
  <c r="AG153" i="1"/>
  <c r="AF153" i="1"/>
  <c r="AE153" i="1"/>
  <c r="BW152" i="1"/>
  <c r="BU152" i="1"/>
  <c r="BT152" i="1"/>
  <c r="BS152" i="1"/>
  <c r="BR152" i="1"/>
  <c r="BV152" i="1" s="1"/>
  <c r="CA152" i="1" s="1"/>
  <c r="AT152" i="1"/>
  <c r="AP152" i="1"/>
  <c r="AO152" i="1"/>
  <c r="AN152" i="1"/>
  <c r="AM152" i="1"/>
  <c r="AL152" i="1"/>
  <c r="AK152" i="1"/>
  <c r="AS152" i="1" s="1"/>
  <c r="AJ152" i="1"/>
  <c r="AI152" i="1"/>
  <c r="AH152" i="1"/>
  <c r="AR152" i="1" s="1"/>
  <c r="AG152" i="1"/>
  <c r="AF152" i="1"/>
  <c r="AE152" i="1"/>
  <c r="AQ152" i="1" s="1"/>
  <c r="BU151" i="1"/>
  <c r="BT151" i="1"/>
  <c r="BS151" i="1"/>
  <c r="BR151" i="1"/>
  <c r="AP151" i="1"/>
  <c r="AO151" i="1"/>
  <c r="AN151" i="1"/>
  <c r="AT151" i="1" s="1"/>
  <c r="AM151" i="1"/>
  <c r="AL151" i="1"/>
  <c r="AK151" i="1"/>
  <c r="AJ151" i="1"/>
  <c r="AI151" i="1"/>
  <c r="AH151" i="1"/>
  <c r="AG151" i="1"/>
  <c r="AF151" i="1"/>
  <c r="AE151" i="1"/>
  <c r="AQ151" i="1" s="1"/>
  <c r="BU150" i="1"/>
  <c r="BT150" i="1"/>
  <c r="BS150" i="1"/>
  <c r="BR150" i="1"/>
  <c r="AP150" i="1"/>
  <c r="AO150" i="1"/>
  <c r="AN150" i="1"/>
  <c r="AT150" i="1" s="1"/>
  <c r="AM150" i="1"/>
  <c r="AL150" i="1"/>
  <c r="AK150" i="1"/>
  <c r="AJ150" i="1"/>
  <c r="AI150" i="1"/>
  <c r="AH150" i="1"/>
  <c r="AG150" i="1"/>
  <c r="AF150" i="1"/>
  <c r="AE150" i="1"/>
  <c r="AQ150" i="1" s="1"/>
  <c r="BU149" i="1"/>
  <c r="BT149" i="1"/>
  <c r="BS149" i="1"/>
  <c r="BR149" i="1"/>
  <c r="AP149" i="1"/>
  <c r="AO149" i="1"/>
  <c r="AN149" i="1"/>
  <c r="AT149" i="1" s="1"/>
  <c r="AM149" i="1"/>
  <c r="AL149" i="1"/>
  <c r="AK149" i="1"/>
  <c r="AJ149" i="1"/>
  <c r="AI149" i="1"/>
  <c r="AH149" i="1"/>
  <c r="AG149" i="1"/>
  <c r="AF149" i="1"/>
  <c r="AE149" i="1"/>
  <c r="AQ149" i="1" s="1"/>
  <c r="BU148" i="1"/>
  <c r="BT148" i="1"/>
  <c r="BS148" i="1"/>
  <c r="BR148" i="1"/>
  <c r="AP148" i="1"/>
  <c r="AO148" i="1"/>
  <c r="AN148" i="1"/>
  <c r="AT148" i="1" s="1"/>
  <c r="AM148" i="1"/>
  <c r="AL148" i="1"/>
  <c r="AK148" i="1"/>
  <c r="AJ148" i="1"/>
  <c r="AI148" i="1"/>
  <c r="AH148" i="1"/>
  <c r="AG148" i="1"/>
  <c r="AF148" i="1"/>
  <c r="AE148" i="1"/>
  <c r="AQ148" i="1" s="1"/>
  <c r="BU147" i="1"/>
  <c r="BT147" i="1"/>
  <c r="BS147" i="1"/>
  <c r="BR147" i="1"/>
  <c r="AP147" i="1"/>
  <c r="AO147" i="1"/>
  <c r="AN147" i="1"/>
  <c r="AT147" i="1" s="1"/>
  <c r="AM147" i="1"/>
  <c r="AL147" i="1"/>
  <c r="AK147" i="1"/>
  <c r="AJ147" i="1"/>
  <c r="AI147" i="1"/>
  <c r="AH147" i="1"/>
  <c r="AG147" i="1"/>
  <c r="AF147" i="1"/>
  <c r="AE147" i="1"/>
  <c r="AQ147" i="1" s="1"/>
  <c r="AP146" i="1"/>
  <c r="AO146" i="1"/>
  <c r="AN146" i="1"/>
  <c r="AM146" i="1"/>
  <c r="AL146" i="1"/>
  <c r="AK146" i="1"/>
  <c r="AS146" i="1" s="1"/>
  <c r="AJ146" i="1"/>
  <c r="AI146" i="1"/>
  <c r="AH146" i="1"/>
  <c r="AR146" i="1" s="1"/>
  <c r="AW146" i="1" s="1"/>
  <c r="AG146" i="1"/>
  <c r="AF146" i="1"/>
  <c r="AE146" i="1"/>
  <c r="BU145" i="1"/>
  <c r="BT145" i="1"/>
  <c r="BS145" i="1"/>
  <c r="BR145" i="1"/>
  <c r="BV145" i="1" s="1"/>
  <c r="CA145" i="1" s="1"/>
  <c r="AP145" i="1"/>
  <c r="AO145" i="1"/>
  <c r="AN145" i="1"/>
  <c r="AT145" i="1" s="1"/>
  <c r="AM145" i="1"/>
  <c r="AL145" i="1"/>
  <c r="AK145" i="1"/>
  <c r="AS145" i="1" s="1"/>
  <c r="AJ145" i="1"/>
  <c r="AR145" i="1" s="1"/>
  <c r="AI145" i="1"/>
  <c r="AH145" i="1"/>
  <c r="AG145" i="1"/>
  <c r="AF145" i="1"/>
  <c r="AE145" i="1"/>
  <c r="BU144" i="1"/>
  <c r="BT144" i="1"/>
  <c r="BS144" i="1"/>
  <c r="BR144" i="1"/>
  <c r="BV144" i="1" s="1"/>
  <c r="AT144" i="1"/>
  <c r="AS144" i="1"/>
  <c r="AR144" i="1"/>
  <c r="AQ144" i="1"/>
  <c r="AU144" i="1" s="1"/>
  <c r="BU143" i="1"/>
  <c r="BT143" i="1"/>
  <c r="BS143" i="1"/>
  <c r="BX143" i="1" s="1"/>
  <c r="BR143" i="1"/>
  <c r="AT143" i="1"/>
  <c r="AS143" i="1"/>
  <c r="AR143" i="1"/>
  <c r="AQ143" i="1"/>
  <c r="CN142" i="1"/>
  <c r="CM142" i="1"/>
  <c r="CL142" i="1"/>
  <c r="CK142" i="1"/>
  <c r="CJ142" i="1"/>
  <c r="BU142" i="1"/>
  <c r="BT142" i="1"/>
  <c r="BY142" i="1" s="1"/>
  <c r="BS142" i="1"/>
  <c r="BR142" i="1"/>
  <c r="AT142" i="1"/>
  <c r="AS142" i="1"/>
  <c r="AR142" i="1"/>
  <c r="AQ142" i="1"/>
  <c r="CN141" i="1"/>
  <c r="CM141" i="1"/>
  <c r="CL141" i="1"/>
  <c r="CK141" i="1"/>
  <c r="CJ141" i="1"/>
  <c r="BU141" i="1"/>
  <c r="BT141" i="1"/>
  <c r="BS141" i="1"/>
  <c r="BR141" i="1"/>
  <c r="BV141" i="1" s="1"/>
  <c r="AT141" i="1"/>
  <c r="AY141" i="1" s="1"/>
  <c r="AS141" i="1"/>
  <c r="AR141" i="1"/>
  <c r="AQ141" i="1"/>
  <c r="CN140" i="1"/>
  <c r="CM140" i="1"/>
  <c r="CL140" i="1"/>
  <c r="CK140" i="1"/>
  <c r="CJ140" i="1"/>
  <c r="BU140" i="1"/>
  <c r="BT140" i="1"/>
  <c r="BS140" i="1"/>
  <c r="BR140" i="1"/>
  <c r="AT140" i="1"/>
  <c r="AS140" i="1"/>
  <c r="AR140" i="1"/>
  <c r="AQ140" i="1"/>
  <c r="CN139" i="1"/>
  <c r="CM139" i="1"/>
  <c r="CL139" i="1"/>
  <c r="CK139" i="1"/>
  <c r="CJ139" i="1"/>
  <c r="BU139" i="1"/>
  <c r="BT139" i="1"/>
  <c r="BS139" i="1"/>
  <c r="BX139" i="1" s="1"/>
  <c r="BR139" i="1"/>
  <c r="AT139" i="1"/>
  <c r="AS139" i="1"/>
  <c r="AR139" i="1"/>
  <c r="AQ139" i="1"/>
  <c r="CN138" i="1"/>
  <c r="CM138" i="1"/>
  <c r="CL138" i="1"/>
  <c r="CK138" i="1"/>
  <c r="CJ138" i="1"/>
  <c r="BU138" i="1"/>
  <c r="BT138" i="1"/>
  <c r="BY138" i="1" s="1"/>
  <c r="BS138" i="1"/>
  <c r="BR138" i="1"/>
  <c r="AT138" i="1"/>
  <c r="AS138" i="1"/>
  <c r="AR138" i="1"/>
  <c r="AQ138" i="1"/>
  <c r="CN137" i="1"/>
  <c r="CM137" i="1"/>
  <c r="CL137" i="1"/>
  <c r="CK137" i="1"/>
  <c r="CJ137" i="1"/>
  <c r="BU137" i="1"/>
  <c r="BT137" i="1"/>
  <c r="BS137" i="1"/>
  <c r="BR137" i="1"/>
  <c r="BV137" i="1" s="1"/>
  <c r="AT137" i="1"/>
  <c r="AY137" i="1" s="1"/>
  <c r="AS137" i="1"/>
  <c r="AR137" i="1"/>
  <c r="AQ137" i="1"/>
  <c r="CN136" i="1"/>
  <c r="CM136" i="1"/>
  <c r="CL136" i="1"/>
  <c r="CK136" i="1"/>
  <c r="CJ136" i="1"/>
  <c r="BU136" i="1"/>
  <c r="BT136" i="1"/>
  <c r="BS136" i="1"/>
  <c r="BR136" i="1"/>
  <c r="AT136" i="1"/>
  <c r="AS136" i="1"/>
  <c r="AR136" i="1"/>
  <c r="AQ136" i="1"/>
  <c r="CN135" i="1"/>
  <c r="CM135" i="1"/>
  <c r="CL135" i="1"/>
  <c r="CK135" i="1"/>
  <c r="CJ135" i="1"/>
  <c r="BU135" i="1"/>
  <c r="BT135" i="1"/>
  <c r="BS135" i="1"/>
  <c r="BX135" i="1" s="1"/>
  <c r="BR135" i="1"/>
  <c r="AT135" i="1"/>
  <c r="AS135" i="1"/>
  <c r="AR135" i="1"/>
  <c r="AQ135" i="1"/>
  <c r="CN134" i="1"/>
  <c r="CM134" i="1"/>
  <c r="CL134" i="1"/>
  <c r="CK134" i="1"/>
  <c r="CJ134" i="1"/>
  <c r="BU134" i="1"/>
  <c r="BT134" i="1"/>
  <c r="BY134" i="1" s="1"/>
  <c r="BS134" i="1"/>
  <c r="BR134" i="1"/>
  <c r="AT134" i="1"/>
  <c r="AS134" i="1"/>
  <c r="AR134" i="1"/>
  <c r="AQ134" i="1"/>
  <c r="CN133" i="1"/>
  <c r="CM133" i="1"/>
  <c r="CL133" i="1"/>
  <c r="CK133" i="1"/>
  <c r="CJ133" i="1"/>
  <c r="BU133" i="1"/>
  <c r="BT133" i="1"/>
  <c r="BS133" i="1"/>
  <c r="BR133" i="1"/>
  <c r="BV133" i="1" s="1"/>
  <c r="AT133" i="1"/>
  <c r="AY133" i="1" s="1"/>
  <c r="AS133" i="1"/>
  <c r="AR133" i="1"/>
  <c r="AQ133" i="1"/>
  <c r="CN132" i="1"/>
  <c r="CM132" i="1"/>
  <c r="CL132" i="1"/>
  <c r="CK132" i="1"/>
  <c r="CJ132" i="1"/>
  <c r="BU132" i="1"/>
  <c r="BT132" i="1"/>
  <c r="BS132" i="1"/>
  <c r="BR132" i="1"/>
  <c r="AT132" i="1"/>
  <c r="AS132" i="1"/>
  <c r="AR132" i="1"/>
  <c r="AQ132" i="1"/>
  <c r="CN131" i="1"/>
  <c r="CM131" i="1"/>
  <c r="CL131" i="1"/>
  <c r="CK131" i="1"/>
  <c r="CJ131" i="1"/>
  <c r="BU131" i="1"/>
  <c r="BT131" i="1"/>
  <c r="BS131" i="1"/>
  <c r="BX131" i="1" s="1"/>
  <c r="BR131" i="1"/>
  <c r="AT131" i="1"/>
  <c r="AS131" i="1"/>
  <c r="AR131" i="1"/>
  <c r="AQ131" i="1"/>
  <c r="CN130" i="1"/>
  <c r="CM130" i="1"/>
  <c r="CL130" i="1"/>
  <c r="CK130" i="1"/>
  <c r="CJ130" i="1"/>
  <c r="BU130" i="1"/>
  <c r="BT130" i="1"/>
  <c r="BS130" i="1"/>
  <c r="BR130" i="1"/>
  <c r="AT130" i="1"/>
  <c r="AS130" i="1"/>
  <c r="AR130" i="1"/>
  <c r="AQ130" i="1"/>
  <c r="CN129" i="1"/>
  <c r="CM129" i="1"/>
  <c r="CL129" i="1"/>
  <c r="CK129" i="1"/>
  <c r="CJ129" i="1"/>
  <c r="AT129" i="1"/>
  <c r="AS129" i="1"/>
  <c r="AR129" i="1"/>
  <c r="AQ129" i="1"/>
  <c r="AU129" i="1" s="1"/>
  <c r="CN128" i="1"/>
  <c r="CM128" i="1"/>
  <c r="CL128" i="1"/>
  <c r="CK128" i="1"/>
  <c r="CJ128" i="1"/>
  <c r="BU128" i="1"/>
  <c r="BT128" i="1"/>
  <c r="BS128" i="1"/>
  <c r="BR128" i="1"/>
  <c r="AT128" i="1"/>
  <c r="AS128" i="1"/>
  <c r="AR128" i="1"/>
  <c r="AQ128" i="1"/>
  <c r="CN127" i="1"/>
  <c r="CM127" i="1"/>
  <c r="CL127" i="1"/>
  <c r="CK127" i="1"/>
  <c r="CJ127" i="1"/>
  <c r="BU127" i="1"/>
  <c r="BT127" i="1"/>
  <c r="BS127" i="1"/>
  <c r="BR127" i="1"/>
  <c r="AT127" i="1"/>
  <c r="AS127" i="1"/>
  <c r="AR127" i="1"/>
  <c r="AQ127" i="1"/>
  <c r="BU126" i="1"/>
  <c r="BT126" i="1"/>
  <c r="BS126" i="1"/>
  <c r="BR126" i="1"/>
  <c r="AW126" i="1"/>
  <c r="AT126" i="1"/>
  <c r="AS126" i="1"/>
  <c r="AR126" i="1"/>
  <c r="AQ126" i="1"/>
  <c r="BU125" i="1"/>
  <c r="BT125" i="1"/>
  <c r="BS125" i="1"/>
  <c r="BR125" i="1"/>
  <c r="AT125" i="1"/>
  <c r="AS125" i="1"/>
  <c r="AR125" i="1"/>
  <c r="AQ125" i="1"/>
  <c r="BU124" i="1"/>
  <c r="BT124" i="1"/>
  <c r="BS124" i="1"/>
  <c r="BR124" i="1"/>
  <c r="AT124" i="1"/>
  <c r="AS124" i="1"/>
  <c r="AR124" i="1"/>
  <c r="AQ124" i="1"/>
  <c r="BU123" i="1"/>
  <c r="BT123" i="1"/>
  <c r="BS123" i="1"/>
  <c r="BR123" i="1"/>
  <c r="AT123" i="1"/>
  <c r="AS123" i="1"/>
  <c r="AR123" i="1"/>
  <c r="AQ123" i="1"/>
  <c r="BU122" i="1"/>
  <c r="BT122" i="1"/>
  <c r="BS122" i="1"/>
  <c r="BR122" i="1"/>
  <c r="AT122" i="1"/>
  <c r="AS122" i="1"/>
  <c r="AR122" i="1"/>
  <c r="AQ122" i="1"/>
  <c r="BU121" i="1"/>
  <c r="BT121" i="1"/>
  <c r="BS121" i="1"/>
  <c r="BR121" i="1"/>
  <c r="AT121" i="1"/>
  <c r="AS121" i="1"/>
  <c r="AR121" i="1"/>
  <c r="AQ121" i="1"/>
  <c r="BZ120" i="1"/>
  <c r="BU120" i="1"/>
  <c r="BT120" i="1"/>
  <c r="BS120" i="1"/>
  <c r="BR120" i="1"/>
  <c r="AT120" i="1"/>
  <c r="AS120" i="1"/>
  <c r="AR120" i="1"/>
  <c r="AQ120" i="1"/>
  <c r="BU119" i="1"/>
  <c r="BT119" i="1"/>
  <c r="BS119" i="1"/>
  <c r="BR119" i="1"/>
  <c r="AT119" i="1"/>
  <c r="AS119" i="1"/>
  <c r="AR119" i="1"/>
  <c r="AQ119" i="1"/>
  <c r="BU118" i="1"/>
  <c r="BT118" i="1"/>
  <c r="BS118" i="1"/>
  <c r="BR118" i="1"/>
  <c r="BV118" i="1" s="1"/>
  <c r="AT118" i="1"/>
  <c r="AS118" i="1"/>
  <c r="AR118" i="1"/>
  <c r="AQ118" i="1"/>
  <c r="BU117" i="1"/>
  <c r="BT117" i="1"/>
  <c r="BS117" i="1"/>
  <c r="BR117" i="1"/>
  <c r="AT117" i="1"/>
  <c r="AS117" i="1"/>
  <c r="AR117" i="1"/>
  <c r="AQ117" i="1"/>
  <c r="BU116" i="1"/>
  <c r="BT116" i="1"/>
  <c r="BS116" i="1"/>
  <c r="BR116" i="1"/>
  <c r="BV116" i="1" s="1"/>
  <c r="CA116" i="1" s="1"/>
  <c r="AT116" i="1"/>
  <c r="AS116" i="1"/>
  <c r="AR116" i="1"/>
  <c r="AQ116" i="1"/>
  <c r="AU116" i="1" s="1"/>
  <c r="M17" i="5" s="1"/>
  <c r="BU115" i="1"/>
  <c r="BT115" i="1"/>
  <c r="BS115" i="1"/>
  <c r="BR115" i="1"/>
  <c r="AT115" i="1"/>
  <c r="AS115" i="1"/>
  <c r="AR115" i="1"/>
  <c r="AQ115" i="1"/>
  <c r="BU114" i="1"/>
  <c r="BT114" i="1"/>
  <c r="BS114" i="1"/>
  <c r="BR114" i="1"/>
  <c r="AT114" i="1"/>
  <c r="AS114" i="1"/>
  <c r="AR114" i="1"/>
  <c r="AQ114" i="1"/>
  <c r="AU114" i="1" s="1"/>
  <c r="BU113" i="1"/>
  <c r="BT113" i="1"/>
  <c r="BS113" i="1"/>
  <c r="BR113" i="1"/>
  <c r="AY113" i="1"/>
  <c r="AT113" i="1"/>
  <c r="AS113" i="1"/>
  <c r="AR113" i="1"/>
  <c r="AQ113" i="1"/>
  <c r="BU112" i="1"/>
  <c r="BT112" i="1"/>
  <c r="BS112" i="1"/>
  <c r="BR112" i="1"/>
  <c r="AT112" i="1"/>
  <c r="AS112" i="1"/>
  <c r="AR112" i="1"/>
  <c r="AQ112" i="1"/>
  <c r="BU111" i="1"/>
  <c r="BT111" i="1"/>
  <c r="BS111" i="1"/>
  <c r="BR111" i="1"/>
  <c r="AT111" i="1"/>
  <c r="AS111" i="1"/>
  <c r="AR111" i="1"/>
  <c r="AQ111" i="1"/>
  <c r="BU110" i="1"/>
  <c r="BT110" i="1"/>
  <c r="BS110" i="1"/>
  <c r="BR110" i="1"/>
  <c r="AT110" i="1"/>
  <c r="AS110" i="1"/>
  <c r="AR110" i="1"/>
  <c r="AQ110" i="1"/>
  <c r="BU109" i="1"/>
  <c r="BT109" i="1"/>
  <c r="BS109" i="1"/>
  <c r="BR109" i="1"/>
  <c r="AT109" i="1"/>
  <c r="AS109" i="1"/>
  <c r="AR109" i="1"/>
  <c r="AQ109" i="1"/>
  <c r="AU109" i="1" s="1"/>
  <c r="BU108" i="1"/>
  <c r="BT108" i="1"/>
  <c r="BS108" i="1"/>
  <c r="BR108" i="1"/>
  <c r="AT108" i="1"/>
  <c r="AS108" i="1"/>
  <c r="AR108" i="1"/>
  <c r="AQ108" i="1"/>
  <c r="BU107" i="1"/>
  <c r="BT107" i="1"/>
  <c r="BS107" i="1"/>
  <c r="BR107" i="1"/>
  <c r="BV107" i="1" s="1"/>
  <c r="AT107" i="1"/>
  <c r="AY107" i="1" s="1"/>
  <c r="AS107" i="1"/>
  <c r="AR107" i="1"/>
  <c r="AQ107" i="1"/>
  <c r="BU106" i="1"/>
  <c r="BT106" i="1"/>
  <c r="BS106" i="1"/>
  <c r="BR106" i="1"/>
  <c r="AT106" i="1"/>
  <c r="AS106" i="1"/>
  <c r="AR106" i="1"/>
  <c r="AQ106" i="1"/>
  <c r="BU105" i="1"/>
  <c r="BT105" i="1"/>
  <c r="BS105" i="1"/>
  <c r="BR105" i="1"/>
  <c r="AV105" i="1"/>
  <c r="AT105" i="1"/>
  <c r="AS105" i="1"/>
  <c r="AR105" i="1"/>
  <c r="AQ105" i="1"/>
  <c r="AU105" i="1" s="1"/>
  <c r="BU104" i="1"/>
  <c r="BT104" i="1"/>
  <c r="BS104" i="1"/>
  <c r="BR104" i="1"/>
  <c r="AT104" i="1"/>
  <c r="AS104" i="1"/>
  <c r="AR104" i="1"/>
  <c r="AQ104" i="1"/>
  <c r="BU103" i="1"/>
  <c r="BT103" i="1"/>
  <c r="BS103" i="1"/>
  <c r="BR103" i="1"/>
  <c r="BV103" i="1" s="1"/>
  <c r="AX103" i="1"/>
  <c r="AT103" i="1"/>
  <c r="AS103" i="1"/>
  <c r="AR103" i="1"/>
  <c r="AQ103" i="1"/>
  <c r="BU102" i="1"/>
  <c r="BT102" i="1"/>
  <c r="BS102" i="1"/>
  <c r="BX102" i="1" s="1"/>
  <c r="BR102" i="1"/>
  <c r="AT102" i="1"/>
  <c r="AY102" i="1" s="1"/>
  <c r="AS102" i="1"/>
  <c r="AR102" i="1"/>
  <c r="AQ102" i="1"/>
  <c r="BU101" i="1"/>
  <c r="BT101" i="1"/>
  <c r="BS101" i="1"/>
  <c r="BR101" i="1"/>
  <c r="BV101" i="1" s="1"/>
  <c r="CA101" i="1" s="1"/>
  <c r="AT101" i="1"/>
  <c r="AS101" i="1"/>
  <c r="AR101" i="1"/>
  <c r="AQ101" i="1"/>
  <c r="AU101" i="1" s="1"/>
  <c r="P19" i="5" s="1"/>
  <c r="U15" i="6" s="1"/>
  <c r="BU100" i="1"/>
  <c r="BZ100" i="1" s="1"/>
  <c r="BT100" i="1"/>
  <c r="BS100" i="1"/>
  <c r="BR100" i="1"/>
  <c r="AT100" i="1"/>
  <c r="AS100" i="1"/>
  <c r="AR100" i="1"/>
  <c r="AW100" i="1" s="1"/>
  <c r="AQ100" i="1"/>
  <c r="BU99" i="1"/>
  <c r="BT99" i="1"/>
  <c r="BS99" i="1"/>
  <c r="BR99" i="1"/>
  <c r="BV99" i="1" s="1"/>
  <c r="AT99" i="1"/>
  <c r="AS99" i="1"/>
  <c r="AR99" i="1"/>
  <c r="AQ99" i="1"/>
  <c r="AU99" i="1" s="1"/>
  <c r="P17" i="5" s="1"/>
  <c r="U13" i="6" s="1"/>
  <c r="BU98" i="1"/>
  <c r="BT98" i="1"/>
  <c r="BS98" i="1"/>
  <c r="BX98" i="1" s="1"/>
  <c r="BR98" i="1"/>
  <c r="AT98" i="1"/>
  <c r="AY98" i="1" s="1"/>
  <c r="AS98" i="1"/>
  <c r="AR98" i="1"/>
  <c r="AQ98" i="1"/>
  <c r="BY97" i="1"/>
  <c r="BU97" i="1"/>
  <c r="BT97" i="1"/>
  <c r="BS97" i="1"/>
  <c r="BR97" i="1"/>
  <c r="BV97" i="1" s="1"/>
  <c r="AT97" i="1"/>
  <c r="AS97" i="1"/>
  <c r="AR97" i="1"/>
  <c r="AQ97" i="1"/>
  <c r="AU97" i="1" s="1"/>
  <c r="P15" i="5" s="1"/>
  <c r="U11" i="6" s="1"/>
  <c r="BU96" i="1"/>
  <c r="BZ96" i="1" s="1"/>
  <c r="BT96" i="1"/>
  <c r="BS96" i="1"/>
  <c r="BR96" i="1"/>
  <c r="AT96" i="1"/>
  <c r="AS96" i="1"/>
  <c r="AR96" i="1"/>
  <c r="AW96" i="1" s="1"/>
  <c r="AQ96" i="1"/>
  <c r="BU95" i="1"/>
  <c r="BT95" i="1"/>
  <c r="BS95" i="1"/>
  <c r="BR95" i="1"/>
  <c r="AT95" i="1"/>
  <c r="AS95" i="1"/>
  <c r="AR95" i="1"/>
  <c r="AQ95" i="1"/>
  <c r="AU95" i="1" s="1"/>
  <c r="BU94" i="1"/>
  <c r="BT94" i="1"/>
  <c r="BS94" i="1"/>
  <c r="BR94" i="1"/>
  <c r="AU94" i="1"/>
  <c r="P12" i="5" s="1"/>
  <c r="U8" i="6" s="1"/>
  <c r="AT94" i="1"/>
  <c r="AS94" i="1"/>
  <c r="AR94" i="1"/>
  <c r="AQ94" i="1"/>
  <c r="BU93" i="1"/>
  <c r="BT93" i="1"/>
  <c r="BS93" i="1"/>
  <c r="BR93" i="1"/>
  <c r="AM93" i="1"/>
  <c r="AI93" i="1"/>
  <c r="AE93" i="1"/>
  <c r="BU92" i="1"/>
  <c r="BT92" i="1"/>
  <c r="BS92" i="1"/>
  <c r="BX92" i="1" s="1"/>
  <c r="BR92" i="1"/>
  <c r="AR92" i="1"/>
  <c r="AW92" i="1" s="1"/>
  <c r="AN92" i="1"/>
  <c r="AJ92" i="1"/>
  <c r="AF92" i="1"/>
  <c r="BU91" i="1"/>
  <c r="BT91" i="1"/>
  <c r="BY91" i="1" s="1"/>
  <c r="BS91" i="1"/>
  <c r="BR91" i="1"/>
  <c r="EH90" i="1"/>
  <c r="BU90" i="1"/>
  <c r="BT90" i="1"/>
  <c r="BS90" i="1"/>
  <c r="BR90" i="1"/>
  <c r="AM90" i="1"/>
  <c r="AI90" i="1"/>
  <c r="AE90" i="1"/>
  <c r="EH89" i="1"/>
  <c r="BZ89" i="1"/>
  <c r="BU89" i="1"/>
  <c r="BT89" i="1"/>
  <c r="BS89" i="1"/>
  <c r="BR89" i="1"/>
  <c r="AO89" i="1"/>
  <c r="AK89" i="1"/>
  <c r="AG89" i="1"/>
  <c r="EH88" i="1"/>
  <c r="BU88" i="1"/>
  <c r="BT88" i="1"/>
  <c r="BS88" i="1"/>
  <c r="BR88" i="1"/>
  <c r="AM88" i="1"/>
  <c r="AI88" i="1"/>
  <c r="AE88" i="1"/>
  <c r="EH87" i="1"/>
  <c r="BU87" i="1"/>
  <c r="BT87" i="1"/>
  <c r="BS87" i="1"/>
  <c r="BR87" i="1"/>
  <c r="BW87" i="1" s="1"/>
  <c r="BF87" i="1"/>
  <c r="AP87" i="1"/>
  <c r="AL87" i="1"/>
  <c r="AH87" i="1"/>
  <c r="EH86" i="1"/>
  <c r="BU86" i="1"/>
  <c r="BT86" i="1"/>
  <c r="BS86" i="1"/>
  <c r="BX86" i="1" s="1"/>
  <c r="BR86" i="1"/>
  <c r="AN86" i="1"/>
  <c r="AJ86" i="1"/>
  <c r="AF86" i="1"/>
  <c r="EH85" i="1"/>
  <c r="BU85" i="1"/>
  <c r="BT85" i="1"/>
  <c r="BS85" i="1"/>
  <c r="BR85" i="1"/>
  <c r="AX85" i="1"/>
  <c r="AP85" i="1"/>
  <c r="AL85" i="1"/>
  <c r="AH85" i="1"/>
  <c r="EH84" i="1"/>
  <c r="BU84" i="1"/>
  <c r="BZ84" i="1" s="1"/>
  <c r="BT84" i="1"/>
  <c r="BS84" i="1"/>
  <c r="BR84" i="1"/>
  <c r="AN84" i="1"/>
  <c r="AJ84" i="1"/>
  <c r="AF84" i="1"/>
  <c r="EH83" i="1"/>
  <c r="BU83" i="1"/>
  <c r="BT83" i="1"/>
  <c r="BS83" i="1"/>
  <c r="BX83" i="1" s="1"/>
  <c r="BR83" i="1"/>
  <c r="AP83" i="1"/>
  <c r="AL83" i="1"/>
  <c r="AH83" i="1"/>
  <c r="EH82" i="1"/>
  <c r="BU82" i="1"/>
  <c r="BT82" i="1"/>
  <c r="BS82" i="1"/>
  <c r="BX82" i="1" s="1"/>
  <c r="BR82" i="1"/>
  <c r="AN82" i="1"/>
  <c r="AJ82" i="1"/>
  <c r="AF82" i="1"/>
  <c r="EH81" i="1"/>
  <c r="BU81" i="1"/>
  <c r="BZ81" i="1" s="1"/>
  <c r="BT81" i="1"/>
  <c r="BS81" i="1"/>
  <c r="BR81" i="1"/>
  <c r="AP81" i="1"/>
  <c r="AL81" i="1"/>
  <c r="AH81" i="1"/>
  <c r="EH80" i="1"/>
  <c r="BU80" i="1"/>
  <c r="BZ80" i="1" s="1"/>
  <c r="BT80" i="1"/>
  <c r="BS80" i="1"/>
  <c r="BR80" i="1"/>
  <c r="AN80" i="1"/>
  <c r="AJ80" i="1"/>
  <c r="AF80" i="1"/>
  <c r="EH79" i="1"/>
  <c r="BU79" i="1"/>
  <c r="BT79" i="1"/>
  <c r="BS79" i="1"/>
  <c r="BX79" i="1" s="1"/>
  <c r="BR79" i="1"/>
  <c r="AP79" i="1"/>
  <c r="AL79" i="1"/>
  <c r="AH79" i="1"/>
  <c r="EH78" i="1"/>
  <c r="BU78" i="1"/>
  <c r="BT78" i="1"/>
  <c r="BS78" i="1"/>
  <c r="BR78" i="1"/>
  <c r="EH77" i="1"/>
  <c r="BU77" i="1"/>
  <c r="BT77" i="1"/>
  <c r="BS77" i="1"/>
  <c r="BR77" i="1"/>
  <c r="AO77" i="1"/>
  <c r="AK77" i="1"/>
  <c r="AS77" i="1" s="1"/>
  <c r="AG77" i="1"/>
  <c r="EH76" i="1"/>
  <c r="BU76" i="1"/>
  <c r="BT76" i="1"/>
  <c r="BS76" i="1"/>
  <c r="BR76" i="1"/>
  <c r="BV76" i="1" s="1"/>
  <c r="AP76" i="1"/>
  <c r="AP93" i="1" s="1"/>
  <c r="AO76" i="1"/>
  <c r="AO93" i="1" s="1"/>
  <c r="AN76" i="1"/>
  <c r="AN93" i="1" s="1"/>
  <c r="AT93" i="1" s="1"/>
  <c r="AY93" i="1" s="1"/>
  <c r="AM76" i="1"/>
  <c r="AL76" i="1"/>
  <c r="AL93" i="1" s="1"/>
  <c r="AK76" i="1"/>
  <c r="AK93" i="1" s="1"/>
  <c r="AJ76" i="1"/>
  <c r="AJ93" i="1" s="1"/>
  <c r="AI76" i="1"/>
  <c r="AH76" i="1"/>
  <c r="AH93" i="1" s="1"/>
  <c r="AG76" i="1"/>
  <c r="AG93" i="1" s="1"/>
  <c r="AF76" i="1"/>
  <c r="AR76" i="1" s="1"/>
  <c r="BS42" i="1" s="1"/>
  <c r="BX42" i="1" s="1"/>
  <c r="AE76" i="1"/>
  <c r="EH75" i="1"/>
  <c r="BU75" i="1"/>
  <c r="BT75" i="1"/>
  <c r="BS75" i="1"/>
  <c r="BR75" i="1"/>
  <c r="BV75" i="1" s="1"/>
  <c r="AP75" i="1"/>
  <c r="AP92" i="1" s="1"/>
  <c r="AO75" i="1"/>
  <c r="AO92" i="1" s="1"/>
  <c r="AN75" i="1"/>
  <c r="AM75" i="1"/>
  <c r="AM92" i="1" s="1"/>
  <c r="AL75" i="1"/>
  <c r="AL92" i="1" s="1"/>
  <c r="AK75" i="1"/>
  <c r="AK92" i="1" s="1"/>
  <c r="AJ75" i="1"/>
  <c r="AI75" i="1"/>
  <c r="AI92" i="1" s="1"/>
  <c r="AH75" i="1"/>
  <c r="AH92" i="1" s="1"/>
  <c r="AG75" i="1"/>
  <c r="AG92" i="1" s="1"/>
  <c r="AF75" i="1"/>
  <c r="AR75" i="1" s="1"/>
  <c r="BS41" i="1" s="1"/>
  <c r="AE75" i="1"/>
  <c r="AE92" i="1" s="1"/>
  <c r="EH74" i="1"/>
  <c r="BU74" i="1"/>
  <c r="BT74" i="1"/>
  <c r="BS74" i="1"/>
  <c r="BR74" i="1"/>
  <c r="BV74" i="1" s="1"/>
  <c r="AP74" i="1"/>
  <c r="AP91" i="1" s="1"/>
  <c r="AO74" i="1"/>
  <c r="AO91" i="1" s="1"/>
  <c r="AN74" i="1"/>
  <c r="AN91" i="1" s="1"/>
  <c r="AM74" i="1"/>
  <c r="AM91" i="1" s="1"/>
  <c r="AL74" i="1"/>
  <c r="AL91" i="1" s="1"/>
  <c r="AK74" i="1"/>
  <c r="AK91" i="1" s="1"/>
  <c r="AS91" i="1" s="1"/>
  <c r="AX91" i="1" s="1"/>
  <c r="AJ74" i="1"/>
  <c r="AJ91" i="1" s="1"/>
  <c r="AI74" i="1"/>
  <c r="AI91" i="1" s="1"/>
  <c r="AH74" i="1"/>
  <c r="AH91" i="1" s="1"/>
  <c r="AG74" i="1"/>
  <c r="AS74" i="1" s="1"/>
  <c r="AF74" i="1"/>
  <c r="AF91" i="1" s="1"/>
  <c r="AE74" i="1"/>
  <c r="AE91" i="1" s="1"/>
  <c r="EO73" i="1"/>
  <c r="EH73" i="1"/>
  <c r="BU73" i="1"/>
  <c r="BT73" i="1"/>
  <c r="BS73" i="1"/>
  <c r="BR73" i="1"/>
  <c r="AP73" i="1"/>
  <c r="AO73" i="1"/>
  <c r="AO90" i="1" s="1"/>
  <c r="AN73" i="1"/>
  <c r="AN90" i="1" s="1"/>
  <c r="AM73" i="1"/>
  <c r="AL73" i="1"/>
  <c r="AK73" i="1"/>
  <c r="AK90" i="1" s="1"/>
  <c r="AJ73" i="1"/>
  <c r="AJ90" i="1" s="1"/>
  <c r="AI73" i="1"/>
  <c r="AH73" i="1"/>
  <c r="AG73" i="1"/>
  <c r="AF73" i="1"/>
  <c r="AR73" i="1" s="1"/>
  <c r="AE73" i="1"/>
  <c r="AQ73" i="1" s="1"/>
  <c r="EH72" i="1"/>
  <c r="BU72" i="1"/>
  <c r="BT72" i="1"/>
  <c r="BS72" i="1"/>
  <c r="BR72" i="1"/>
  <c r="BV72" i="1" s="1"/>
  <c r="AT72" i="1"/>
  <c r="AY72" i="1" s="1"/>
  <c r="AP72" i="1"/>
  <c r="AP89" i="1" s="1"/>
  <c r="AO72" i="1"/>
  <c r="AN72" i="1"/>
  <c r="AN89" i="1" s="1"/>
  <c r="AM72" i="1"/>
  <c r="AM89" i="1" s="1"/>
  <c r="AL72" i="1"/>
  <c r="AL89" i="1" s="1"/>
  <c r="AS89" i="1" s="1"/>
  <c r="AX89" i="1" s="1"/>
  <c r="AK72" i="1"/>
  <c r="AJ72" i="1"/>
  <c r="AJ89" i="1" s="1"/>
  <c r="AI72" i="1"/>
  <c r="AI89" i="1" s="1"/>
  <c r="AH72" i="1"/>
  <c r="AH89" i="1" s="1"/>
  <c r="AG72" i="1"/>
  <c r="AS72" i="1" s="1"/>
  <c r="BT38" i="1" s="1"/>
  <c r="AF72" i="1"/>
  <c r="AF89" i="1" s="1"/>
  <c r="AE72" i="1"/>
  <c r="AE89" i="1" s="1"/>
  <c r="AQ89" i="1" s="1"/>
  <c r="EH71" i="1"/>
  <c r="BU71" i="1"/>
  <c r="BT71" i="1"/>
  <c r="BS71" i="1"/>
  <c r="BR71" i="1"/>
  <c r="AP71" i="1"/>
  <c r="AO71" i="1"/>
  <c r="AO88" i="1" s="1"/>
  <c r="AN71" i="1"/>
  <c r="AN88" i="1" s="1"/>
  <c r="AM71" i="1"/>
  <c r="AL71" i="1"/>
  <c r="AK71" i="1"/>
  <c r="AK88" i="1" s="1"/>
  <c r="AJ71" i="1"/>
  <c r="AJ88" i="1" s="1"/>
  <c r="AI71" i="1"/>
  <c r="AH71" i="1"/>
  <c r="AT71" i="1" s="1"/>
  <c r="AG71" i="1"/>
  <c r="AF71" i="1"/>
  <c r="AE71" i="1"/>
  <c r="AQ71" i="1" s="1"/>
  <c r="EZ70" i="1"/>
  <c r="EH70" i="1"/>
  <c r="BU70" i="1"/>
  <c r="BT70" i="1"/>
  <c r="BS70" i="1"/>
  <c r="BR70" i="1"/>
  <c r="BV70" i="1" s="1"/>
  <c r="AP70" i="1"/>
  <c r="AO70" i="1"/>
  <c r="AO87" i="1" s="1"/>
  <c r="AN70" i="1"/>
  <c r="AN87" i="1" s="1"/>
  <c r="AT87" i="1" s="1"/>
  <c r="AY87" i="1" s="1"/>
  <c r="AM70" i="1"/>
  <c r="AM87" i="1" s="1"/>
  <c r="AL70" i="1"/>
  <c r="AK70" i="1"/>
  <c r="AK87" i="1" s="1"/>
  <c r="AS87" i="1" s="1"/>
  <c r="AX87" i="1" s="1"/>
  <c r="AJ70" i="1"/>
  <c r="AJ87" i="1" s="1"/>
  <c r="AI70" i="1"/>
  <c r="AI87" i="1" s="1"/>
  <c r="AH70" i="1"/>
  <c r="AG70" i="1"/>
  <c r="AG87" i="1" s="1"/>
  <c r="AF70" i="1"/>
  <c r="AF87" i="1" s="1"/>
  <c r="AE70" i="1"/>
  <c r="EZ69" i="1"/>
  <c r="EH69" i="1"/>
  <c r="BU69" i="1"/>
  <c r="BT69" i="1"/>
  <c r="BS69" i="1"/>
  <c r="BR69" i="1"/>
  <c r="AP69" i="1"/>
  <c r="AO69" i="1"/>
  <c r="AO86" i="1" s="1"/>
  <c r="AN69" i="1"/>
  <c r="AM69" i="1"/>
  <c r="AM86" i="1" s="1"/>
  <c r="AL69" i="1"/>
  <c r="AK69" i="1"/>
  <c r="AK86" i="1" s="1"/>
  <c r="AJ69" i="1"/>
  <c r="AI69" i="1"/>
  <c r="AI86" i="1" s="1"/>
  <c r="AH69" i="1"/>
  <c r="AT69" i="1" s="1"/>
  <c r="AG69" i="1"/>
  <c r="AF69" i="1"/>
  <c r="AE69" i="1"/>
  <c r="AE86" i="1" s="1"/>
  <c r="EZ68" i="1"/>
  <c r="EH68" i="1"/>
  <c r="BU68" i="1"/>
  <c r="BT68" i="1"/>
  <c r="BS68" i="1"/>
  <c r="BR68" i="1"/>
  <c r="BV68" i="1" s="1"/>
  <c r="AP68" i="1"/>
  <c r="AO68" i="1"/>
  <c r="AO85" i="1" s="1"/>
  <c r="AN68" i="1"/>
  <c r="AN85" i="1" s="1"/>
  <c r="AT85" i="1" s="1"/>
  <c r="AY85" i="1" s="1"/>
  <c r="AM68" i="1"/>
  <c r="AM85" i="1" s="1"/>
  <c r="AL68" i="1"/>
  <c r="AK68" i="1"/>
  <c r="AK85" i="1" s="1"/>
  <c r="AS85" i="1" s="1"/>
  <c r="AJ68" i="1"/>
  <c r="AJ85" i="1" s="1"/>
  <c r="AI68" i="1"/>
  <c r="AI85" i="1" s="1"/>
  <c r="AH68" i="1"/>
  <c r="AG68" i="1"/>
  <c r="AG85" i="1" s="1"/>
  <c r="AF68" i="1"/>
  <c r="AF85" i="1" s="1"/>
  <c r="AE68" i="1"/>
  <c r="EZ67" i="1"/>
  <c r="EH67" i="1"/>
  <c r="BU67" i="1"/>
  <c r="BT67" i="1"/>
  <c r="BS67" i="1"/>
  <c r="BR67" i="1"/>
  <c r="AP67" i="1"/>
  <c r="AP84" i="1" s="1"/>
  <c r="AO67" i="1"/>
  <c r="AO84" i="1" s="1"/>
  <c r="AN67" i="1"/>
  <c r="AM67" i="1"/>
  <c r="AM84" i="1" s="1"/>
  <c r="AL67" i="1"/>
  <c r="AL84" i="1" s="1"/>
  <c r="AK67" i="1"/>
  <c r="AK84" i="1" s="1"/>
  <c r="AJ67" i="1"/>
  <c r="AI67" i="1"/>
  <c r="AI84" i="1" s="1"/>
  <c r="AH67" i="1"/>
  <c r="AH84" i="1" s="1"/>
  <c r="AR84" i="1" s="1"/>
  <c r="AW84" i="1" s="1"/>
  <c r="AG67" i="1"/>
  <c r="AF67" i="1"/>
  <c r="AE67" i="1"/>
  <c r="AE84" i="1" s="1"/>
  <c r="EZ66" i="1"/>
  <c r="EH66" i="1"/>
  <c r="BU66" i="1"/>
  <c r="BT66" i="1"/>
  <c r="BS66" i="1"/>
  <c r="BR66" i="1"/>
  <c r="BV66" i="1" s="1"/>
  <c r="AP66" i="1"/>
  <c r="AO66" i="1"/>
  <c r="AO83" i="1" s="1"/>
  <c r="AN66" i="1"/>
  <c r="AN83" i="1" s="1"/>
  <c r="AT83" i="1" s="1"/>
  <c r="AY83" i="1" s="1"/>
  <c r="AM66" i="1"/>
  <c r="AM83" i="1" s="1"/>
  <c r="AL66" i="1"/>
  <c r="AK66" i="1"/>
  <c r="AK83" i="1" s="1"/>
  <c r="AS83" i="1" s="1"/>
  <c r="AX83" i="1" s="1"/>
  <c r="AJ66" i="1"/>
  <c r="AJ83" i="1" s="1"/>
  <c r="AI66" i="1"/>
  <c r="AI83" i="1" s="1"/>
  <c r="AH66" i="1"/>
  <c r="AG66" i="1"/>
  <c r="AG83" i="1" s="1"/>
  <c r="AF66" i="1"/>
  <c r="AF83" i="1" s="1"/>
  <c r="AE66" i="1"/>
  <c r="EZ65" i="1"/>
  <c r="EH65" i="1"/>
  <c r="BU65" i="1"/>
  <c r="BT65" i="1"/>
  <c r="BS65" i="1"/>
  <c r="BR65" i="1"/>
  <c r="AP65" i="1"/>
  <c r="AP82" i="1" s="1"/>
  <c r="AO65" i="1"/>
  <c r="AO82" i="1" s="1"/>
  <c r="AN65" i="1"/>
  <c r="AM65" i="1"/>
  <c r="AM82" i="1" s="1"/>
  <c r="AL65" i="1"/>
  <c r="AL82" i="1" s="1"/>
  <c r="AK65" i="1"/>
  <c r="AK82" i="1" s="1"/>
  <c r="AJ65" i="1"/>
  <c r="AI65" i="1"/>
  <c r="AI82" i="1" s="1"/>
  <c r="AH65" i="1"/>
  <c r="AH82" i="1" s="1"/>
  <c r="AR82" i="1" s="1"/>
  <c r="AW82" i="1" s="1"/>
  <c r="AG65" i="1"/>
  <c r="AF65" i="1"/>
  <c r="AE65" i="1"/>
  <c r="AE82" i="1" s="1"/>
  <c r="EZ64" i="1"/>
  <c r="EH64" i="1"/>
  <c r="BU64" i="1"/>
  <c r="BT64" i="1"/>
  <c r="BS64" i="1"/>
  <c r="BR64" i="1"/>
  <c r="BV64" i="1" s="1"/>
  <c r="AP64" i="1"/>
  <c r="AO64" i="1"/>
  <c r="AO81" i="1" s="1"/>
  <c r="AN64" i="1"/>
  <c r="AN81" i="1" s="1"/>
  <c r="AT81" i="1" s="1"/>
  <c r="AY81" i="1" s="1"/>
  <c r="AM64" i="1"/>
  <c r="AM81" i="1" s="1"/>
  <c r="AL64" i="1"/>
  <c r="AK64" i="1"/>
  <c r="AK81" i="1" s="1"/>
  <c r="AS81" i="1" s="1"/>
  <c r="AJ64" i="1"/>
  <c r="AJ81" i="1" s="1"/>
  <c r="AI64" i="1"/>
  <c r="AI81" i="1" s="1"/>
  <c r="AH64" i="1"/>
  <c r="AG64" i="1"/>
  <c r="AG81" i="1" s="1"/>
  <c r="AF64" i="1"/>
  <c r="AF81" i="1" s="1"/>
  <c r="AE64" i="1"/>
  <c r="EZ63" i="1"/>
  <c r="EH63" i="1"/>
  <c r="BU63" i="1"/>
  <c r="BT63" i="1"/>
  <c r="BS63" i="1"/>
  <c r="BR63" i="1"/>
  <c r="AP63" i="1"/>
  <c r="AP80" i="1" s="1"/>
  <c r="AO63" i="1"/>
  <c r="AO80" i="1" s="1"/>
  <c r="AN63" i="1"/>
  <c r="AM63" i="1"/>
  <c r="AM80" i="1" s="1"/>
  <c r="AL63" i="1"/>
  <c r="AL80" i="1" s="1"/>
  <c r="AK63" i="1"/>
  <c r="AK80" i="1" s="1"/>
  <c r="AJ63" i="1"/>
  <c r="AI63" i="1"/>
  <c r="AI80" i="1" s="1"/>
  <c r="AH63" i="1"/>
  <c r="AH80" i="1" s="1"/>
  <c r="AR80" i="1" s="1"/>
  <c r="AW80" i="1" s="1"/>
  <c r="AG63" i="1"/>
  <c r="AF63" i="1"/>
  <c r="AE63" i="1"/>
  <c r="AE80" i="1" s="1"/>
  <c r="EZ62" i="1"/>
  <c r="EH62" i="1"/>
  <c r="BU62" i="1"/>
  <c r="BT62" i="1"/>
  <c r="BS62" i="1"/>
  <c r="BR62" i="1"/>
  <c r="BV62" i="1" s="1"/>
  <c r="AP62" i="1"/>
  <c r="AO62" i="1"/>
  <c r="AO79" i="1" s="1"/>
  <c r="AN62" i="1"/>
  <c r="AN79" i="1" s="1"/>
  <c r="AT79" i="1" s="1"/>
  <c r="AY79" i="1" s="1"/>
  <c r="AM62" i="1"/>
  <c r="AM79" i="1" s="1"/>
  <c r="AL62" i="1"/>
  <c r="AK62" i="1"/>
  <c r="AK79" i="1" s="1"/>
  <c r="AS79" i="1" s="1"/>
  <c r="AX79" i="1" s="1"/>
  <c r="AJ62" i="1"/>
  <c r="AJ79" i="1" s="1"/>
  <c r="AI62" i="1"/>
  <c r="AI79" i="1" s="1"/>
  <c r="AH62" i="1"/>
  <c r="AG62" i="1"/>
  <c r="AG79" i="1" s="1"/>
  <c r="AF62" i="1"/>
  <c r="AF79" i="1" s="1"/>
  <c r="AE62" i="1"/>
  <c r="EZ61" i="1"/>
  <c r="EH61" i="1"/>
  <c r="BU61" i="1"/>
  <c r="BT61" i="1"/>
  <c r="BS61" i="1"/>
  <c r="BR61" i="1"/>
  <c r="AP61" i="1"/>
  <c r="AP78" i="1" s="1"/>
  <c r="AO61" i="1"/>
  <c r="AO78" i="1" s="1"/>
  <c r="AN61" i="1"/>
  <c r="AN78" i="1" s="1"/>
  <c r="AM61" i="1"/>
  <c r="AM78" i="1" s="1"/>
  <c r="AL61" i="1"/>
  <c r="BM27" i="1" s="1"/>
  <c r="BM164" i="1" s="1"/>
  <c r="AK61" i="1"/>
  <c r="AK78" i="1" s="1"/>
  <c r="AJ61" i="1"/>
  <c r="AJ78" i="1" s="1"/>
  <c r="AI61" i="1"/>
  <c r="AI78" i="1" s="1"/>
  <c r="AH61" i="1"/>
  <c r="BI27" i="1" s="1"/>
  <c r="BI164" i="1" s="1"/>
  <c r="AG61" i="1"/>
  <c r="AG78" i="1" s="1"/>
  <c r="AF61" i="1"/>
  <c r="AF78" i="1" s="1"/>
  <c r="AE61" i="1"/>
  <c r="AE78" i="1" s="1"/>
  <c r="EZ60" i="1"/>
  <c r="EH60" i="1"/>
  <c r="BU60" i="1"/>
  <c r="BT60" i="1"/>
  <c r="BS60" i="1"/>
  <c r="BR60" i="1"/>
  <c r="BV60" i="1" s="1"/>
  <c r="AP60" i="1"/>
  <c r="AP77" i="1" s="1"/>
  <c r="AO60" i="1"/>
  <c r="AN60" i="1"/>
  <c r="AN77" i="1" s="1"/>
  <c r="AT77" i="1" s="1"/>
  <c r="AM60" i="1"/>
  <c r="AM77" i="1" s="1"/>
  <c r="AL60" i="1"/>
  <c r="AL77" i="1" s="1"/>
  <c r="AK60" i="1"/>
  <c r="AJ60" i="1"/>
  <c r="AJ77" i="1" s="1"/>
  <c r="AI60" i="1"/>
  <c r="AI77" i="1" s="1"/>
  <c r="AH60" i="1"/>
  <c r="AG60" i="1"/>
  <c r="AF60" i="1"/>
  <c r="AF77" i="1" s="1"/>
  <c r="AE60" i="1"/>
  <c r="AE77" i="1" s="1"/>
  <c r="AQ77" i="1" s="1"/>
  <c r="EZ59" i="1"/>
  <c r="EH59" i="1"/>
  <c r="BU59" i="1"/>
  <c r="BT59" i="1"/>
  <c r="BS59" i="1"/>
  <c r="BX59" i="1" s="1"/>
  <c r="BR59" i="1"/>
  <c r="AT59" i="1"/>
  <c r="AS59" i="1"/>
  <c r="AR59" i="1"/>
  <c r="AQ59" i="1"/>
  <c r="AU59" i="1" s="1"/>
  <c r="EH58" i="1"/>
  <c r="CK58" i="1"/>
  <c r="BU58" i="1"/>
  <c r="BT58" i="1"/>
  <c r="BS58" i="1"/>
  <c r="BX58" i="1" s="1"/>
  <c r="BR58" i="1"/>
  <c r="AT58" i="1"/>
  <c r="AY58" i="1" s="1"/>
  <c r="AS58" i="1"/>
  <c r="AR58" i="1"/>
  <c r="AQ58" i="1"/>
  <c r="EH57" i="1"/>
  <c r="CT57" i="1"/>
  <c r="BX57" i="1"/>
  <c r="BU57" i="1"/>
  <c r="BT57" i="1"/>
  <c r="BS57" i="1"/>
  <c r="BR57" i="1"/>
  <c r="AT57" i="1"/>
  <c r="AS57" i="1"/>
  <c r="AX57" i="1" s="1"/>
  <c r="AR57" i="1"/>
  <c r="AQ57" i="1"/>
  <c r="EH56" i="1"/>
  <c r="CL56" i="1"/>
  <c r="BU56" i="1"/>
  <c r="BT56" i="1"/>
  <c r="BY56" i="1" s="1"/>
  <c r="BS56" i="1"/>
  <c r="BR56" i="1"/>
  <c r="AT56" i="1"/>
  <c r="AS56" i="1"/>
  <c r="AR56" i="1"/>
  <c r="AQ56" i="1"/>
  <c r="EH55" i="1"/>
  <c r="BU55" i="1"/>
  <c r="BT55" i="1"/>
  <c r="BS55" i="1"/>
  <c r="BR55" i="1"/>
  <c r="AY55" i="1"/>
  <c r="AT55" i="1"/>
  <c r="AS55" i="1"/>
  <c r="AR55" i="1"/>
  <c r="AQ55" i="1"/>
  <c r="EH54" i="1"/>
  <c r="BU54" i="1"/>
  <c r="BZ54" i="1" s="1"/>
  <c r="BT54" i="1"/>
  <c r="BS54" i="1"/>
  <c r="BR54" i="1"/>
  <c r="AT54" i="1"/>
  <c r="AS54" i="1"/>
  <c r="AR54" i="1"/>
  <c r="AW54" i="1" s="1"/>
  <c r="AQ54" i="1"/>
  <c r="EH53" i="1"/>
  <c r="BU53" i="1"/>
  <c r="BT53" i="1"/>
  <c r="BS53" i="1"/>
  <c r="BR53" i="1"/>
  <c r="BW53" i="1" s="1"/>
  <c r="AT53" i="1"/>
  <c r="AS53" i="1"/>
  <c r="AR53" i="1"/>
  <c r="AQ53" i="1"/>
  <c r="EH52" i="1"/>
  <c r="BW52" i="1"/>
  <c r="BU52" i="1"/>
  <c r="BT52" i="1"/>
  <c r="BS52" i="1"/>
  <c r="BR52" i="1"/>
  <c r="BV52" i="1" s="1"/>
  <c r="CA52" i="1" s="1"/>
  <c r="AT52" i="1"/>
  <c r="AS52" i="1"/>
  <c r="AR52" i="1"/>
  <c r="AQ52" i="1"/>
  <c r="EH51" i="1"/>
  <c r="BU51" i="1"/>
  <c r="BT51" i="1"/>
  <c r="BS51" i="1"/>
  <c r="BR51" i="1"/>
  <c r="AY51" i="1"/>
  <c r="AT51" i="1"/>
  <c r="AS51" i="1"/>
  <c r="AR51" i="1"/>
  <c r="AQ51" i="1"/>
  <c r="EH50" i="1"/>
  <c r="DA50" i="1"/>
  <c r="BU50" i="1"/>
  <c r="BT50" i="1"/>
  <c r="BS50" i="1"/>
  <c r="BR50" i="1"/>
  <c r="AT50" i="1"/>
  <c r="AS50" i="1"/>
  <c r="AX50" i="1" s="1"/>
  <c r="AR50" i="1"/>
  <c r="AQ50" i="1"/>
  <c r="EO49" i="1"/>
  <c r="EN49" i="1"/>
  <c r="EH49" i="1"/>
  <c r="BU49" i="1"/>
  <c r="BT49" i="1"/>
  <c r="BS49" i="1"/>
  <c r="BR49" i="1"/>
  <c r="BV49" i="1" s="1"/>
  <c r="AV49" i="1"/>
  <c r="AT49" i="1"/>
  <c r="AS49" i="1"/>
  <c r="AR49" i="1"/>
  <c r="AQ49" i="1"/>
  <c r="AU49" i="1" s="1"/>
  <c r="AN14" i="6" s="1"/>
  <c r="AM41" i="6" s="1"/>
  <c r="EO48" i="1"/>
  <c r="EN48" i="1"/>
  <c r="EH48" i="1"/>
  <c r="BX48" i="1"/>
  <c r="BU48" i="1"/>
  <c r="BT48" i="1"/>
  <c r="BS48" i="1"/>
  <c r="BR48" i="1"/>
  <c r="AT48" i="1"/>
  <c r="AS48" i="1"/>
  <c r="AX48" i="1" s="1"/>
  <c r="AR48" i="1"/>
  <c r="AQ48" i="1"/>
  <c r="EO47" i="1"/>
  <c r="EN47" i="1"/>
  <c r="EH47" i="1"/>
  <c r="BU47" i="1"/>
  <c r="BZ47" i="1" s="1"/>
  <c r="BT47" i="1"/>
  <c r="BS47" i="1"/>
  <c r="BR47" i="1"/>
  <c r="AT47" i="1"/>
  <c r="AS47" i="1"/>
  <c r="AR47" i="1"/>
  <c r="AQ47" i="1"/>
  <c r="AU47" i="1" s="1"/>
  <c r="EO46" i="1"/>
  <c r="EN46" i="1"/>
  <c r="EH46" i="1"/>
  <c r="BU46" i="1"/>
  <c r="BT46" i="1"/>
  <c r="BS46" i="1"/>
  <c r="BR46" i="1"/>
  <c r="BV46" i="1" s="1"/>
  <c r="CA46" i="1" s="1"/>
  <c r="AT46" i="1"/>
  <c r="AY46" i="1" s="1"/>
  <c r="AS46" i="1"/>
  <c r="AR46" i="1"/>
  <c r="AQ46" i="1"/>
  <c r="EO45" i="1"/>
  <c r="EN45" i="1"/>
  <c r="EH45" i="1"/>
  <c r="DA45" i="1"/>
  <c r="CY45" i="1"/>
  <c r="DG45" i="1" s="1"/>
  <c r="BU45" i="1"/>
  <c r="BT45" i="1"/>
  <c r="BS45" i="1"/>
  <c r="BR45" i="1"/>
  <c r="AW45" i="1"/>
  <c r="AT45" i="1"/>
  <c r="AS45" i="1"/>
  <c r="AR45" i="1"/>
  <c r="AQ45" i="1"/>
  <c r="EO44" i="1"/>
  <c r="EN44" i="1"/>
  <c r="EH44" i="1"/>
  <c r="BU44" i="1"/>
  <c r="BT44" i="1"/>
  <c r="BS44" i="1"/>
  <c r="BR44" i="1"/>
  <c r="AT44" i="1"/>
  <c r="AS44" i="1"/>
  <c r="AR44" i="1"/>
  <c r="AQ44" i="1"/>
  <c r="EO43" i="1"/>
  <c r="EN43" i="1"/>
  <c r="EH43" i="1"/>
  <c r="BU43" i="1"/>
  <c r="BT43" i="1"/>
  <c r="BS43" i="1"/>
  <c r="BR43" i="1"/>
  <c r="AT43" i="1"/>
  <c r="AS43" i="1"/>
  <c r="AR43" i="1"/>
  <c r="AQ43" i="1"/>
  <c r="AU43" i="1" s="1"/>
  <c r="EO42" i="1"/>
  <c r="EN42" i="1"/>
  <c r="EH42" i="1"/>
  <c r="BQ42" i="1"/>
  <c r="BP42" i="1"/>
  <c r="BO42" i="1"/>
  <c r="BN42" i="1"/>
  <c r="BM42" i="1"/>
  <c r="BL42" i="1"/>
  <c r="BK42" i="1"/>
  <c r="BJ42" i="1"/>
  <c r="BI42" i="1"/>
  <c r="BH42" i="1"/>
  <c r="BG42" i="1"/>
  <c r="BF42" i="1"/>
  <c r="AP42" i="1"/>
  <c r="AO42" i="1"/>
  <c r="AT42" i="1" s="1"/>
  <c r="AN42" i="1"/>
  <c r="AM42" i="1"/>
  <c r="AL42" i="1"/>
  <c r="AK42" i="1"/>
  <c r="AS42" i="1" s="1"/>
  <c r="AJ42" i="1"/>
  <c r="AI42" i="1"/>
  <c r="AH42" i="1"/>
  <c r="AG42" i="1"/>
  <c r="AF42" i="1"/>
  <c r="AE42" i="1"/>
  <c r="AQ42" i="1" s="1"/>
  <c r="EO41" i="1"/>
  <c r="EN41" i="1"/>
  <c r="EH41" i="1"/>
  <c r="BX41" i="1"/>
  <c r="BQ41" i="1"/>
  <c r="BP41" i="1"/>
  <c r="BO41" i="1"/>
  <c r="BN41" i="1"/>
  <c r="BM41" i="1"/>
  <c r="BL41" i="1"/>
  <c r="BK41" i="1"/>
  <c r="BJ41" i="1"/>
  <c r="BI41" i="1"/>
  <c r="BH41" i="1"/>
  <c r="BG41" i="1"/>
  <c r="BF41" i="1"/>
  <c r="AP41" i="1"/>
  <c r="AO41" i="1"/>
  <c r="AT41" i="1" s="1"/>
  <c r="AN41" i="1"/>
  <c r="AM41" i="1"/>
  <c r="AL41" i="1"/>
  <c r="AK41" i="1"/>
  <c r="AJ41" i="1"/>
  <c r="AI41" i="1"/>
  <c r="AH41" i="1"/>
  <c r="AG41" i="1"/>
  <c r="AF41" i="1"/>
  <c r="AE41" i="1"/>
  <c r="AQ41" i="1" s="1"/>
  <c r="EO40" i="1"/>
  <c r="EN40" i="1"/>
  <c r="EH40" i="1"/>
  <c r="BQ40" i="1"/>
  <c r="BP40" i="1"/>
  <c r="BP177" i="1" s="1"/>
  <c r="BO40" i="1"/>
  <c r="BN40" i="1"/>
  <c r="BM40" i="1"/>
  <c r="BL40" i="1"/>
  <c r="BK40" i="1"/>
  <c r="BJ40" i="1"/>
  <c r="BI40" i="1"/>
  <c r="BH40" i="1"/>
  <c r="BG40" i="1"/>
  <c r="BF40" i="1"/>
  <c r="AP40" i="1"/>
  <c r="AO40" i="1"/>
  <c r="AT40" i="1" s="1"/>
  <c r="AY40" i="1" s="1"/>
  <c r="AN40" i="1"/>
  <c r="AM40" i="1"/>
  <c r="AL40" i="1"/>
  <c r="AK40" i="1"/>
  <c r="AS40" i="1" s="1"/>
  <c r="AJ40" i="1"/>
  <c r="AI40" i="1"/>
  <c r="AH40" i="1"/>
  <c r="AG40" i="1"/>
  <c r="AF40" i="1"/>
  <c r="AE40" i="1"/>
  <c r="AQ40" i="1" s="1"/>
  <c r="EO39" i="1"/>
  <c r="EN39" i="1"/>
  <c r="EH39" i="1"/>
  <c r="BR39" i="1"/>
  <c r="BW39" i="1" s="1"/>
  <c r="BP39" i="1"/>
  <c r="BO39" i="1"/>
  <c r="BN39" i="1"/>
  <c r="BL39" i="1"/>
  <c r="BL176" i="1" s="1"/>
  <c r="BK39" i="1"/>
  <c r="BJ39" i="1"/>
  <c r="BH39" i="1"/>
  <c r="BG39" i="1"/>
  <c r="BF39" i="1"/>
  <c r="AP39" i="1"/>
  <c r="AO39" i="1"/>
  <c r="AT39" i="1" s="1"/>
  <c r="AN39" i="1"/>
  <c r="AM39" i="1"/>
  <c r="AL39" i="1"/>
  <c r="AK39" i="1"/>
  <c r="AS39" i="1" s="1"/>
  <c r="AJ39" i="1"/>
  <c r="AI39" i="1"/>
  <c r="AH39" i="1"/>
  <c r="AG39" i="1"/>
  <c r="AF39" i="1"/>
  <c r="AE39" i="1"/>
  <c r="AQ39" i="1" s="1"/>
  <c r="EO38" i="1"/>
  <c r="EN38" i="1"/>
  <c r="BQ38" i="1"/>
  <c r="BQ175" i="1" s="1"/>
  <c r="BP38" i="1"/>
  <c r="BO38" i="1"/>
  <c r="BN38" i="1"/>
  <c r="BM38" i="1"/>
  <c r="BM175" i="1" s="1"/>
  <c r="BL38" i="1"/>
  <c r="BK38" i="1"/>
  <c r="BJ38" i="1"/>
  <c r="BI38" i="1"/>
  <c r="BI175" i="1" s="1"/>
  <c r="BH38" i="1"/>
  <c r="BG38" i="1"/>
  <c r="BF38" i="1"/>
  <c r="AR38" i="1"/>
  <c r="AP38" i="1"/>
  <c r="AO38" i="1"/>
  <c r="AN38" i="1"/>
  <c r="AT38" i="1" s="1"/>
  <c r="AM38" i="1"/>
  <c r="AL38" i="1"/>
  <c r="AK38" i="1"/>
  <c r="AS38" i="1" s="1"/>
  <c r="AJ38" i="1"/>
  <c r="AI38" i="1"/>
  <c r="AH38" i="1"/>
  <c r="AG38" i="1"/>
  <c r="AF38" i="1"/>
  <c r="AE38" i="1"/>
  <c r="AQ38" i="1" s="1"/>
  <c r="EO37" i="1"/>
  <c r="EN37" i="1"/>
  <c r="BR37" i="1"/>
  <c r="BP37" i="1"/>
  <c r="BO37" i="1"/>
  <c r="BN37" i="1"/>
  <c r="BL37" i="1"/>
  <c r="BK37" i="1"/>
  <c r="BJ37" i="1"/>
  <c r="BJ174" i="1" s="1"/>
  <c r="BH37" i="1"/>
  <c r="BG37" i="1"/>
  <c r="BF37" i="1"/>
  <c r="AP37" i="1"/>
  <c r="AO37" i="1"/>
  <c r="AN37" i="1"/>
  <c r="AM37" i="1"/>
  <c r="AL37" i="1"/>
  <c r="AK37" i="1"/>
  <c r="AS37" i="1" s="1"/>
  <c r="AJ37" i="1"/>
  <c r="AI37" i="1"/>
  <c r="AR37" i="1" s="1"/>
  <c r="AH37" i="1"/>
  <c r="AG37" i="1"/>
  <c r="AF37" i="1"/>
  <c r="AE37" i="1"/>
  <c r="AQ37" i="1" s="1"/>
  <c r="EO36" i="1"/>
  <c r="EN36" i="1"/>
  <c r="BQ36" i="1"/>
  <c r="BP36" i="1"/>
  <c r="BO36" i="1"/>
  <c r="BO173" i="1" s="1"/>
  <c r="BN36" i="1"/>
  <c r="BM36" i="1"/>
  <c r="BL36" i="1"/>
  <c r="BK36" i="1"/>
  <c r="BK173" i="1" s="1"/>
  <c r="BJ36" i="1"/>
  <c r="BI36" i="1"/>
  <c r="BH36" i="1"/>
  <c r="BG36" i="1"/>
  <c r="BG173" i="1" s="1"/>
  <c r="BF36" i="1"/>
  <c r="AV36" i="1"/>
  <c r="AR36" i="1"/>
  <c r="AP36" i="1"/>
  <c r="AO36" i="1"/>
  <c r="AN36" i="1"/>
  <c r="AT36" i="1" s="1"/>
  <c r="AM36" i="1"/>
  <c r="AL36" i="1"/>
  <c r="AK36" i="1"/>
  <c r="AS36" i="1" s="1"/>
  <c r="CL112" i="1" s="1"/>
  <c r="AJ36" i="1"/>
  <c r="AI36" i="1"/>
  <c r="AH36" i="1"/>
  <c r="AG36" i="1"/>
  <c r="AF36" i="1"/>
  <c r="AE36" i="1"/>
  <c r="AQ36" i="1" s="1"/>
  <c r="EO35" i="1"/>
  <c r="EN35" i="1"/>
  <c r="BP35" i="1"/>
  <c r="BO35" i="1"/>
  <c r="BN35" i="1"/>
  <c r="BL35" i="1"/>
  <c r="BL172" i="1" s="1"/>
  <c r="BK35" i="1"/>
  <c r="BJ35" i="1"/>
  <c r="BH35" i="1"/>
  <c r="BG35" i="1"/>
  <c r="BF35" i="1"/>
  <c r="AP35" i="1"/>
  <c r="AO35" i="1"/>
  <c r="AT35" i="1" s="1"/>
  <c r="AN35" i="1"/>
  <c r="AM35" i="1"/>
  <c r="AL35" i="1"/>
  <c r="AK35" i="1"/>
  <c r="AS35" i="1" s="1"/>
  <c r="AJ35" i="1"/>
  <c r="AI35" i="1"/>
  <c r="AH35" i="1"/>
  <c r="AG35" i="1"/>
  <c r="AF35" i="1"/>
  <c r="AE35" i="1"/>
  <c r="AQ35" i="1" s="1"/>
  <c r="EO34" i="1"/>
  <c r="EN34" i="1"/>
  <c r="BQ34" i="1"/>
  <c r="BQ171" i="1" s="1"/>
  <c r="BP34" i="1"/>
  <c r="BN34" i="1"/>
  <c r="BM34" i="1"/>
  <c r="BM171" i="1" s="1"/>
  <c r="BL34" i="1"/>
  <c r="BJ34" i="1"/>
  <c r="BI34" i="1"/>
  <c r="BI171" i="1" s="1"/>
  <c r="BH34" i="1"/>
  <c r="BF34" i="1"/>
  <c r="AR34" i="1"/>
  <c r="AP34" i="1"/>
  <c r="AO34" i="1"/>
  <c r="AN34" i="1"/>
  <c r="AT34" i="1" s="1"/>
  <c r="AM34" i="1"/>
  <c r="AL34" i="1"/>
  <c r="AK34" i="1"/>
  <c r="AS34" i="1" s="1"/>
  <c r="CL110" i="1" s="1"/>
  <c r="AJ34" i="1"/>
  <c r="AI34" i="1"/>
  <c r="AH34" i="1"/>
  <c r="AG34" i="1"/>
  <c r="AF34" i="1"/>
  <c r="AE34" i="1"/>
  <c r="AQ34" i="1" s="1"/>
  <c r="EO33" i="1"/>
  <c r="EN33" i="1"/>
  <c r="BP33" i="1"/>
  <c r="BO33" i="1"/>
  <c r="BN33" i="1"/>
  <c r="BL33" i="1"/>
  <c r="BK33" i="1"/>
  <c r="BJ33" i="1"/>
  <c r="BH33" i="1"/>
  <c r="BG33" i="1"/>
  <c r="BG170" i="1" s="1"/>
  <c r="BF33" i="1"/>
  <c r="AP33" i="1"/>
  <c r="AT33" i="1" s="1"/>
  <c r="AO33" i="1"/>
  <c r="AN33" i="1"/>
  <c r="AM33" i="1"/>
  <c r="AL33" i="1"/>
  <c r="AK33" i="1"/>
  <c r="AS33" i="1" s="1"/>
  <c r="AJ33" i="1"/>
  <c r="AI33" i="1"/>
  <c r="AH33" i="1"/>
  <c r="AR33" i="1" s="1"/>
  <c r="AG33" i="1"/>
  <c r="AF33" i="1"/>
  <c r="AE33" i="1"/>
  <c r="AQ33" i="1" s="1"/>
  <c r="EO32" i="1"/>
  <c r="EN32" i="1"/>
  <c r="BQ32" i="1"/>
  <c r="BP32" i="1"/>
  <c r="BN32" i="1"/>
  <c r="BM32" i="1"/>
  <c r="BL32" i="1"/>
  <c r="BJ32" i="1"/>
  <c r="BI32" i="1"/>
  <c r="BH32" i="1"/>
  <c r="BF32" i="1"/>
  <c r="AP32" i="1"/>
  <c r="AO32" i="1"/>
  <c r="AN32" i="1"/>
  <c r="AT32" i="1" s="1"/>
  <c r="AM32" i="1"/>
  <c r="AL32" i="1"/>
  <c r="AK32" i="1"/>
  <c r="AS32" i="1" s="1"/>
  <c r="AJ32" i="1"/>
  <c r="AI32" i="1"/>
  <c r="AR32" i="1" s="1"/>
  <c r="AH32" i="1"/>
  <c r="AG32" i="1"/>
  <c r="AF32" i="1"/>
  <c r="AE32" i="1"/>
  <c r="AQ32" i="1" s="1"/>
  <c r="BP31" i="1"/>
  <c r="BO31" i="1"/>
  <c r="BO168" i="1" s="1"/>
  <c r="BN31" i="1"/>
  <c r="BL31" i="1"/>
  <c r="BK31" i="1"/>
  <c r="BK168" i="1" s="1"/>
  <c r="BJ31" i="1"/>
  <c r="BH31" i="1"/>
  <c r="BG31" i="1"/>
  <c r="BG168" i="1" s="1"/>
  <c r="BF31" i="1"/>
  <c r="AP31" i="1"/>
  <c r="AT31" i="1" s="1"/>
  <c r="AO31" i="1"/>
  <c r="AN31" i="1"/>
  <c r="AM31" i="1"/>
  <c r="AL31" i="1"/>
  <c r="AK31" i="1"/>
  <c r="AS31" i="1" s="1"/>
  <c r="AJ31" i="1"/>
  <c r="AI31" i="1"/>
  <c r="AH31" i="1"/>
  <c r="AR31" i="1" s="1"/>
  <c r="AG31" i="1"/>
  <c r="AF31" i="1"/>
  <c r="AE31" i="1"/>
  <c r="AQ31" i="1" s="1"/>
  <c r="BQ30" i="1"/>
  <c r="BP30" i="1"/>
  <c r="BO30" i="1"/>
  <c r="BO167" i="1" s="1"/>
  <c r="BN30" i="1"/>
  <c r="BM30" i="1"/>
  <c r="BL30" i="1"/>
  <c r="BK30" i="1"/>
  <c r="BK167" i="1" s="1"/>
  <c r="BJ30" i="1"/>
  <c r="BI30" i="1"/>
  <c r="BH30" i="1"/>
  <c r="BG30" i="1"/>
  <c r="BG167" i="1" s="1"/>
  <c r="BF30" i="1"/>
  <c r="AP30" i="1"/>
  <c r="AT30" i="1" s="1"/>
  <c r="AO30" i="1"/>
  <c r="AN30" i="1"/>
  <c r="AM30" i="1"/>
  <c r="AL30" i="1"/>
  <c r="AK30" i="1"/>
  <c r="AS30" i="1" s="1"/>
  <c r="AJ30" i="1"/>
  <c r="AI30" i="1"/>
  <c r="AH30" i="1"/>
  <c r="AR30" i="1" s="1"/>
  <c r="AG30" i="1"/>
  <c r="AF30" i="1"/>
  <c r="AE30" i="1"/>
  <c r="AQ30" i="1" s="1"/>
  <c r="BP29" i="1"/>
  <c r="BO29" i="1"/>
  <c r="BN29" i="1"/>
  <c r="BL29" i="1"/>
  <c r="BK29" i="1"/>
  <c r="BJ29" i="1"/>
  <c r="BH29" i="1"/>
  <c r="BG29" i="1"/>
  <c r="BF29" i="1"/>
  <c r="AT29" i="1"/>
  <c r="AY29" i="1" s="1"/>
  <c r="AP29" i="1"/>
  <c r="AO29" i="1"/>
  <c r="AN29" i="1"/>
  <c r="AM29" i="1"/>
  <c r="AL29" i="1"/>
  <c r="AK29" i="1"/>
  <c r="AS29" i="1" s="1"/>
  <c r="AJ29" i="1"/>
  <c r="AI29" i="1"/>
  <c r="AH29" i="1"/>
  <c r="AR29" i="1" s="1"/>
  <c r="AG29" i="1"/>
  <c r="AF29" i="1"/>
  <c r="AE29" i="1"/>
  <c r="AQ29" i="1" s="1"/>
  <c r="FB28" i="1"/>
  <c r="FA28" i="1"/>
  <c r="EP28" i="1"/>
  <c r="EO28" i="1"/>
  <c r="BQ28" i="1"/>
  <c r="BP28" i="1"/>
  <c r="BO28" i="1"/>
  <c r="BO165" i="1" s="1"/>
  <c r="BN28" i="1"/>
  <c r="BM28" i="1"/>
  <c r="BL28" i="1"/>
  <c r="BL165" i="1" s="1"/>
  <c r="BK28" i="1"/>
  <c r="BK165" i="1" s="1"/>
  <c r="BJ28" i="1"/>
  <c r="BI28" i="1"/>
  <c r="BH28" i="1"/>
  <c r="BG28" i="1"/>
  <c r="BG165" i="1" s="1"/>
  <c r="BF28" i="1"/>
  <c r="AP28" i="1"/>
  <c r="AT28" i="1" s="1"/>
  <c r="AO28" i="1"/>
  <c r="AN28" i="1"/>
  <c r="AM28" i="1"/>
  <c r="AL28" i="1"/>
  <c r="AK28" i="1"/>
  <c r="AS28" i="1" s="1"/>
  <c r="AJ28" i="1"/>
  <c r="AI28" i="1"/>
  <c r="AH28" i="1"/>
  <c r="AR28" i="1" s="1"/>
  <c r="AG28" i="1"/>
  <c r="AF28" i="1"/>
  <c r="AE28" i="1"/>
  <c r="AQ28" i="1" s="1"/>
  <c r="FB27" i="1"/>
  <c r="FA27" i="1"/>
  <c r="ES27" i="1"/>
  <c r="DW27" i="1"/>
  <c r="BP27" i="1"/>
  <c r="BO27" i="1"/>
  <c r="BO164" i="1" s="1"/>
  <c r="BN27" i="1"/>
  <c r="BL27" i="1"/>
  <c r="BK27" i="1"/>
  <c r="BK164" i="1" s="1"/>
  <c r="BJ27" i="1"/>
  <c r="BH27" i="1"/>
  <c r="BG27" i="1"/>
  <c r="BG164" i="1" s="1"/>
  <c r="BF27" i="1"/>
  <c r="AP27" i="1"/>
  <c r="AT27" i="1" s="1"/>
  <c r="AO27" i="1"/>
  <c r="AN27" i="1"/>
  <c r="AM27" i="1"/>
  <c r="AL27" i="1"/>
  <c r="AK27" i="1"/>
  <c r="AS27" i="1" s="1"/>
  <c r="AJ27" i="1"/>
  <c r="AI27" i="1"/>
  <c r="AH27" i="1"/>
  <c r="AR27" i="1" s="1"/>
  <c r="AG27" i="1"/>
  <c r="AF27" i="1"/>
  <c r="AE27" i="1"/>
  <c r="AQ27" i="1" s="1"/>
  <c r="FB26" i="1"/>
  <c r="FA26" i="1"/>
  <c r="DW26" i="1"/>
  <c r="BQ26" i="1"/>
  <c r="BP26" i="1"/>
  <c r="BO26" i="1"/>
  <c r="BM26" i="1"/>
  <c r="BL26" i="1"/>
  <c r="BK26" i="1"/>
  <c r="BI26" i="1"/>
  <c r="BH26" i="1"/>
  <c r="BG26" i="1"/>
  <c r="AP26" i="1"/>
  <c r="AO26" i="1"/>
  <c r="AT26" i="1" s="1"/>
  <c r="AN26" i="1"/>
  <c r="AM26" i="1"/>
  <c r="AL26" i="1"/>
  <c r="AK26" i="1"/>
  <c r="AS26" i="1" s="1"/>
  <c r="AJ26" i="1"/>
  <c r="AI26" i="1"/>
  <c r="AH26" i="1"/>
  <c r="AR26" i="1" s="1"/>
  <c r="AG26" i="1"/>
  <c r="AF26" i="1"/>
  <c r="AE26" i="1"/>
  <c r="AQ26" i="1" s="1"/>
  <c r="FA25" i="1"/>
  <c r="FB25" i="1" s="1"/>
  <c r="DW25" i="1"/>
  <c r="BS25" i="1"/>
  <c r="BX25" i="1" s="1"/>
  <c r="BR25" i="1"/>
  <c r="BQ25" i="1"/>
  <c r="BP25" i="1"/>
  <c r="BO25" i="1"/>
  <c r="BN25" i="1"/>
  <c r="BN179" i="1" s="1"/>
  <c r="BM25" i="1"/>
  <c r="BL25" i="1"/>
  <c r="BK25" i="1"/>
  <c r="BJ25" i="1"/>
  <c r="BI25" i="1"/>
  <c r="BH25" i="1"/>
  <c r="BG25" i="1"/>
  <c r="BF25" i="1"/>
  <c r="AX25" i="1"/>
  <c r="AT25" i="1"/>
  <c r="BU25" i="1" s="1"/>
  <c r="BZ25" i="1" s="1"/>
  <c r="AS25" i="1"/>
  <c r="BT25" i="1" s="1"/>
  <c r="BY25" i="1" s="1"/>
  <c r="AR25" i="1"/>
  <c r="AW25" i="1" s="1"/>
  <c r="AQ25" i="1"/>
  <c r="AU25" i="1" s="1"/>
  <c r="FB24" i="1"/>
  <c r="FA24" i="1"/>
  <c r="DW24" i="1"/>
  <c r="BZ24" i="1"/>
  <c r="BU24" i="1"/>
  <c r="BR24" i="1"/>
  <c r="BW24" i="1" s="1"/>
  <c r="BQ24" i="1"/>
  <c r="BP24" i="1"/>
  <c r="BO24" i="1"/>
  <c r="BN24" i="1"/>
  <c r="BM24" i="1"/>
  <c r="BL24" i="1"/>
  <c r="BK24" i="1"/>
  <c r="BJ24" i="1"/>
  <c r="BI24" i="1"/>
  <c r="BH24" i="1"/>
  <c r="BG24" i="1"/>
  <c r="BF24" i="1"/>
  <c r="AY24" i="1"/>
  <c r="AW24" i="1"/>
  <c r="AT24" i="1"/>
  <c r="AS24" i="1"/>
  <c r="BT24" i="1" s="1"/>
  <c r="BY24" i="1" s="1"/>
  <c r="AR24" i="1"/>
  <c r="BS24" i="1" s="1"/>
  <c r="BX24" i="1" s="1"/>
  <c r="AQ24" i="1"/>
  <c r="AV24" i="1" s="1"/>
  <c r="FA23" i="1"/>
  <c r="FB23" i="1" s="1"/>
  <c r="DW23" i="1"/>
  <c r="BY23" i="1"/>
  <c r="BU23" i="1"/>
  <c r="BZ23" i="1" s="1"/>
  <c r="BT23" i="1"/>
  <c r="BQ23" i="1"/>
  <c r="BP23" i="1"/>
  <c r="BO23" i="1"/>
  <c r="BN23" i="1"/>
  <c r="BM23" i="1"/>
  <c r="BL23" i="1"/>
  <c r="BK23" i="1"/>
  <c r="BJ23" i="1"/>
  <c r="BI23" i="1"/>
  <c r="BH23" i="1"/>
  <c r="BG23" i="1"/>
  <c r="BF23" i="1"/>
  <c r="AT23" i="1"/>
  <c r="AY23" i="1" s="1"/>
  <c r="AS23" i="1"/>
  <c r="AR23" i="1"/>
  <c r="BS23" i="1" s="1"/>
  <c r="BX23" i="1" s="1"/>
  <c r="AQ23" i="1"/>
  <c r="AU23" i="1" s="1"/>
  <c r="FA22" i="1"/>
  <c r="DW22" i="1"/>
  <c r="BT22" i="1"/>
  <c r="BY22" i="1" s="1"/>
  <c r="BQ22" i="1"/>
  <c r="BP22" i="1"/>
  <c r="BO22" i="1"/>
  <c r="BN22" i="1"/>
  <c r="BM22" i="1"/>
  <c r="BL22" i="1"/>
  <c r="BK22" i="1"/>
  <c r="BJ22" i="1"/>
  <c r="BI22" i="1"/>
  <c r="BH22" i="1"/>
  <c r="BG22" i="1"/>
  <c r="BF22" i="1"/>
  <c r="AY22" i="1"/>
  <c r="AT22" i="1"/>
  <c r="BU22" i="1" s="1"/>
  <c r="BZ22" i="1" s="1"/>
  <c r="AS22" i="1"/>
  <c r="AX22" i="1" s="1"/>
  <c r="AR22" i="1"/>
  <c r="BS22" i="1" s="1"/>
  <c r="BX22" i="1" s="1"/>
  <c r="AQ22" i="1"/>
  <c r="BR22" i="1" s="1"/>
  <c r="BW22" i="1" s="1"/>
  <c r="FA21" i="1"/>
  <c r="FB21" i="1" s="1"/>
  <c r="DW21" i="1"/>
  <c r="CN21" i="1"/>
  <c r="CM21" i="1"/>
  <c r="CL21" i="1"/>
  <c r="CK21" i="1"/>
  <c r="CJ21" i="1"/>
  <c r="AV25" i="1" s="1"/>
  <c r="BT21" i="1"/>
  <c r="BY21" i="1" s="1"/>
  <c r="BQ21" i="1"/>
  <c r="BP21" i="1"/>
  <c r="BO21" i="1"/>
  <c r="BN21" i="1"/>
  <c r="BM21" i="1"/>
  <c r="BL21" i="1"/>
  <c r="BK21" i="1"/>
  <c r="BJ21" i="1"/>
  <c r="BI21" i="1"/>
  <c r="BH21" i="1"/>
  <c r="BH175" i="1" s="1"/>
  <c r="BG21" i="1"/>
  <c r="BF21" i="1"/>
  <c r="AY21" i="1"/>
  <c r="AW21" i="1"/>
  <c r="AT21" i="1"/>
  <c r="BU21" i="1" s="1"/>
  <c r="BZ21" i="1" s="1"/>
  <c r="AS21" i="1"/>
  <c r="AX21" i="1" s="1"/>
  <c r="AR21" i="1"/>
  <c r="BS21" i="1" s="1"/>
  <c r="BX21" i="1" s="1"/>
  <c r="AQ21" i="1"/>
  <c r="BR21" i="1" s="1"/>
  <c r="BW21" i="1" s="1"/>
  <c r="FA20" i="1"/>
  <c r="FB20" i="1" s="1"/>
  <c r="DW20" i="1"/>
  <c r="CN20" i="1"/>
  <c r="AZ109" i="1" s="1"/>
  <c r="CM20" i="1"/>
  <c r="CL20" i="1"/>
  <c r="CK20" i="1"/>
  <c r="CJ20" i="1"/>
  <c r="BT20" i="1"/>
  <c r="BY20" i="1" s="1"/>
  <c r="BQ20" i="1"/>
  <c r="BP20" i="1"/>
  <c r="BO20" i="1"/>
  <c r="BN20" i="1"/>
  <c r="BM20" i="1"/>
  <c r="BL20" i="1"/>
  <c r="BK20" i="1"/>
  <c r="BJ20" i="1"/>
  <c r="BI20" i="1"/>
  <c r="BH20" i="1"/>
  <c r="BG20" i="1"/>
  <c r="BF20" i="1"/>
  <c r="AY20" i="1"/>
  <c r="AW20" i="1"/>
  <c r="AU20" i="1"/>
  <c r="AO19" i="6" s="1"/>
  <c r="AT20" i="1"/>
  <c r="BU20" i="1" s="1"/>
  <c r="BZ20" i="1" s="1"/>
  <c r="AS20" i="1"/>
  <c r="AX20" i="1" s="1"/>
  <c r="AR20" i="1"/>
  <c r="BS20" i="1" s="1"/>
  <c r="BX20" i="1" s="1"/>
  <c r="AQ20" i="1"/>
  <c r="BR20" i="1" s="1"/>
  <c r="BW20" i="1" s="1"/>
  <c r="FA19" i="1"/>
  <c r="FB19" i="1" s="1"/>
  <c r="DW19" i="1"/>
  <c r="CN19" i="1"/>
  <c r="CN68" i="1" s="1"/>
  <c r="CM19" i="1"/>
  <c r="CL19" i="1"/>
  <c r="CK19" i="1"/>
  <c r="CJ19" i="1"/>
  <c r="AV23" i="1" s="1"/>
  <c r="BT19" i="1"/>
  <c r="BY19" i="1" s="1"/>
  <c r="BQ19" i="1"/>
  <c r="BP19" i="1"/>
  <c r="BP173" i="1" s="1"/>
  <c r="BO19" i="1"/>
  <c r="BN19" i="1"/>
  <c r="BM19" i="1"/>
  <c r="BL19" i="1"/>
  <c r="BK19" i="1"/>
  <c r="BJ19" i="1"/>
  <c r="BI19" i="1"/>
  <c r="BH19" i="1"/>
  <c r="BG19" i="1"/>
  <c r="BF19" i="1"/>
  <c r="AY19" i="1"/>
  <c r="AW19" i="1"/>
  <c r="AT19" i="1"/>
  <c r="BU19" i="1" s="1"/>
  <c r="BZ19" i="1" s="1"/>
  <c r="AS19" i="1"/>
  <c r="AX19" i="1" s="1"/>
  <c r="AR19" i="1"/>
  <c r="BS19" i="1" s="1"/>
  <c r="BX19" i="1" s="1"/>
  <c r="AQ19" i="1"/>
  <c r="BR19" i="1" s="1"/>
  <c r="BW19" i="1" s="1"/>
  <c r="FA18" i="1"/>
  <c r="FB18" i="1" s="1"/>
  <c r="DW18" i="1"/>
  <c r="CP18" i="1"/>
  <c r="CP17" i="1" s="1"/>
  <c r="CN18" i="1"/>
  <c r="CM18" i="1"/>
  <c r="CL18" i="1"/>
  <c r="CK18" i="1"/>
  <c r="AW22" i="1" s="1"/>
  <c r="CJ18" i="1"/>
  <c r="BU18" i="1"/>
  <c r="BZ18" i="1" s="1"/>
  <c r="BQ18" i="1"/>
  <c r="BP18" i="1"/>
  <c r="BO18" i="1"/>
  <c r="BN18" i="1"/>
  <c r="BM18" i="1"/>
  <c r="BL18" i="1"/>
  <c r="BK18" i="1"/>
  <c r="BJ18" i="1"/>
  <c r="BI18" i="1"/>
  <c r="BH18" i="1"/>
  <c r="BG18" i="1"/>
  <c r="BF18" i="1"/>
  <c r="AX18" i="1"/>
  <c r="AV18" i="1"/>
  <c r="AT18" i="1"/>
  <c r="AY18" i="1" s="1"/>
  <c r="AS18" i="1"/>
  <c r="BT18" i="1" s="1"/>
  <c r="BY18" i="1" s="1"/>
  <c r="AR18" i="1"/>
  <c r="BS18" i="1" s="1"/>
  <c r="BX18" i="1" s="1"/>
  <c r="AQ18" i="1"/>
  <c r="AU18" i="1" s="1"/>
  <c r="FA17" i="1"/>
  <c r="DW17" i="1"/>
  <c r="CN17" i="1"/>
  <c r="CM17" i="1"/>
  <c r="CL17" i="1"/>
  <c r="CK17" i="1"/>
  <c r="AW240" i="1" s="1"/>
  <c r="CJ17" i="1"/>
  <c r="BW107" i="1" s="1"/>
  <c r="BR17" i="1"/>
  <c r="BW17" i="1" s="1"/>
  <c r="BQ17" i="1"/>
  <c r="BP17" i="1"/>
  <c r="BO17" i="1"/>
  <c r="BN17" i="1"/>
  <c r="BM17" i="1"/>
  <c r="BL17" i="1"/>
  <c r="BK17" i="1"/>
  <c r="BJ17" i="1"/>
  <c r="BI17" i="1"/>
  <c r="BH17" i="1"/>
  <c r="BH171" i="1" s="1"/>
  <c r="BG17" i="1"/>
  <c r="BF17" i="1"/>
  <c r="AY17" i="1"/>
  <c r="AW17" i="1"/>
  <c r="AT17" i="1"/>
  <c r="BU17" i="1" s="1"/>
  <c r="BZ17" i="1" s="1"/>
  <c r="AS17" i="1"/>
  <c r="BT17" i="1" s="1"/>
  <c r="BY17" i="1" s="1"/>
  <c r="AR17" i="1"/>
  <c r="BS17" i="1" s="1"/>
  <c r="BX17" i="1" s="1"/>
  <c r="AQ17" i="1"/>
  <c r="AV17" i="1" s="1"/>
  <c r="FA16" i="1"/>
  <c r="FB16" i="1" s="1"/>
  <c r="DW16" i="1"/>
  <c r="CN16" i="1"/>
  <c r="CM16" i="1"/>
  <c r="CL16" i="1"/>
  <c r="CK16" i="1"/>
  <c r="AW122" i="1" s="1"/>
  <c r="CJ16" i="1"/>
  <c r="BR16" i="1"/>
  <c r="BW16" i="1" s="1"/>
  <c r="BQ16" i="1"/>
  <c r="BP16" i="1"/>
  <c r="BO16" i="1"/>
  <c r="BN16" i="1"/>
  <c r="BM16" i="1"/>
  <c r="BL16" i="1"/>
  <c r="BK16" i="1"/>
  <c r="BJ16" i="1"/>
  <c r="BI16" i="1"/>
  <c r="BH16" i="1"/>
  <c r="BG16" i="1"/>
  <c r="BF16" i="1"/>
  <c r="AW16" i="1"/>
  <c r="AT16" i="1"/>
  <c r="BU16" i="1" s="1"/>
  <c r="BZ16" i="1" s="1"/>
  <c r="AS16" i="1"/>
  <c r="BT16" i="1" s="1"/>
  <c r="BY16" i="1" s="1"/>
  <c r="AR16" i="1"/>
  <c r="BS16" i="1" s="1"/>
  <c r="BX16" i="1" s="1"/>
  <c r="AQ16" i="1"/>
  <c r="AV16" i="1" s="1"/>
  <c r="FA15" i="1"/>
  <c r="FB15" i="1" s="1"/>
  <c r="DW15" i="1"/>
  <c r="CN15" i="1"/>
  <c r="CN64" i="1" s="1"/>
  <c r="CM15" i="1"/>
  <c r="CL15" i="1"/>
  <c r="BY105" i="1" s="1"/>
  <c r="CK15" i="1"/>
  <c r="AW221" i="1" s="1"/>
  <c r="CJ15" i="1"/>
  <c r="BR15" i="1"/>
  <c r="BW15" i="1" s="1"/>
  <c r="BQ15" i="1"/>
  <c r="BP15" i="1"/>
  <c r="BO15" i="1"/>
  <c r="BN15" i="1"/>
  <c r="BM15" i="1"/>
  <c r="BL15" i="1"/>
  <c r="BK15" i="1"/>
  <c r="BJ15" i="1"/>
  <c r="BI15" i="1"/>
  <c r="BH15" i="1"/>
  <c r="BG15" i="1"/>
  <c r="BF15" i="1"/>
  <c r="AY15" i="1"/>
  <c r="AW15" i="1"/>
  <c r="AT15" i="1"/>
  <c r="BU15" i="1" s="1"/>
  <c r="BZ15" i="1" s="1"/>
  <c r="AS15" i="1"/>
  <c r="BT15" i="1" s="1"/>
  <c r="BY15" i="1" s="1"/>
  <c r="AR15" i="1"/>
  <c r="BS15" i="1" s="1"/>
  <c r="BX15" i="1" s="1"/>
  <c r="AQ15" i="1"/>
  <c r="AV15" i="1" s="1"/>
  <c r="FA14" i="1"/>
  <c r="FB14" i="1" s="1"/>
  <c r="CN14" i="1"/>
  <c r="CM14" i="1"/>
  <c r="BZ87" i="1" s="1"/>
  <c r="CL14" i="1"/>
  <c r="CK14" i="1"/>
  <c r="BX155" i="1" s="1"/>
  <c r="CJ14" i="1"/>
  <c r="BU14" i="1"/>
  <c r="BZ14" i="1" s="1"/>
  <c r="BQ14" i="1"/>
  <c r="BP14" i="1"/>
  <c r="BO14" i="1"/>
  <c r="BN14" i="1"/>
  <c r="BM14" i="1"/>
  <c r="BL14" i="1"/>
  <c r="BK14" i="1"/>
  <c r="BJ14" i="1"/>
  <c r="BI14" i="1"/>
  <c r="BH14" i="1"/>
  <c r="BG14" i="1"/>
  <c r="BF14" i="1"/>
  <c r="AT14" i="1"/>
  <c r="AY14" i="1" s="1"/>
  <c r="AS14" i="1"/>
  <c r="BT14" i="1" s="1"/>
  <c r="BY14" i="1" s="1"/>
  <c r="AR14" i="1"/>
  <c r="BS14" i="1" s="1"/>
  <c r="BX14" i="1" s="1"/>
  <c r="AQ14" i="1"/>
  <c r="AU14" i="1" s="1"/>
  <c r="FB13" i="1"/>
  <c r="FA13" i="1"/>
  <c r="CN13" i="1"/>
  <c r="CA103" i="1" s="1"/>
  <c r="CM13" i="1"/>
  <c r="AY170" i="1" s="1"/>
  <c r="CL13" i="1"/>
  <c r="CK13" i="1"/>
  <c r="CJ13" i="1"/>
  <c r="BW188" i="1" s="1"/>
  <c r="BT13" i="1"/>
  <c r="BY13" i="1" s="1"/>
  <c r="BQ13" i="1"/>
  <c r="BP13" i="1"/>
  <c r="BO13" i="1"/>
  <c r="BN13" i="1"/>
  <c r="BM13" i="1"/>
  <c r="BL13" i="1"/>
  <c r="BK13" i="1"/>
  <c r="BJ13" i="1"/>
  <c r="BI13" i="1"/>
  <c r="BH13" i="1"/>
  <c r="BG13" i="1"/>
  <c r="BF13" i="1"/>
  <c r="AY13" i="1"/>
  <c r="AW13" i="1"/>
  <c r="AT13" i="1"/>
  <c r="BU13" i="1" s="1"/>
  <c r="BZ13" i="1" s="1"/>
  <c r="AS13" i="1"/>
  <c r="AX13" i="1" s="1"/>
  <c r="AR13" i="1"/>
  <c r="BS13" i="1" s="1"/>
  <c r="BX13" i="1" s="1"/>
  <c r="AQ13" i="1"/>
  <c r="BR13" i="1" s="1"/>
  <c r="BW13" i="1" s="1"/>
  <c r="FA12" i="1"/>
  <c r="FB12" i="1" s="1"/>
  <c r="CN12" i="1"/>
  <c r="CM12" i="1"/>
  <c r="AY16" i="1" s="1"/>
  <c r="CL12" i="1"/>
  <c r="CK12" i="1"/>
  <c r="AW50" i="1" s="1"/>
  <c r="CJ12" i="1"/>
  <c r="BS12" i="1"/>
  <c r="BX12" i="1" s="1"/>
  <c r="BQ12" i="1"/>
  <c r="BP12" i="1"/>
  <c r="BO12" i="1"/>
  <c r="BN12" i="1"/>
  <c r="BM12" i="1"/>
  <c r="BL12" i="1"/>
  <c r="BK12" i="1"/>
  <c r="BJ12" i="1"/>
  <c r="BI12" i="1"/>
  <c r="BH12" i="1"/>
  <c r="BG12" i="1"/>
  <c r="BF12" i="1"/>
  <c r="AT12" i="1"/>
  <c r="BU12" i="1" s="1"/>
  <c r="BZ12" i="1" s="1"/>
  <c r="AS12" i="1"/>
  <c r="BT12" i="1" s="1"/>
  <c r="BY12" i="1" s="1"/>
  <c r="AR12" i="1"/>
  <c r="AW12" i="1" s="1"/>
  <c r="AQ12" i="1"/>
  <c r="BR12" i="1" s="1"/>
  <c r="BW12" i="1" s="1"/>
  <c r="FB11" i="1"/>
  <c r="FA11" i="1"/>
  <c r="CN11" i="1"/>
  <c r="CN60" i="1" s="1"/>
  <c r="CM11" i="1"/>
  <c r="CL11" i="1"/>
  <c r="CL60" i="1" s="1"/>
  <c r="CK11" i="1"/>
  <c r="CJ11" i="1"/>
  <c r="BW118" i="1" s="1"/>
  <c r="BR11" i="1"/>
  <c r="BW11" i="1" s="1"/>
  <c r="BQ11" i="1"/>
  <c r="BP11" i="1"/>
  <c r="BO11" i="1"/>
  <c r="BN11" i="1"/>
  <c r="BM11" i="1"/>
  <c r="BL11" i="1"/>
  <c r="BK11" i="1"/>
  <c r="BJ11" i="1"/>
  <c r="BI11" i="1"/>
  <c r="BH11" i="1"/>
  <c r="BG11" i="1"/>
  <c r="BF11" i="1"/>
  <c r="AY11" i="1"/>
  <c r="AW11" i="1"/>
  <c r="AT11" i="1"/>
  <c r="BU11" i="1" s="1"/>
  <c r="BZ11" i="1" s="1"/>
  <c r="AS11" i="1"/>
  <c r="BT11" i="1" s="1"/>
  <c r="BY11" i="1" s="1"/>
  <c r="AR11" i="1"/>
  <c r="BS11" i="1" s="1"/>
  <c r="BX11" i="1" s="1"/>
  <c r="AQ11" i="1"/>
  <c r="AV11" i="1" s="1"/>
  <c r="DK10" i="1"/>
  <c r="CN10" i="1"/>
  <c r="CM10" i="1"/>
  <c r="FB17" i="1" s="1"/>
  <c r="CL10" i="1"/>
  <c r="AX14" i="1" s="1"/>
  <c r="CK10" i="1"/>
  <c r="CJ10" i="1"/>
  <c r="AV99" i="1" s="1"/>
  <c r="BT10" i="1"/>
  <c r="BY10" i="1" s="1"/>
  <c r="BQ10" i="1"/>
  <c r="BP10" i="1"/>
  <c r="BO10" i="1"/>
  <c r="BN10" i="1"/>
  <c r="BM10" i="1"/>
  <c r="BL10" i="1"/>
  <c r="BK10" i="1"/>
  <c r="BJ10" i="1"/>
  <c r="BI10" i="1"/>
  <c r="BH10" i="1"/>
  <c r="BG10" i="1"/>
  <c r="BF10" i="1"/>
  <c r="AY10" i="1"/>
  <c r="AW10" i="1"/>
  <c r="AT10" i="1"/>
  <c r="BU10" i="1" s="1"/>
  <c r="BZ10" i="1" s="1"/>
  <c r="AS10" i="1"/>
  <c r="AX10" i="1" s="1"/>
  <c r="AR10" i="1"/>
  <c r="BS10" i="1" s="1"/>
  <c r="BX10" i="1" s="1"/>
  <c r="AQ10" i="1"/>
  <c r="BR10" i="1" s="1"/>
  <c r="BW10" i="1" s="1"/>
  <c r="DK9" i="1"/>
  <c r="CN9" i="1"/>
  <c r="CM9" i="1"/>
  <c r="CL9" i="1"/>
  <c r="AX183" i="1" s="1"/>
  <c r="CK9" i="1"/>
  <c r="AW249" i="1" s="1"/>
  <c r="CJ9" i="1"/>
  <c r="BW184" i="1" s="1"/>
  <c r="BU9" i="1"/>
  <c r="BS9" i="1"/>
  <c r="BQ9" i="1"/>
  <c r="BP9" i="1"/>
  <c r="BO9" i="1"/>
  <c r="BN9" i="1"/>
  <c r="BM9" i="1"/>
  <c r="BL9" i="1"/>
  <c r="BK9" i="1"/>
  <c r="BJ9" i="1"/>
  <c r="BI9" i="1"/>
  <c r="BH9" i="1"/>
  <c r="BG9" i="1"/>
  <c r="BF9" i="1"/>
  <c r="AT9" i="1"/>
  <c r="AS9" i="1"/>
  <c r="BT9" i="1" s="1"/>
  <c r="AR9" i="1"/>
  <c r="AQ9" i="1"/>
  <c r="AU9" i="1" s="1"/>
  <c r="BV9" i="1" s="1"/>
  <c r="DK8" i="1"/>
  <c r="CN8" i="1"/>
  <c r="CM8" i="1"/>
  <c r="CL8" i="1"/>
  <c r="CK8" i="1"/>
  <c r="CJ8" i="1"/>
  <c r="AV97" i="1" s="1"/>
  <c r="DK7" i="1"/>
  <c r="CN7" i="1"/>
  <c r="CN56" i="1" s="1"/>
  <c r="CM7" i="1"/>
  <c r="BZ45" i="1" s="1"/>
  <c r="CL7" i="1"/>
  <c r="BY80" i="1" s="1"/>
  <c r="CK7" i="1"/>
  <c r="CJ7" i="1"/>
  <c r="DK6" i="1"/>
  <c r="CN6" i="1"/>
  <c r="CM6" i="1"/>
  <c r="CL6" i="1"/>
  <c r="CK6" i="1"/>
  <c r="AW180" i="1" s="1"/>
  <c r="CJ6" i="1"/>
  <c r="AV200" i="1" s="1"/>
  <c r="X53" i="6" l="1"/>
  <c r="AV45" i="5"/>
  <c r="Q8" i="8" s="1"/>
  <c r="Q9" i="8"/>
  <c r="AV46" i="5"/>
  <c r="CK18" i="5"/>
  <c r="CK19" i="5"/>
  <c r="EB33" i="5"/>
  <c r="K42" i="5"/>
  <c r="AE42" i="5"/>
  <c r="AX10" i="5"/>
  <c r="F12" i="5"/>
  <c r="B12" i="5" s="1"/>
  <c r="CK14" i="5"/>
  <c r="AV71" i="5"/>
  <c r="AV72" i="5"/>
  <c r="AX33" i="5"/>
  <c r="W34" i="5"/>
  <c r="AX34" i="5"/>
  <c r="AC30" i="6"/>
  <c r="AX32" i="5"/>
  <c r="BL39" i="5"/>
  <c r="BM37" i="5"/>
  <c r="BM38" i="5" s="1"/>
  <c r="BX50" i="5"/>
  <c r="BY50" i="5" s="1"/>
  <c r="AW25" i="5"/>
  <c r="AW29" i="5"/>
  <c r="AN30" i="5"/>
  <c r="EB31" i="5"/>
  <c r="BJ47" i="5"/>
  <c r="BF49" i="5"/>
  <c r="DV9" i="5"/>
  <c r="DU9" i="5"/>
  <c r="F11" i="5"/>
  <c r="J44" i="5" s="1"/>
  <c r="DW11" i="5"/>
  <c r="BW15" i="5"/>
  <c r="CP15" i="5"/>
  <c r="DF21" i="5"/>
  <c r="X10" i="2" s="1"/>
  <c r="V44" i="6" s="1"/>
  <c r="DF23" i="5"/>
  <c r="DR9" i="5" s="1"/>
  <c r="AM24" i="5"/>
  <c r="F25" i="5"/>
  <c r="DF25" i="5"/>
  <c r="F27" i="5"/>
  <c r="B27" i="5" s="1"/>
  <c r="AI50" i="5"/>
  <c r="M111" i="5"/>
  <c r="AB111" i="5" s="1"/>
  <c r="M112" i="5"/>
  <c r="AB112" i="5" s="1"/>
  <c r="M113" i="5"/>
  <c r="AB113" i="5" s="1"/>
  <c r="M114" i="5"/>
  <c r="AB114" i="5" s="1"/>
  <c r="M115" i="5"/>
  <c r="AB115" i="5" s="1"/>
  <c r="M116" i="5"/>
  <c r="AB116" i="5" s="1"/>
  <c r="M117" i="5"/>
  <c r="AB117" i="5" s="1"/>
  <c r="AE50" i="5"/>
  <c r="F9" i="5"/>
  <c r="AW16" i="5"/>
  <c r="AW17" i="5"/>
  <c r="EA18" i="5"/>
  <c r="DF20" i="5"/>
  <c r="X9" i="2" s="1"/>
  <c r="H54" i="5" s="1"/>
  <c r="E17" i="8" s="1"/>
  <c r="G78" i="9" s="1"/>
  <c r="F24" i="5"/>
  <c r="DF26" i="5"/>
  <c r="U47" i="5"/>
  <c r="AU47" i="5" s="1"/>
  <c r="BA47" i="5" s="1"/>
  <c r="AT48" i="5"/>
  <c r="AW48" i="5" s="1"/>
  <c r="D46" i="6" s="1"/>
  <c r="CP10" i="5"/>
  <c r="AO9" i="5"/>
  <c r="DW10" i="5"/>
  <c r="CP11" i="5"/>
  <c r="F13" i="5"/>
  <c r="F16" i="5"/>
  <c r="AW24" i="5"/>
  <c r="DF24" i="5"/>
  <c r="C25" i="5"/>
  <c r="AM29" i="5"/>
  <c r="AT49" i="5"/>
  <c r="P15" i="8"/>
  <c r="G16" i="9" s="1"/>
  <c r="ED31" i="5"/>
  <c r="BG40" i="5"/>
  <c r="BG41" i="5" s="1"/>
  <c r="V64" i="5"/>
  <c r="AH54" i="6"/>
  <c r="AQ67" i="5"/>
  <c r="M30" i="8"/>
  <c r="J36" i="5"/>
  <c r="X23" i="2"/>
  <c r="D30" i="8"/>
  <c r="T64" i="5"/>
  <c r="I31" i="9"/>
  <c r="AX31" i="1"/>
  <c r="CM108" i="1"/>
  <c r="CM156" i="1" s="1"/>
  <c r="AY32" i="1"/>
  <c r="AY69" i="1"/>
  <c r="BU35" i="1"/>
  <c r="BZ35" i="1" s="1"/>
  <c r="BU37" i="1"/>
  <c r="BZ37" i="1" s="1"/>
  <c r="AY71" i="1"/>
  <c r="AV239" i="1"/>
  <c r="AO22" i="6"/>
  <c r="AZ23" i="1"/>
  <c r="BV23" i="1"/>
  <c r="CA23" i="1" s="1"/>
  <c r="AW30" i="1"/>
  <c r="CM107" i="1"/>
  <c r="CM155" i="1" s="1"/>
  <c r="AY31" i="1"/>
  <c r="AW33" i="1"/>
  <c r="CK109" i="1"/>
  <c r="AV35" i="1"/>
  <c r="AX39" i="1"/>
  <c r="CL43" i="1" s="1"/>
  <c r="AO24" i="6"/>
  <c r="BV25" i="1"/>
  <c r="CA25" i="1" s="1"/>
  <c r="AZ25" i="1"/>
  <c r="AW27" i="1"/>
  <c r="AY27" i="1"/>
  <c r="AX28" i="1"/>
  <c r="AX29" i="1"/>
  <c r="AV30" i="1"/>
  <c r="AU30" i="1"/>
  <c r="AV31" i="1"/>
  <c r="AU31" i="1"/>
  <c r="AV33" i="1"/>
  <c r="AU33" i="1"/>
  <c r="CM110" i="1"/>
  <c r="CM158" i="1" s="1"/>
  <c r="AY34" i="1"/>
  <c r="AX37" i="1"/>
  <c r="AT78" i="1"/>
  <c r="AY78" i="1" s="1"/>
  <c r="AV28" i="1"/>
  <c r="AU28" i="1"/>
  <c r="AV29" i="1"/>
  <c r="AU29" i="1"/>
  <c r="AX30" i="1"/>
  <c r="AX33" i="1"/>
  <c r="AV37" i="1"/>
  <c r="CJ116" i="1"/>
  <c r="AV40" i="1"/>
  <c r="AX74" i="1"/>
  <c r="BT40" i="1"/>
  <c r="BY40" i="1" s="1"/>
  <c r="AX27" i="1"/>
  <c r="CM106" i="1"/>
  <c r="CM154" i="1" s="1"/>
  <c r="AY30" i="1"/>
  <c r="CM34" i="1" s="1"/>
  <c r="AW31" i="1"/>
  <c r="AX32" i="1"/>
  <c r="CL108" i="1"/>
  <c r="AY33" i="1"/>
  <c r="AY36" i="1"/>
  <c r="CM112" i="1"/>
  <c r="CM160" i="1" s="1"/>
  <c r="AY38" i="1"/>
  <c r="AO13" i="6"/>
  <c r="AN40" i="6" s="1"/>
  <c r="AZ14" i="1"/>
  <c r="BV14" i="1"/>
  <c r="CA14" i="1" s="1"/>
  <c r="AO17" i="6"/>
  <c r="AN44" i="6" s="1"/>
  <c r="BV18" i="1"/>
  <c r="CA18" i="1" s="1"/>
  <c r="AZ18" i="1"/>
  <c r="AU26" i="1"/>
  <c r="K12" i="5" s="1"/>
  <c r="S8" i="6" s="1"/>
  <c r="S34" i="6" s="1"/>
  <c r="AV27" i="1"/>
  <c r="AU27" i="1"/>
  <c r="AW28" i="1"/>
  <c r="CM104" i="1"/>
  <c r="CM152" i="1" s="1"/>
  <c r="AY28" i="1"/>
  <c r="AW29" i="1"/>
  <c r="AV32" i="1"/>
  <c r="AU32" i="1"/>
  <c r="AW32" i="1"/>
  <c r="AX35" i="1"/>
  <c r="AV39" i="1"/>
  <c r="AU39" i="1"/>
  <c r="AV41" i="1"/>
  <c r="CJ118" i="1"/>
  <c r="CJ166" i="1" s="1"/>
  <c r="AV42" i="1"/>
  <c r="AV147" i="1"/>
  <c r="AV148" i="1"/>
  <c r="AV149" i="1"/>
  <c r="AV150" i="1"/>
  <c r="AU150" i="1"/>
  <c r="AV151" i="1"/>
  <c r="AV231" i="1"/>
  <c r="AX200" i="1"/>
  <c r="BY181" i="1"/>
  <c r="AX163" i="1"/>
  <c r="AX129" i="1"/>
  <c r="AX112" i="1"/>
  <c r="BY79" i="1"/>
  <c r="CL55" i="1"/>
  <c r="BY183" i="1"/>
  <c r="AX131" i="1"/>
  <c r="AX114" i="1"/>
  <c r="AX97" i="1"/>
  <c r="BY81" i="1"/>
  <c r="CL57" i="1"/>
  <c r="BY46" i="1"/>
  <c r="AX182" i="1"/>
  <c r="AU10" i="1"/>
  <c r="BY191" i="1"/>
  <c r="AX139" i="1"/>
  <c r="CL65" i="1"/>
  <c r="AX54" i="1"/>
  <c r="AX190" i="1"/>
  <c r="AX105" i="1"/>
  <c r="AV194" i="1"/>
  <c r="BW144" i="1"/>
  <c r="AV109" i="1"/>
  <c r="BW58" i="1"/>
  <c r="BW195" i="1"/>
  <c r="AV143" i="1"/>
  <c r="BW25" i="1"/>
  <c r="BQ163" i="1"/>
  <c r="BQ180" i="1" s="1"/>
  <c r="BG166" i="1"/>
  <c r="BN169" i="1"/>
  <c r="AW34" i="1"/>
  <c r="AU38" i="1"/>
  <c r="AN12" i="6"/>
  <c r="AM39" i="6" s="1"/>
  <c r="AZ47" i="1"/>
  <c r="BW48" i="1"/>
  <c r="BZ50" i="1"/>
  <c r="AW52" i="1"/>
  <c r="BV53" i="1"/>
  <c r="CA53" i="1" s="1"/>
  <c r="AP86" i="1"/>
  <c r="BQ35" i="1"/>
  <c r="BQ172" i="1" s="1"/>
  <c r="AL88" i="1"/>
  <c r="BM37" i="1"/>
  <c r="BM174" i="1" s="1"/>
  <c r="AW73" i="1"/>
  <c r="BS39" i="1"/>
  <c r="BX39" i="1" s="1"/>
  <c r="AW76" i="1"/>
  <c r="AH78" i="1"/>
  <c r="AR78" i="1" s="1"/>
  <c r="AW78" i="1" s="1"/>
  <c r="AR81" i="1"/>
  <c r="AW81" i="1" s="1"/>
  <c r="BZ85" i="1"/>
  <c r="BV87" i="1"/>
  <c r="CA87" i="1" s="1"/>
  <c r="BY101" i="1"/>
  <c r="BY116" i="1"/>
  <c r="BY130" i="1"/>
  <c r="BZ187" i="1"/>
  <c r="AV205" i="1"/>
  <c r="AV216" i="1"/>
  <c r="AX234" i="1"/>
  <c r="AH18" i="5"/>
  <c r="X14" i="4"/>
  <c r="FB2" i="1"/>
  <c r="AY208" i="1"/>
  <c r="AY180" i="1"/>
  <c r="BZ147" i="1"/>
  <c r="AY204" i="1"/>
  <c r="BZ130" i="1"/>
  <c r="BZ113" i="1"/>
  <c r="CM55" i="1"/>
  <c r="AY44" i="1"/>
  <c r="AW209" i="1"/>
  <c r="AW213" i="1"/>
  <c r="AW201" i="1"/>
  <c r="BX148" i="1"/>
  <c r="AW113" i="1"/>
  <c r="CK56" i="1"/>
  <c r="BX45" i="1"/>
  <c r="AW247" i="1"/>
  <c r="AW130" i="1"/>
  <c r="AY210" i="1"/>
  <c r="AY202" i="1"/>
  <c r="BZ149" i="1"/>
  <c r="BZ132" i="1"/>
  <c r="AY248" i="1"/>
  <c r="CM57" i="1"/>
  <c r="AY214" i="1"/>
  <c r="AY206" i="1"/>
  <c r="AY165" i="1"/>
  <c r="AY148" i="1"/>
  <c r="BR9" i="1"/>
  <c r="AY249" i="1"/>
  <c r="AY215" i="1"/>
  <c r="BZ150" i="1"/>
  <c r="AY115" i="1"/>
  <c r="AY149" i="1"/>
  <c r="AY132" i="1"/>
  <c r="CM58" i="1"/>
  <c r="CM82" i="1" s="1"/>
  <c r="AV10" i="1"/>
  <c r="AW250" i="1"/>
  <c r="AW216" i="1"/>
  <c r="BX134" i="1"/>
  <c r="BX151" i="1"/>
  <c r="AW48" i="1"/>
  <c r="AX11" i="1"/>
  <c r="AY251" i="1"/>
  <c r="AY217" i="1"/>
  <c r="AY134" i="1"/>
  <c r="AY117" i="1"/>
  <c r="AY151" i="1"/>
  <c r="CM60" i="1"/>
  <c r="AU12" i="1"/>
  <c r="AY12" i="1"/>
  <c r="AV186" i="1"/>
  <c r="AV118" i="1"/>
  <c r="AV169" i="1"/>
  <c r="BW102" i="1"/>
  <c r="BW187" i="1"/>
  <c r="AV135" i="1"/>
  <c r="AV13" i="1"/>
  <c r="AW170" i="1"/>
  <c r="AW136" i="1"/>
  <c r="BX120" i="1"/>
  <c r="AW119" i="1"/>
  <c r="CK62" i="1"/>
  <c r="AW253" i="1"/>
  <c r="AW51" i="1"/>
  <c r="AW219" i="1"/>
  <c r="AW14" i="1"/>
  <c r="BR14" i="1"/>
  <c r="BW14" i="1" s="1"/>
  <c r="BY189" i="1"/>
  <c r="AX188" i="1"/>
  <c r="CL63" i="1"/>
  <c r="BY52" i="1"/>
  <c r="AX137" i="1"/>
  <c r="AX15" i="1"/>
  <c r="AY255" i="1"/>
  <c r="AY221" i="1"/>
  <c r="AY138" i="1"/>
  <c r="AY121" i="1"/>
  <c r="AY172" i="1"/>
  <c r="BZ122" i="1"/>
  <c r="BZ88" i="1"/>
  <c r="AY53" i="1"/>
  <c r="AY104" i="1"/>
  <c r="CM64" i="1"/>
  <c r="AX16" i="1"/>
  <c r="BZ140" i="1"/>
  <c r="AY122" i="1"/>
  <c r="AY256" i="1"/>
  <c r="CM65" i="1"/>
  <c r="AY239" i="1"/>
  <c r="AY222" i="1"/>
  <c r="AY173" i="1"/>
  <c r="BZ157" i="1"/>
  <c r="BZ123" i="1"/>
  <c r="BZ106" i="1"/>
  <c r="AX17" i="1"/>
  <c r="AY257" i="1"/>
  <c r="AY223" i="1"/>
  <c r="AY123" i="1"/>
  <c r="AY140" i="1"/>
  <c r="AY106" i="1"/>
  <c r="BZ90" i="1"/>
  <c r="BZ55" i="1"/>
  <c r="CM66" i="1"/>
  <c r="AW18" i="1"/>
  <c r="BR18" i="1"/>
  <c r="BW18" i="1" s="1"/>
  <c r="BY193" i="1"/>
  <c r="AX192" i="1"/>
  <c r="AX107" i="1"/>
  <c r="CL67" i="1"/>
  <c r="AX141" i="1"/>
  <c r="AV19" i="1"/>
  <c r="AW176" i="1"/>
  <c r="BX126" i="1"/>
  <c r="AW259" i="1"/>
  <c r="CK68" i="1"/>
  <c r="AW225" i="1"/>
  <c r="AW108" i="1"/>
  <c r="AW57" i="1"/>
  <c r="AW142" i="1"/>
  <c r="AW125" i="1"/>
  <c r="AV20" i="1"/>
  <c r="AZ20" i="1"/>
  <c r="AW260" i="1"/>
  <c r="AW226" i="1"/>
  <c r="AW177" i="1"/>
  <c r="BX161" i="1"/>
  <c r="BX127" i="1"/>
  <c r="BX110" i="1"/>
  <c r="CK69" i="1"/>
  <c r="AV21" i="1"/>
  <c r="AW178" i="1"/>
  <c r="BX145" i="1"/>
  <c r="BX128" i="1"/>
  <c r="BX162" i="1"/>
  <c r="AW127" i="1"/>
  <c r="AW110" i="1"/>
  <c r="CK70" i="1"/>
  <c r="AW261" i="1"/>
  <c r="AW227" i="1"/>
  <c r="AV22" i="1"/>
  <c r="AW23" i="1"/>
  <c r="BR23" i="1"/>
  <c r="BW23" i="1" s="1"/>
  <c r="AX24" i="1"/>
  <c r="AY25" i="1"/>
  <c r="BF26" i="1"/>
  <c r="BF163" i="1" s="1"/>
  <c r="BJ26" i="1"/>
  <c r="BJ163" i="1" s="1"/>
  <c r="BJ180" i="1" s="1"/>
  <c r="BN26" i="1"/>
  <c r="BN163" i="1" s="1"/>
  <c r="BN180" i="1" s="1"/>
  <c r="BH164" i="1"/>
  <c r="BL164" i="1"/>
  <c r="BP164" i="1"/>
  <c r="BU164" i="1" s="1"/>
  <c r="BZ164" i="1" s="1"/>
  <c r="BH165" i="1"/>
  <c r="BP165" i="1"/>
  <c r="BH166" i="1"/>
  <c r="BL166" i="1"/>
  <c r="BP166" i="1"/>
  <c r="BH167" i="1"/>
  <c r="BL167" i="1"/>
  <c r="BP167" i="1"/>
  <c r="BH168" i="1"/>
  <c r="BL168" i="1"/>
  <c r="BP168" i="1"/>
  <c r="BG32" i="1"/>
  <c r="BG169" i="1" s="1"/>
  <c r="BK32" i="1"/>
  <c r="BK169" i="1" s="1"/>
  <c r="BO32" i="1"/>
  <c r="BO169" i="1" s="1"/>
  <c r="BH170" i="1"/>
  <c r="BL170" i="1"/>
  <c r="BP170" i="1"/>
  <c r="AR35" i="1"/>
  <c r="AU35" i="1" s="1"/>
  <c r="BH172" i="1"/>
  <c r="BN172" i="1"/>
  <c r="AX36" i="1"/>
  <c r="BH173" i="1"/>
  <c r="BL173" i="1"/>
  <c r="AT37" i="1"/>
  <c r="BF174" i="1"/>
  <c r="BP174" i="1"/>
  <c r="AR39" i="1"/>
  <c r="BH176" i="1"/>
  <c r="BN176" i="1"/>
  <c r="AR40" i="1"/>
  <c r="BH178" i="1"/>
  <c r="BL178" i="1"/>
  <c r="BP178" i="1"/>
  <c r="AR42" i="1"/>
  <c r="AU42" i="1" s="1"/>
  <c r="BF179" i="1"/>
  <c r="BJ179" i="1"/>
  <c r="BV43" i="1"/>
  <c r="AV44" i="1"/>
  <c r="AW44" i="1"/>
  <c r="BW45" i="1"/>
  <c r="BV45" i="1"/>
  <c r="CA45" i="1" s="1"/>
  <c r="AU46" i="1"/>
  <c r="AX46" i="1"/>
  <c r="BZ46" i="1"/>
  <c r="AW47" i="1"/>
  <c r="BV47" i="1"/>
  <c r="CA47" i="1" s="1"/>
  <c r="BW47" i="1"/>
  <c r="AW49" i="1"/>
  <c r="AZ49" i="1"/>
  <c r="BZ49" i="1"/>
  <c r="BY50" i="1"/>
  <c r="AX51" i="1"/>
  <c r="BW51" i="1"/>
  <c r="BX51" i="1"/>
  <c r="BX52" i="1"/>
  <c r="AX53" i="1"/>
  <c r="BZ53" i="1"/>
  <c r="BV54" i="1"/>
  <c r="CA54" i="1" s="1"/>
  <c r="BY54" i="1"/>
  <c r="AX55" i="1"/>
  <c r="BW55" i="1"/>
  <c r="BX55" i="1"/>
  <c r="AV56" i="1"/>
  <c r="AW56" i="1"/>
  <c r="CJ57" i="1"/>
  <c r="AU58" i="1"/>
  <c r="AV58" i="1"/>
  <c r="AY59" i="1"/>
  <c r="CM59" i="1"/>
  <c r="AQ78" i="1"/>
  <c r="CJ103" i="1" s="1"/>
  <c r="CJ151" i="1" s="1"/>
  <c r="AT61" i="1"/>
  <c r="AT63" i="1"/>
  <c r="AT65" i="1"/>
  <c r="AT67" i="1"/>
  <c r="AV71" i="1"/>
  <c r="AU71" i="1"/>
  <c r="AT89" i="1"/>
  <c r="AY89" i="1" s="1"/>
  <c r="AX72" i="1"/>
  <c r="AS73" i="1"/>
  <c r="AS90" i="1"/>
  <c r="AX90" i="1" s="1"/>
  <c r="BV73" i="1"/>
  <c r="AS92" i="1"/>
  <c r="AX92" i="1" s="1"/>
  <c r="AS93" i="1"/>
  <c r="AX93" i="1" s="1"/>
  <c r="AL78" i="1"/>
  <c r="AS78" i="1" s="1"/>
  <c r="BV78" i="1"/>
  <c r="AT80" i="1"/>
  <c r="AY80" i="1" s="1"/>
  <c r="CM33" i="1" s="1"/>
  <c r="BV80" i="1"/>
  <c r="CA80" i="1" s="1"/>
  <c r="BV81" i="1"/>
  <c r="CA81" i="1" s="1"/>
  <c r="BW81" i="1"/>
  <c r="AT84" i="1"/>
  <c r="AY84" i="1" s="1"/>
  <c r="BV84" i="1"/>
  <c r="CA84" i="1" s="1"/>
  <c r="BY84" i="1"/>
  <c r="BV85" i="1"/>
  <c r="CA85" i="1" s="1"/>
  <c r="BW85" i="1"/>
  <c r="BY89" i="1"/>
  <c r="BW90" i="1"/>
  <c r="BX90" i="1"/>
  <c r="AG91" i="1"/>
  <c r="BY93" i="1"/>
  <c r="BY94" i="1"/>
  <c r="AY95" i="1"/>
  <c r="BV96" i="1"/>
  <c r="CA96" i="1" s="1"/>
  <c r="BY96" i="1"/>
  <c r="AY97" i="1"/>
  <c r="BX97" i="1"/>
  <c r="AU98" i="1"/>
  <c r="AV98" i="1"/>
  <c r="AW99" i="1"/>
  <c r="AZ99" i="1"/>
  <c r="BZ99" i="1"/>
  <c r="BV100" i="1"/>
  <c r="CA100" i="1" s="1"/>
  <c r="BY100" i="1"/>
  <c r="AY101" i="1"/>
  <c r="BX101" i="1"/>
  <c r="AU102" i="1"/>
  <c r="AV102" i="1"/>
  <c r="AW103" i="1"/>
  <c r="BY104" i="1"/>
  <c r="CA107" i="1"/>
  <c r="BZ109" i="1"/>
  <c r="AX110" i="1"/>
  <c r="BX111" i="1"/>
  <c r="AX115" i="1"/>
  <c r="BW117" i="1"/>
  <c r="BX117" i="1"/>
  <c r="AV122" i="1"/>
  <c r="AX124" i="1"/>
  <c r="BW127" i="1"/>
  <c r="BV127" i="1"/>
  <c r="CA127" i="1" s="1"/>
  <c r="AZ129" i="1"/>
  <c r="CA133" i="1"/>
  <c r="CA137" i="1"/>
  <c r="CA141" i="1"/>
  <c r="AX152" i="1"/>
  <c r="AW153" i="1"/>
  <c r="AY155" i="1"/>
  <c r="BW157" i="1"/>
  <c r="BV157" i="1"/>
  <c r="CA157" i="1" s="1"/>
  <c r="BX158" i="1"/>
  <c r="BY159" i="1"/>
  <c r="AV167" i="1"/>
  <c r="AW167" i="1"/>
  <c r="AX171" i="1"/>
  <c r="AV177" i="1"/>
  <c r="AU177" i="1"/>
  <c r="AZ177" i="1" s="1"/>
  <c r="BX181" i="1"/>
  <c r="CK55" i="1"/>
  <c r="CA182" i="1"/>
  <c r="AZ183" i="1"/>
  <c r="BZ183" i="1"/>
  <c r="CN62" i="1"/>
  <c r="CA188" i="1"/>
  <c r="AW192" i="1"/>
  <c r="AY194" i="1"/>
  <c r="AZ200" i="1"/>
  <c r="AV209" i="1"/>
  <c r="AU209" i="1"/>
  <c r="AZ209" i="1" s="1"/>
  <c r="AS213" i="1"/>
  <c r="AX213" i="1" s="1"/>
  <c r="AK230" i="1"/>
  <c r="AS230" i="1" s="1"/>
  <c r="AX230" i="1" s="1"/>
  <c r="AY218" i="1"/>
  <c r="AQ229" i="1"/>
  <c r="AV235" i="1"/>
  <c r="AY235" i="1"/>
  <c r="AW236" i="1"/>
  <c r="AY236" i="1"/>
  <c r="AY237" i="1"/>
  <c r="AX238" i="1"/>
  <c r="AW241" i="1"/>
  <c r="AY241" i="1"/>
  <c r="AW242" i="1"/>
  <c r="AX243" i="1"/>
  <c r="AV249" i="1"/>
  <c r="AX253" i="1"/>
  <c r="AV260" i="1"/>
  <c r="AU260" i="1"/>
  <c r="AZ260" i="1" s="1"/>
  <c r="J29" i="9"/>
  <c r="AG36" i="8"/>
  <c r="F28" i="8"/>
  <c r="T28" i="8"/>
  <c r="T54" i="6"/>
  <c r="AR55" i="6"/>
  <c r="AN55" i="6"/>
  <c r="AM55" i="6"/>
  <c r="Z54" i="6"/>
  <c r="V54" i="6"/>
  <c r="AH55" i="6"/>
  <c r="U54" i="6"/>
  <c r="L65" i="5"/>
  <c r="AR65" i="5" s="1"/>
  <c r="AP55" i="6"/>
  <c r="Y65" i="5"/>
  <c r="R28" i="8" s="1"/>
  <c r="DL23" i="5"/>
  <c r="U92" i="5"/>
  <c r="V92" i="5" s="1"/>
  <c r="DJ23" i="5"/>
  <c r="AQ65" i="5"/>
  <c r="H13" i="8"/>
  <c r="W13" i="6"/>
  <c r="L50" i="5"/>
  <c r="AM17" i="5"/>
  <c r="AN17" i="5"/>
  <c r="W30" i="6"/>
  <c r="AN34" i="5"/>
  <c r="H17" i="8"/>
  <c r="AG25" i="8"/>
  <c r="U81" i="5"/>
  <c r="V54" i="5"/>
  <c r="L54" i="5"/>
  <c r="AQ44" i="6"/>
  <c r="F54" i="5"/>
  <c r="DL12" i="5"/>
  <c r="F67" i="5"/>
  <c r="K67" i="5"/>
  <c r="AV181" i="1"/>
  <c r="AV164" i="1"/>
  <c r="BW131" i="1"/>
  <c r="BW114" i="1"/>
  <c r="BW182" i="1"/>
  <c r="BW97" i="1"/>
  <c r="BW80" i="1"/>
  <c r="CJ56" i="1"/>
  <c r="BY184" i="1"/>
  <c r="AX166" i="1"/>
  <c r="BY133" i="1"/>
  <c r="AX98" i="1"/>
  <c r="BY47" i="1"/>
  <c r="CL58" i="1"/>
  <c r="AV184" i="1"/>
  <c r="AV133" i="1"/>
  <c r="BW185" i="1"/>
  <c r="AV116" i="1"/>
  <c r="BW100" i="1"/>
  <c r="CJ59" i="1"/>
  <c r="BY190" i="1"/>
  <c r="BY156" i="1"/>
  <c r="BY139" i="1"/>
  <c r="AX189" i="1"/>
  <c r="BY192" i="1"/>
  <c r="BY158" i="1"/>
  <c r="BY141" i="1"/>
  <c r="BY107" i="1"/>
  <c r="AU19" i="1"/>
  <c r="AV193" i="1"/>
  <c r="BW160" i="1"/>
  <c r="BW143" i="1"/>
  <c r="BW194" i="1"/>
  <c r="BW92" i="1"/>
  <c r="CJ68" i="1"/>
  <c r="BW109" i="1"/>
  <c r="AU21" i="1"/>
  <c r="AU22" i="1"/>
  <c r="BM163" i="1"/>
  <c r="BM180" i="1" s="1"/>
  <c r="CM105" i="1"/>
  <c r="BK166" i="1"/>
  <c r="BJ169" i="1"/>
  <c r="AU34" i="1"/>
  <c r="CK113" i="1"/>
  <c r="CK161" i="1" s="1"/>
  <c r="CK114" i="1"/>
  <c r="CK162" i="1" s="1"/>
  <c r="AW38" i="1"/>
  <c r="BY38" i="1"/>
  <c r="AX40" i="1"/>
  <c r="CL118" i="1"/>
  <c r="AX42" i="1"/>
  <c r="AV45" i="1"/>
  <c r="AX47" i="1"/>
  <c r="BW57" i="1"/>
  <c r="AQ60" i="1"/>
  <c r="AH86" i="1"/>
  <c r="AR86" i="1" s="1"/>
  <c r="AW86" i="1" s="1"/>
  <c r="BI35" i="1"/>
  <c r="BI172" i="1" s="1"/>
  <c r="BS172" i="1" s="1"/>
  <c r="BX172" i="1" s="1"/>
  <c r="AH88" i="1"/>
  <c r="AR88" i="1" s="1"/>
  <c r="AW88" i="1" s="1"/>
  <c r="BI37" i="1"/>
  <c r="BI174" i="1" s="1"/>
  <c r="AV89" i="1"/>
  <c r="AU89" i="1"/>
  <c r="AZ89" i="1" s="1"/>
  <c r="AT91" i="1"/>
  <c r="AY91" i="1" s="1"/>
  <c r="AW75" i="1"/>
  <c r="BY88" i="1"/>
  <c r="CA97" i="1"/>
  <c r="P23" i="5"/>
  <c r="U19" i="6" s="1"/>
  <c r="AZ105" i="1"/>
  <c r="CJ110" i="1"/>
  <c r="CJ158" i="1" s="1"/>
  <c r="AV126" i="1"/>
  <c r="CJ164" i="1"/>
  <c r="AV161" i="1"/>
  <c r="AZ187" i="1"/>
  <c r="CN66" i="1"/>
  <c r="CA192" i="1"/>
  <c r="AU216" i="1"/>
  <c r="AZ216" i="1" s="1"/>
  <c r="AV234" i="1"/>
  <c r="BW181" i="1"/>
  <c r="AV163" i="1"/>
  <c r="AV129" i="1"/>
  <c r="BW96" i="1"/>
  <c r="AV95" i="1"/>
  <c r="AV112" i="1"/>
  <c r="BY182" i="1"/>
  <c r="BY114" i="1"/>
  <c r="BY131" i="1"/>
  <c r="AX181" i="1"/>
  <c r="AX96" i="1"/>
  <c r="AU11" i="1"/>
  <c r="AV12" i="1"/>
  <c r="BY188" i="1"/>
  <c r="BY137" i="1"/>
  <c r="BY154" i="1"/>
  <c r="BY103" i="1"/>
  <c r="AX102" i="1"/>
  <c r="BZ155" i="1"/>
  <c r="AY120" i="1"/>
  <c r="AY220" i="1"/>
  <c r="AY171" i="1"/>
  <c r="BZ138" i="1"/>
  <c r="BZ121" i="1"/>
  <c r="CM63" i="1"/>
  <c r="AU15" i="1"/>
  <c r="AV189" i="1"/>
  <c r="BW156" i="1"/>
  <c r="BW139" i="1"/>
  <c r="BW105" i="1"/>
  <c r="BW190" i="1"/>
  <c r="CJ64" i="1"/>
  <c r="AU16" i="1"/>
  <c r="AV190" i="1"/>
  <c r="BW54" i="1"/>
  <c r="BW191" i="1"/>
  <c r="AV139" i="1"/>
  <c r="AU17" i="1"/>
  <c r="AV191" i="1"/>
  <c r="BW158" i="1"/>
  <c r="BW141" i="1"/>
  <c r="CJ66" i="1"/>
  <c r="BZ159" i="1"/>
  <c r="AY124" i="1"/>
  <c r="AY175" i="1"/>
  <c r="BZ142" i="1"/>
  <c r="BZ125" i="1"/>
  <c r="CM67" i="1"/>
  <c r="AY258" i="1"/>
  <c r="BZ108" i="1"/>
  <c r="AY56" i="1"/>
  <c r="AY224" i="1"/>
  <c r="BY194" i="1"/>
  <c r="BY143" i="1"/>
  <c r="AX193" i="1"/>
  <c r="BY109" i="1"/>
  <c r="BY160" i="1"/>
  <c r="BV20" i="1"/>
  <c r="CA20" i="1" s="1"/>
  <c r="BY195" i="1"/>
  <c r="AX143" i="1"/>
  <c r="AX109" i="1"/>
  <c r="BY144" i="1"/>
  <c r="CL69" i="1"/>
  <c r="AX58" i="1"/>
  <c r="AX194" i="1"/>
  <c r="BY196" i="1"/>
  <c r="AX144" i="1"/>
  <c r="BY59" i="1"/>
  <c r="FB22" i="1"/>
  <c r="AX23" i="1"/>
  <c r="AU24" i="1"/>
  <c r="BG163" i="1"/>
  <c r="BG180" i="1" s="1"/>
  <c r="BK163" i="1"/>
  <c r="BK180" i="1" s="1"/>
  <c r="BO163" i="1"/>
  <c r="BQ27" i="1"/>
  <c r="BQ164" i="1" s="1"/>
  <c r="BI165" i="1"/>
  <c r="BS165" i="1" s="1"/>
  <c r="BX165" i="1" s="1"/>
  <c r="BM165" i="1"/>
  <c r="BQ165" i="1"/>
  <c r="BI29" i="1"/>
  <c r="BI166" i="1" s="1"/>
  <c r="BS166" i="1" s="1"/>
  <c r="BX166" i="1" s="1"/>
  <c r="BM29" i="1"/>
  <c r="BM166" i="1" s="1"/>
  <c r="BQ29" i="1"/>
  <c r="BQ166" i="1" s="1"/>
  <c r="BI167" i="1"/>
  <c r="BM167" i="1"/>
  <c r="BQ167" i="1"/>
  <c r="BI31" i="1"/>
  <c r="BI168" i="1" s="1"/>
  <c r="BM31" i="1"/>
  <c r="BM168" i="1" s="1"/>
  <c r="BQ31" i="1"/>
  <c r="BQ168" i="1" s="1"/>
  <c r="BU168" i="1" s="1"/>
  <c r="BZ168" i="1" s="1"/>
  <c r="BH169" i="1"/>
  <c r="BL169" i="1"/>
  <c r="BP169" i="1"/>
  <c r="BI33" i="1"/>
  <c r="BI170" i="1" s="1"/>
  <c r="BS170" i="1" s="1"/>
  <c r="BX170" i="1" s="1"/>
  <c r="BM33" i="1"/>
  <c r="BM170" i="1" s="1"/>
  <c r="BQ33" i="1"/>
  <c r="BQ170" i="1" s="1"/>
  <c r="AV34" i="1"/>
  <c r="BG34" i="1"/>
  <c r="BG171" i="1" s="1"/>
  <c r="BK34" i="1"/>
  <c r="BK171" i="1" s="1"/>
  <c r="BS171" i="1" s="1"/>
  <c r="BX171" i="1" s="1"/>
  <c r="BO34" i="1"/>
  <c r="BO171" i="1" s="1"/>
  <c r="AY35" i="1"/>
  <c r="BJ172" i="1"/>
  <c r="CJ112" i="1"/>
  <c r="CJ160" i="1" s="1"/>
  <c r="AU36" i="1"/>
  <c r="AW36" i="1"/>
  <c r="BI173" i="1"/>
  <c r="BS173" i="1" s="1"/>
  <c r="BX173" i="1" s="1"/>
  <c r="BM173" i="1"/>
  <c r="BQ173" i="1"/>
  <c r="BL174" i="1"/>
  <c r="BW37" i="1"/>
  <c r="CL114" i="1"/>
  <c r="AV38" i="1"/>
  <c r="BG175" i="1"/>
  <c r="BK175" i="1"/>
  <c r="BO175" i="1"/>
  <c r="BU38" i="1"/>
  <c r="BZ38" i="1" s="1"/>
  <c r="AY39" i="1"/>
  <c r="BJ176" i="1"/>
  <c r="AS41" i="1"/>
  <c r="AY41" i="1"/>
  <c r="BW44" i="1"/>
  <c r="BV44" i="1"/>
  <c r="CA44" i="1" s="1"/>
  <c r="AX45" i="1"/>
  <c r="AW46" i="1"/>
  <c r="BW46" i="1"/>
  <c r="BX47" i="1"/>
  <c r="AV48" i="1"/>
  <c r="AU48" i="1"/>
  <c r="BY48" i="1"/>
  <c r="CA49" i="1"/>
  <c r="BY49" i="1"/>
  <c r="AV50" i="1"/>
  <c r="AY52" i="1"/>
  <c r="BY53" i="1"/>
  <c r="AY54" i="1"/>
  <c r="BX54" i="1"/>
  <c r="CJ55" i="1"/>
  <c r="BW56" i="1"/>
  <c r="BV56" i="1"/>
  <c r="CA56" i="1" s="1"/>
  <c r="AV57" i="1"/>
  <c r="AU57" i="1"/>
  <c r="BY57" i="1"/>
  <c r="AW58" i="1"/>
  <c r="BZ58" i="1"/>
  <c r="AN24" i="6"/>
  <c r="AZ59" i="1"/>
  <c r="AX59" i="1"/>
  <c r="BZ59" i="1"/>
  <c r="AS60" i="1"/>
  <c r="BT26" i="1" s="1"/>
  <c r="AT62" i="1"/>
  <c r="CL62" i="1"/>
  <c r="AR63" i="1"/>
  <c r="AT64" i="1"/>
  <c r="CL64" i="1"/>
  <c r="AR65" i="1"/>
  <c r="AT66" i="1"/>
  <c r="CL66" i="1"/>
  <c r="AR67" i="1"/>
  <c r="AT68" i="1"/>
  <c r="CL68" i="1"/>
  <c r="AR69" i="1"/>
  <c r="AT70" i="1"/>
  <c r="CL70" i="1"/>
  <c r="AR71" i="1"/>
  <c r="AT88" i="1"/>
  <c r="AY88" i="1" s="1"/>
  <c r="AH90" i="1"/>
  <c r="AR90" i="1" s="1"/>
  <c r="AW90" i="1" s="1"/>
  <c r="BI39" i="1"/>
  <c r="BI176" i="1" s="1"/>
  <c r="AL90" i="1"/>
  <c r="BM39" i="1"/>
  <c r="BM176" i="1" s="1"/>
  <c r="BT176" i="1" s="1"/>
  <c r="BY176" i="1" s="1"/>
  <c r="AP90" i="1"/>
  <c r="AT90" i="1" s="1"/>
  <c r="BQ39" i="1"/>
  <c r="BQ176" i="1" s="1"/>
  <c r="AR91" i="1"/>
  <c r="AW91" i="1" s="1"/>
  <c r="AR93" i="1"/>
  <c r="AW93" i="1" s="1"/>
  <c r="AR79" i="1"/>
  <c r="AW79" i="1" s="1"/>
  <c r="BZ79" i="1"/>
  <c r="BX80" i="1"/>
  <c r="BX81" i="1"/>
  <c r="BZ82" i="1"/>
  <c r="AR83" i="1"/>
  <c r="AW83" i="1" s="1"/>
  <c r="BZ83" i="1"/>
  <c r="BX84" i="1"/>
  <c r="BX85" i="1"/>
  <c r="BZ86" i="1"/>
  <c r="AR87" i="1"/>
  <c r="AW87" i="1" s="1"/>
  <c r="BY87" i="1"/>
  <c r="BW88" i="1"/>
  <c r="BX88" i="1"/>
  <c r="BW91" i="1"/>
  <c r="BV91" i="1"/>
  <c r="CA91" i="1" s="1"/>
  <c r="BZ92" i="1"/>
  <c r="P13" i="5"/>
  <c r="U9" i="6" s="1"/>
  <c r="AZ95" i="1"/>
  <c r="AX95" i="1"/>
  <c r="AY96" i="1"/>
  <c r="BX96" i="1"/>
  <c r="U37" i="6"/>
  <c r="AQ11" i="6"/>
  <c r="AP38" i="6" s="1"/>
  <c r="AW98" i="1"/>
  <c r="BZ98" i="1"/>
  <c r="CA99" i="1"/>
  <c r="BY99" i="1"/>
  <c r="AY100" i="1"/>
  <c r="BX100" i="1"/>
  <c r="U41" i="6"/>
  <c r="AQ15" i="6"/>
  <c r="AP42" i="6" s="1"/>
  <c r="AV101" i="1"/>
  <c r="AW102" i="1"/>
  <c r="BZ102" i="1"/>
  <c r="AW104" i="1"/>
  <c r="BX105" i="1"/>
  <c r="AV106" i="1"/>
  <c r="AU106" i="1"/>
  <c r="AY112" i="1"/>
  <c r="AX113" i="1"/>
  <c r="CA118" i="1"/>
  <c r="AX120" i="1"/>
  <c r="BW123" i="1"/>
  <c r="BV123" i="1"/>
  <c r="CA123" i="1" s="1"/>
  <c r="BY125" i="1"/>
  <c r="AY131" i="1"/>
  <c r="AY135" i="1"/>
  <c r="AY139" i="1"/>
  <c r="AY143" i="1"/>
  <c r="AY153" i="1"/>
  <c r="AU154" i="1"/>
  <c r="AV154" i="1"/>
  <c r="AW154" i="1"/>
  <c r="AU156" i="1"/>
  <c r="AV156" i="1"/>
  <c r="AW156" i="1"/>
  <c r="AV159" i="1"/>
  <c r="AU159" i="1"/>
  <c r="BZ160" i="1"/>
  <c r="AW163" i="1"/>
  <c r="AV173" i="1"/>
  <c r="AU173" i="1"/>
  <c r="AV180" i="1"/>
  <c r="CN58" i="1"/>
  <c r="CA184" i="1"/>
  <c r="AW188" i="1"/>
  <c r="AY190" i="1"/>
  <c r="BX193" i="1"/>
  <c r="CK67" i="1"/>
  <c r="CA194" i="1"/>
  <c r="AZ195" i="1"/>
  <c r="AX195" i="1"/>
  <c r="BZ195" i="1"/>
  <c r="AY196" i="1"/>
  <c r="CM44" i="1" s="1"/>
  <c r="AW198" i="1"/>
  <c r="AX204" i="1"/>
  <c r="AV212" i="1"/>
  <c r="AV221" i="1"/>
  <c r="AX225" i="1"/>
  <c r="AV237" i="1"/>
  <c r="AU237" i="1"/>
  <c r="AZ237" i="1" s="1"/>
  <c r="AV241" i="1"/>
  <c r="AU241" i="1"/>
  <c r="AZ241" i="1" s="1"/>
  <c r="AV242" i="1"/>
  <c r="AU242" i="1"/>
  <c r="AZ242" i="1" s="1"/>
  <c r="AX242" i="1"/>
  <c r="AX244" i="1"/>
  <c r="AV252" i="1"/>
  <c r="AU252" i="1"/>
  <c r="AZ252" i="1" s="1"/>
  <c r="AX256" i="1"/>
  <c r="AH15" i="5"/>
  <c r="X11" i="4"/>
  <c r="CQ11" i="5"/>
  <c r="W50" i="5"/>
  <c r="X50" i="5" s="1"/>
  <c r="CF17" i="5"/>
  <c r="AG25" i="6"/>
  <c r="DP14" i="5"/>
  <c r="F8" i="9"/>
  <c r="O37" i="8"/>
  <c r="D9" i="9"/>
  <c r="M38" i="8"/>
  <c r="BY186" i="1"/>
  <c r="AX168" i="1"/>
  <c r="BY152" i="1"/>
  <c r="BY118" i="1"/>
  <c r="BY135" i="1"/>
  <c r="AX185" i="1"/>
  <c r="AX100" i="1"/>
  <c r="AX49" i="1"/>
  <c r="AX12" i="1"/>
  <c r="BZ136" i="1"/>
  <c r="CM61" i="1"/>
  <c r="BZ153" i="1"/>
  <c r="AY50" i="1"/>
  <c r="AY252" i="1"/>
  <c r="BZ119" i="1"/>
  <c r="AU13" i="1"/>
  <c r="AV187" i="1"/>
  <c r="BW154" i="1"/>
  <c r="BW137" i="1"/>
  <c r="BW103" i="1"/>
  <c r="BW86" i="1"/>
  <c r="CJ62" i="1"/>
  <c r="AV14" i="1"/>
  <c r="AW254" i="1"/>
  <c r="AW220" i="1"/>
  <c r="AW171" i="1"/>
  <c r="BX138" i="1"/>
  <c r="BX121" i="1"/>
  <c r="BX104" i="1"/>
  <c r="AW120" i="1"/>
  <c r="BX87" i="1"/>
  <c r="AW258" i="1"/>
  <c r="AW224" i="1"/>
  <c r="AW175" i="1"/>
  <c r="BX142" i="1"/>
  <c r="BX125" i="1"/>
  <c r="BX159" i="1"/>
  <c r="AW124" i="1"/>
  <c r="BX91" i="1"/>
  <c r="BX56" i="1"/>
  <c r="BX108" i="1"/>
  <c r="AV195" i="1"/>
  <c r="CJ70" i="1"/>
  <c r="AV59" i="1"/>
  <c r="BW196" i="1"/>
  <c r="BI163" i="1"/>
  <c r="BU165" i="1"/>
  <c r="BZ165" i="1" s="1"/>
  <c r="BO166" i="1"/>
  <c r="BU167" i="1"/>
  <c r="BZ167" i="1" s="1"/>
  <c r="BF169" i="1"/>
  <c r="BU173" i="1"/>
  <c r="BZ173" i="1" s="1"/>
  <c r="CM116" i="1"/>
  <c r="CM164" i="1" s="1"/>
  <c r="AY42" i="1"/>
  <c r="BY44" i="1"/>
  <c r="AL86" i="1"/>
  <c r="AS86" i="1" s="1"/>
  <c r="BM35" i="1"/>
  <c r="BM172" i="1" s="1"/>
  <c r="BT172" i="1" s="1"/>
  <c r="BY172" i="1" s="1"/>
  <c r="AP88" i="1"/>
  <c r="BQ37" i="1"/>
  <c r="BQ174" i="1" s="1"/>
  <c r="AX81" i="1"/>
  <c r="AR85" i="1"/>
  <c r="AW85" i="1" s="1"/>
  <c r="U39" i="6"/>
  <c r="AQ13" i="6"/>
  <c r="AP40" i="6" s="1"/>
  <c r="BW145" i="1"/>
  <c r="AV155" i="1"/>
  <c r="AU155" i="1"/>
  <c r="AZ164" i="1"/>
  <c r="Q14" i="5"/>
  <c r="R10" i="6" s="1"/>
  <c r="R36" i="6" s="1"/>
  <c r="Q18" i="5"/>
  <c r="R14" i="6" s="1"/>
  <c r="AZ168" i="1"/>
  <c r="BX185" i="1"/>
  <c r="CK59" i="1"/>
  <c r="AX210" i="1"/>
  <c r="AV233" i="1"/>
  <c r="AU233" i="1"/>
  <c r="AZ233" i="1" s="1"/>
  <c r="DV11" i="5"/>
  <c r="DS11" i="5"/>
  <c r="AV182" i="1"/>
  <c r="AV114" i="1"/>
  <c r="BW98" i="1"/>
  <c r="AV46" i="1"/>
  <c r="BW183" i="1"/>
  <c r="AV131" i="1"/>
  <c r="AV183" i="1"/>
  <c r="BW116" i="1"/>
  <c r="AV166" i="1"/>
  <c r="CJ58" i="1"/>
  <c r="BW133" i="1"/>
  <c r="BW99" i="1"/>
  <c r="BW82" i="1"/>
  <c r="AV47" i="1"/>
  <c r="BY185" i="1"/>
  <c r="AX116" i="1"/>
  <c r="AX184" i="1"/>
  <c r="CL59" i="1"/>
  <c r="AX99" i="1"/>
  <c r="BY83" i="1"/>
  <c r="AX133" i="1"/>
  <c r="AV185" i="1"/>
  <c r="BW135" i="1"/>
  <c r="BW186" i="1"/>
  <c r="BW101" i="1"/>
  <c r="BW84" i="1"/>
  <c r="CJ60" i="1"/>
  <c r="BW49" i="1"/>
  <c r="AW252" i="1"/>
  <c r="AW218" i="1"/>
  <c r="BX153" i="1"/>
  <c r="BX119" i="1"/>
  <c r="BX136" i="1"/>
  <c r="BX50" i="1"/>
  <c r="CK61" i="1"/>
  <c r="AW246" i="1"/>
  <c r="AW204" i="1"/>
  <c r="BX130" i="1"/>
  <c r="AW208" i="1"/>
  <c r="BX147" i="1"/>
  <c r="BX113" i="1"/>
  <c r="BX44" i="1"/>
  <c r="AY247" i="1"/>
  <c r="AY205" i="1"/>
  <c r="AY201" i="1"/>
  <c r="BZ148" i="1"/>
  <c r="AY130" i="1"/>
  <c r="AY147" i="1"/>
  <c r="AY45" i="1"/>
  <c r="AY209" i="1"/>
  <c r="CM56" i="1"/>
  <c r="AW248" i="1"/>
  <c r="AW206" i="1"/>
  <c r="AW165" i="1"/>
  <c r="BX115" i="1"/>
  <c r="BX149" i="1"/>
  <c r="BX132" i="1"/>
  <c r="AW210" i="1"/>
  <c r="AW202" i="1"/>
  <c r="CK57" i="1"/>
  <c r="AW132" i="1"/>
  <c r="AW215" i="1"/>
  <c r="BX150" i="1"/>
  <c r="AW115" i="1"/>
  <c r="AY167" i="1"/>
  <c r="BZ151" i="1"/>
  <c r="BZ117" i="1"/>
  <c r="BZ134" i="1"/>
  <c r="AY250" i="1"/>
  <c r="AY150" i="1"/>
  <c r="BZ48" i="1"/>
  <c r="AY216" i="1"/>
  <c r="AW117" i="1"/>
  <c r="AW251" i="1"/>
  <c r="CK60" i="1"/>
  <c r="AW217" i="1"/>
  <c r="AW134" i="1"/>
  <c r="BY187" i="1"/>
  <c r="AX169" i="1"/>
  <c r="AX135" i="1"/>
  <c r="AX118" i="1"/>
  <c r="AX101" i="1"/>
  <c r="BY85" i="1"/>
  <c r="CL61" i="1"/>
  <c r="AX186" i="1"/>
  <c r="AY253" i="1"/>
  <c r="AY219" i="1"/>
  <c r="AY119" i="1"/>
  <c r="AY136" i="1"/>
  <c r="BZ51" i="1"/>
  <c r="CM62" i="1"/>
  <c r="AV188" i="1"/>
  <c r="AV137" i="1"/>
  <c r="BW189" i="1"/>
  <c r="AV103" i="1"/>
  <c r="AV52" i="1"/>
  <c r="AW172" i="1"/>
  <c r="BX122" i="1"/>
  <c r="AW238" i="1"/>
  <c r="CK64" i="1"/>
  <c r="BX53" i="1"/>
  <c r="AW255" i="1"/>
  <c r="AW138" i="1"/>
  <c r="AW121" i="1"/>
  <c r="AW256" i="1"/>
  <c r="AW222" i="1"/>
  <c r="AW173" i="1"/>
  <c r="BX157" i="1"/>
  <c r="BX123" i="1"/>
  <c r="BX140" i="1"/>
  <c r="BX89" i="1"/>
  <c r="CK65" i="1"/>
  <c r="AW174" i="1"/>
  <c r="AW140" i="1"/>
  <c r="BX124" i="1"/>
  <c r="AW223" i="1"/>
  <c r="AW157" i="1"/>
  <c r="AW123" i="1"/>
  <c r="CK66" i="1"/>
  <c r="AW55" i="1"/>
  <c r="AW106" i="1"/>
  <c r="AV192" i="1"/>
  <c r="AV141" i="1"/>
  <c r="BW193" i="1"/>
  <c r="AV107" i="1"/>
  <c r="AY259" i="1"/>
  <c r="AY225" i="1"/>
  <c r="AY142" i="1"/>
  <c r="AY125" i="1"/>
  <c r="AY108" i="1"/>
  <c r="AY176" i="1"/>
  <c r="BZ126" i="1"/>
  <c r="BZ57" i="1"/>
  <c r="CM68" i="1"/>
  <c r="AY126" i="1"/>
  <c r="BZ161" i="1"/>
  <c r="BZ110" i="1"/>
  <c r="CM69" i="1"/>
  <c r="BZ93" i="1"/>
  <c r="AY260" i="1"/>
  <c r="AY177" i="1"/>
  <c r="BZ127" i="1"/>
  <c r="AY261" i="1"/>
  <c r="AY227" i="1"/>
  <c r="BZ162" i="1"/>
  <c r="AY127" i="1"/>
  <c r="BZ94" i="1"/>
  <c r="BZ145" i="1"/>
  <c r="BZ111" i="1"/>
  <c r="CM70" i="1"/>
  <c r="BH163" i="1"/>
  <c r="BH180" i="1" s="1"/>
  <c r="BL163" i="1"/>
  <c r="BP163" i="1"/>
  <c r="BP180" i="1" s="1"/>
  <c r="BF164" i="1"/>
  <c r="BR164" i="1" s="1"/>
  <c r="BJ164" i="1"/>
  <c r="BS164" i="1" s="1"/>
  <c r="BX164" i="1" s="1"/>
  <c r="BN164" i="1"/>
  <c r="BF165" i="1"/>
  <c r="BJ165" i="1"/>
  <c r="BN165" i="1"/>
  <c r="BT165" i="1" s="1"/>
  <c r="BY165" i="1" s="1"/>
  <c r="BF166" i="1"/>
  <c r="BR166" i="1" s="1"/>
  <c r="BJ166" i="1"/>
  <c r="BN166" i="1"/>
  <c r="BF167" i="1"/>
  <c r="BR167" i="1" s="1"/>
  <c r="BJ167" i="1"/>
  <c r="BN167" i="1"/>
  <c r="BF168" i="1"/>
  <c r="BJ168" i="1"/>
  <c r="BN168" i="1"/>
  <c r="BI169" i="1"/>
  <c r="BM169" i="1"/>
  <c r="BQ169" i="1"/>
  <c r="BF170" i="1"/>
  <c r="BR170" i="1" s="1"/>
  <c r="BJ170" i="1"/>
  <c r="BN170" i="1"/>
  <c r="AX34" i="1"/>
  <c r="CL38" i="1" s="1"/>
  <c r="BL171" i="1"/>
  <c r="BT171" i="1" s="1"/>
  <c r="BY171" i="1" s="1"/>
  <c r="BP171" i="1"/>
  <c r="BP172" i="1"/>
  <c r="AW37" i="1"/>
  <c r="BH174" i="1"/>
  <c r="BN174" i="1"/>
  <c r="AX38" i="1"/>
  <c r="BL175" i="1"/>
  <c r="BT175" i="1" s="1"/>
  <c r="BY175" i="1" s="1"/>
  <c r="BP175" i="1"/>
  <c r="BF176" i="1"/>
  <c r="BP176" i="1"/>
  <c r="BH177" i="1"/>
  <c r="BL177" i="1"/>
  <c r="BT177" i="1" s="1"/>
  <c r="BY177" i="1" s="1"/>
  <c r="AR41" i="1"/>
  <c r="BH179" i="1"/>
  <c r="BL179" i="1"/>
  <c r="BT179" i="1" s="1"/>
  <c r="BY179" i="1" s="1"/>
  <c r="BP179" i="1"/>
  <c r="AX44" i="1"/>
  <c r="BZ44" i="1"/>
  <c r="BY45" i="1"/>
  <c r="BX46" i="1"/>
  <c r="AY47" i="1"/>
  <c r="AY48" i="1"/>
  <c r="AY49" i="1"/>
  <c r="BX49" i="1"/>
  <c r="BW50" i="1"/>
  <c r="BV50" i="1"/>
  <c r="CA50" i="1" s="1"/>
  <c r="AV51" i="1"/>
  <c r="AU51" i="1"/>
  <c r="BY51" i="1"/>
  <c r="AU52" i="1"/>
  <c r="AX52" i="1"/>
  <c r="BZ52" i="1"/>
  <c r="AV53" i="1"/>
  <c r="AW53" i="1"/>
  <c r="AU54" i="1"/>
  <c r="AV54" i="1"/>
  <c r="AV55" i="1"/>
  <c r="AU55" i="1"/>
  <c r="BY55" i="1"/>
  <c r="AX56" i="1"/>
  <c r="BZ56" i="1"/>
  <c r="AY57" i="1"/>
  <c r="BV58" i="1"/>
  <c r="CA58" i="1" s="1"/>
  <c r="BY58" i="1"/>
  <c r="AW59" i="1"/>
  <c r="BV59" i="1"/>
  <c r="CA59" i="1" s="1"/>
  <c r="BW59" i="1"/>
  <c r="AT60" i="1"/>
  <c r="BU26" i="1" s="1"/>
  <c r="BV61" i="1"/>
  <c r="CJ61" i="1"/>
  <c r="AQ62" i="1"/>
  <c r="AR62" i="1"/>
  <c r="AS63" i="1"/>
  <c r="AS80" i="1"/>
  <c r="AX80" i="1" s="1"/>
  <c r="BV63" i="1"/>
  <c r="CJ63" i="1"/>
  <c r="AQ64" i="1"/>
  <c r="AR64" i="1"/>
  <c r="AS65" i="1"/>
  <c r="AS82" i="1"/>
  <c r="AX82" i="1" s="1"/>
  <c r="BV65" i="1"/>
  <c r="CJ65" i="1"/>
  <c r="AQ66" i="1"/>
  <c r="AR66" i="1"/>
  <c r="AS67" i="1"/>
  <c r="AS84" i="1"/>
  <c r="AX84" i="1" s="1"/>
  <c r="BV67" i="1"/>
  <c r="CJ67" i="1"/>
  <c r="AQ68" i="1"/>
  <c r="AR68" i="1"/>
  <c r="AS69" i="1"/>
  <c r="BV69" i="1"/>
  <c r="CJ69" i="1"/>
  <c r="AQ70" i="1"/>
  <c r="AR70" i="1"/>
  <c r="AS71" i="1"/>
  <c r="AS88" i="1"/>
  <c r="AX88" i="1" s="1"/>
  <c r="BV71" i="1"/>
  <c r="AR89" i="1"/>
  <c r="AW89" i="1" s="1"/>
  <c r="AV73" i="1"/>
  <c r="AT73" i="1"/>
  <c r="AQ91" i="1"/>
  <c r="AQ92" i="1"/>
  <c r="AS75" i="1"/>
  <c r="AQ76" i="1"/>
  <c r="AS76" i="1"/>
  <c r="BV77" i="1"/>
  <c r="BV79" i="1"/>
  <c r="CA79" i="1" s="1"/>
  <c r="BW79" i="1"/>
  <c r="AT82" i="1"/>
  <c r="AY82" i="1" s="1"/>
  <c r="BV82" i="1"/>
  <c r="CA82" i="1" s="1"/>
  <c r="BY82" i="1"/>
  <c r="BV83" i="1"/>
  <c r="CA83" i="1" s="1"/>
  <c r="BW83" i="1"/>
  <c r="AT86" i="1"/>
  <c r="AY86" i="1" s="1"/>
  <c r="BV86" i="1"/>
  <c r="CA86" i="1" s="1"/>
  <c r="BY86" i="1"/>
  <c r="BW89" i="1"/>
  <c r="BV89" i="1"/>
  <c r="CA89" i="1" s="1"/>
  <c r="BY90" i="1"/>
  <c r="BZ91" i="1"/>
  <c r="AT92" i="1"/>
  <c r="AY92" i="1" s="1"/>
  <c r="BV92" i="1"/>
  <c r="CA92" i="1" s="1"/>
  <c r="BY92" i="1"/>
  <c r="BW93" i="1"/>
  <c r="BX93" i="1"/>
  <c r="BW94" i="1"/>
  <c r="BX94" i="1"/>
  <c r="AW95" i="1"/>
  <c r="AU96" i="1"/>
  <c r="AV96" i="1"/>
  <c r="AW97" i="1"/>
  <c r="AZ97" i="1"/>
  <c r="BZ97" i="1"/>
  <c r="BV98" i="1"/>
  <c r="CA98" i="1" s="1"/>
  <c r="BY98" i="1"/>
  <c r="AY99" i="1"/>
  <c r="BX99" i="1"/>
  <c r="AU100" i="1"/>
  <c r="AV100" i="1"/>
  <c r="AW101" i="1"/>
  <c r="AZ101" i="1"/>
  <c r="BZ101" i="1"/>
  <c r="BV102" i="1"/>
  <c r="CA102" i="1" s="1"/>
  <c r="BY102" i="1"/>
  <c r="BZ104" i="1"/>
  <c r="BX106" i="1"/>
  <c r="BW108" i="1"/>
  <c r="BV108" i="1"/>
  <c r="CA108" i="1" s="1"/>
  <c r="AY110" i="1"/>
  <c r="CK112" i="1"/>
  <c r="CK160" i="1" s="1"/>
  <c r="BX114" i="1"/>
  <c r="BZ115" i="1"/>
  <c r="AX117" i="1"/>
  <c r="AW118" i="1"/>
  <c r="BW119" i="1"/>
  <c r="BV119" i="1"/>
  <c r="CA119" i="1" s="1"/>
  <c r="BY121" i="1"/>
  <c r="BZ124" i="1"/>
  <c r="BZ128" i="1"/>
  <c r="AZ144" i="1"/>
  <c r="AV144" i="1"/>
  <c r="AX146" i="1"/>
  <c r="AX153" i="1"/>
  <c r="AW155" i="1"/>
  <c r="AX157" i="1"/>
  <c r="AW158" i="1"/>
  <c r="AY158" i="1"/>
  <c r="AY159" i="1"/>
  <c r="AX160" i="1"/>
  <c r="AW161" i="1"/>
  <c r="BY161" i="1"/>
  <c r="AW166" i="1"/>
  <c r="AW169" i="1"/>
  <c r="AY178" i="1"/>
  <c r="AW184" i="1"/>
  <c r="AY186" i="1"/>
  <c r="BX189" i="1"/>
  <c r="CK63" i="1"/>
  <c r="CA190" i="1"/>
  <c r="AZ191" i="1"/>
  <c r="AX191" i="1"/>
  <c r="BZ191" i="1"/>
  <c r="BZ196" i="1"/>
  <c r="AY197" i="1"/>
  <c r="AY212" i="1"/>
  <c r="AQ214" i="1"/>
  <c r="AX217" i="1"/>
  <c r="AV224" i="1"/>
  <c r="AU224" i="1"/>
  <c r="AZ224" i="1" s="1"/>
  <c r="AW232" i="1"/>
  <c r="AW233" i="1"/>
  <c r="AY233" i="1"/>
  <c r="AW234" i="1"/>
  <c r="AX235" i="1"/>
  <c r="AV243" i="1"/>
  <c r="AY243" i="1"/>
  <c r="AW244" i="1"/>
  <c r="AY244" i="1"/>
  <c r="AX248" i="1"/>
  <c r="AY254" i="1"/>
  <c r="P6" i="8"/>
  <c r="Y6" i="6"/>
  <c r="Y32" i="6" s="1"/>
  <c r="AW10" i="5"/>
  <c r="W43" i="5" s="1"/>
  <c r="X43" i="5" s="1"/>
  <c r="H12" i="8"/>
  <c r="W12" i="6"/>
  <c r="AM16" i="5"/>
  <c r="L49" i="5"/>
  <c r="AN16" i="5"/>
  <c r="CP22" i="5"/>
  <c r="F22" i="5"/>
  <c r="C22" i="5" s="1"/>
  <c r="DQ10" i="5"/>
  <c r="X13" i="2"/>
  <c r="BK170" i="1"/>
  <c r="BO170" i="1"/>
  <c r="BF173" i="1"/>
  <c r="BR173" i="1" s="1"/>
  <c r="BJ173" i="1"/>
  <c r="BN173" i="1"/>
  <c r="BG174" i="1"/>
  <c r="BK174" i="1"/>
  <c r="BO174" i="1"/>
  <c r="BU174" i="1" s="1"/>
  <c r="BZ174" i="1" s="1"/>
  <c r="BI177" i="1"/>
  <c r="BM177" i="1"/>
  <c r="BQ177" i="1"/>
  <c r="BI178" i="1"/>
  <c r="BM178" i="1"/>
  <c r="BQ178" i="1"/>
  <c r="BI179" i="1"/>
  <c r="BM179" i="1"/>
  <c r="BQ179" i="1"/>
  <c r="AR60" i="1"/>
  <c r="BS26" i="1" s="1"/>
  <c r="AQ61" i="1"/>
  <c r="AS62" i="1"/>
  <c r="AQ63" i="1"/>
  <c r="AS64" i="1"/>
  <c r="AQ65" i="1"/>
  <c r="AS66" i="1"/>
  <c r="AQ67" i="1"/>
  <c r="AS68" i="1"/>
  <c r="AQ69" i="1"/>
  <c r="AS70" i="1"/>
  <c r="AQ72" i="1"/>
  <c r="AT74" i="1"/>
  <c r="AT75" i="1"/>
  <c r="AT76" i="1"/>
  <c r="AH77" i="1"/>
  <c r="AR77" i="1" s="1"/>
  <c r="AU77" i="1" s="1"/>
  <c r="AE79" i="1"/>
  <c r="AQ79" i="1" s="1"/>
  <c r="AG80" i="1"/>
  <c r="AQ80" i="1" s="1"/>
  <c r="AE81" i="1"/>
  <c r="AQ81" i="1" s="1"/>
  <c r="CJ106" i="1" s="1"/>
  <c r="CJ154" i="1" s="1"/>
  <c r="AG82" i="1"/>
  <c r="AQ82" i="1" s="1"/>
  <c r="AE83" i="1"/>
  <c r="AQ83" i="1" s="1"/>
  <c r="CJ108" i="1" s="1"/>
  <c r="CJ156" i="1" s="1"/>
  <c r="AG84" i="1"/>
  <c r="AQ84" i="1" s="1"/>
  <c r="AE85" i="1"/>
  <c r="AQ85" i="1" s="1"/>
  <c r="AG86" i="1"/>
  <c r="AQ86" i="1" s="1"/>
  <c r="AE87" i="1"/>
  <c r="AQ87" i="1" s="1"/>
  <c r="AF88" i="1"/>
  <c r="AQ88" i="1" s="1"/>
  <c r="AF90" i="1"/>
  <c r="AF93" i="1"/>
  <c r="AQ93" i="1" s="1"/>
  <c r="U34" i="6"/>
  <c r="AQ8" i="6"/>
  <c r="AP35" i="6" s="1"/>
  <c r="BZ103" i="1"/>
  <c r="AX104" i="1"/>
  <c r="AW105" i="1"/>
  <c r="BY106" i="1"/>
  <c r="AU107" i="1"/>
  <c r="BX107" i="1"/>
  <c r="AV108" i="1"/>
  <c r="AU108" i="1"/>
  <c r="AZ108" i="1" s="1"/>
  <c r="AY109" i="1"/>
  <c r="BV109" i="1"/>
  <c r="CA109" i="1" s="1"/>
  <c r="BW110" i="1"/>
  <c r="BV110" i="1"/>
  <c r="CA110" i="1" s="1"/>
  <c r="BY111" i="1"/>
  <c r="AU112" i="1"/>
  <c r="BW113" i="1"/>
  <c r="BV113" i="1"/>
  <c r="CA113" i="1" s="1"/>
  <c r="AY114" i="1"/>
  <c r="BY115" i="1"/>
  <c r="AY116" i="1"/>
  <c r="BX116" i="1"/>
  <c r="BX118" i="1"/>
  <c r="AX119" i="1"/>
  <c r="BY120" i="1"/>
  <c r="AV121" i="1"/>
  <c r="BW122" i="1"/>
  <c r="BV122" i="1"/>
  <c r="CA122" i="1" s="1"/>
  <c r="AX123" i="1"/>
  <c r="BY124" i="1"/>
  <c r="AV125" i="1"/>
  <c r="BW126" i="1"/>
  <c r="BV126" i="1"/>
  <c r="CA126" i="1" s="1"/>
  <c r="AX127" i="1"/>
  <c r="BY128" i="1"/>
  <c r="AY129" i="1"/>
  <c r="AV130" i="1"/>
  <c r="AU131" i="1"/>
  <c r="AZ131" i="1" s="1"/>
  <c r="AV132" i="1"/>
  <c r="AU132" i="1"/>
  <c r="AZ132" i="1" s="1"/>
  <c r="BY132" i="1"/>
  <c r="AU133" i="1"/>
  <c r="AZ133" i="1" s="1"/>
  <c r="BZ133" i="1"/>
  <c r="CK157" i="1"/>
  <c r="AV134" i="1"/>
  <c r="AU135" i="1"/>
  <c r="AZ135" i="1" s="1"/>
  <c r="AV136" i="1"/>
  <c r="AU136" i="1"/>
  <c r="AZ136" i="1" s="1"/>
  <c r="BY136" i="1"/>
  <c r="AU137" i="1"/>
  <c r="AZ137" i="1" s="1"/>
  <c r="BZ137" i="1"/>
  <c r="AV138" i="1"/>
  <c r="AU139" i="1"/>
  <c r="AZ139" i="1" s="1"/>
  <c r="AV140" i="1"/>
  <c r="AU140" i="1"/>
  <c r="AZ140" i="1" s="1"/>
  <c r="BY140" i="1"/>
  <c r="AU141" i="1"/>
  <c r="AZ141" i="1" s="1"/>
  <c r="BZ141" i="1"/>
  <c r="AV142" i="1"/>
  <c r="AU143" i="1"/>
  <c r="AZ143" i="1" s="1"/>
  <c r="AW144" i="1"/>
  <c r="BZ144" i="1"/>
  <c r="BY147" i="1"/>
  <c r="BY148" i="1"/>
  <c r="BY149" i="1"/>
  <c r="BY150" i="1"/>
  <c r="BY151" i="1"/>
  <c r="AW152" i="1"/>
  <c r="BX152" i="1"/>
  <c r="BW153" i="1"/>
  <c r="BV153" i="1"/>
  <c r="CA153" i="1" s="1"/>
  <c r="AY154" i="1"/>
  <c r="AY156" i="1"/>
  <c r="AV158" i="1"/>
  <c r="AS159" i="1"/>
  <c r="AX159" i="1" s="1"/>
  <c r="BV160" i="1"/>
  <c r="CA160" i="1" s="1"/>
  <c r="AT161" i="1"/>
  <c r="AY161" i="1" s="1"/>
  <c r="BY162" i="1"/>
  <c r="AW164" i="1"/>
  <c r="AV165" i="1"/>
  <c r="AU165" i="1"/>
  <c r="AW168" i="1"/>
  <c r="AX170" i="1"/>
  <c r="AV172" i="1"/>
  <c r="AU172" i="1"/>
  <c r="AX174" i="1"/>
  <c r="AV176" i="1"/>
  <c r="AU176" i="1"/>
  <c r="AZ176" i="1" s="1"/>
  <c r="AX178" i="1"/>
  <c r="AY181" i="1"/>
  <c r="AU182" i="1"/>
  <c r="AZ182" i="1" s="1"/>
  <c r="BZ182" i="1"/>
  <c r="AW183" i="1"/>
  <c r="BV183" i="1"/>
  <c r="BX184" i="1"/>
  <c r="AY185" i="1"/>
  <c r="AU186" i="1"/>
  <c r="AZ186" i="1" s="1"/>
  <c r="BZ186" i="1"/>
  <c r="AW187" i="1"/>
  <c r="BV187" i="1"/>
  <c r="BX188" i="1"/>
  <c r="AY189" i="1"/>
  <c r="AU190" i="1"/>
  <c r="AZ190" i="1" s="1"/>
  <c r="BZ190" i="1"/>
  <c r="AW191" i="1"/>
  <c r="BV191" i="1"/>
  <c r="BX192" i="1"/>
  <c r="AY193" i="1"/>
  <c r="AU194" i="1"/>
  <c r="AZ194" i="1" s="1"/>
  <c r="BZ194" i="1"/>
  <c r="AW195" i="1"/>
  <c r="BV195" i="1"/>
  <c r="AS196" i="1"/>
  <c r="AX196" i="1" s="1"/>
  <c r="BV196" i="1"/>
  <c r="AS197" i="1"/>
  <c r="AX197" i="1" s="1"/>
  <c r="AQ198" i="1"/>
  <c r="AW200" i="1"/>
  <c r="AX201" i="1"/>
  <c r="AV202" i="1"/>
  <c r="AV206" i="1"/>
  <c r="AU206" i="1"/>
  <c r="AZ206" i="1" s="1"/>
  <c r="AX208" i="1"/>
  <c r="AS229" i="1"/>
  <c r="AX229" i="1" s="1"/>
  <c r="AT230" i="1"/>
  <c r="AY230" i="1" s="1"/>
  <c r="AX215" i="1"/>
  <c r="AX218" i="1"/>
  <c r="AV219" i="1"/>
  <c r="AV222" i="1"/>
  <c r="AU222" i="1"/>
  <c r="AZ222" i="1" s="1"/>
  <c r="AX223" i="1"/>
  <c r="AX226" i="1"/>
  <c r="AV227" i="1"/>
  <c r="AR235" i="1"/>
  <c r="AW235" i="1" s="1"/>
  <c r="AQ236" i="1"/>
  <c r="AS237" i="1"/>
  <c r="AX237" i="1" s="1"/>
  <c r="AT238" i="1"/>
  <c r="AY238" i="1" s="1"/>
  <c r="AR243" i="1"/>
  <c r="AW243" i="1" s="1"/>
  <c r="AQ244" i="1"/>
  <c r="AX246" i="1"/>
  <c r="AV247" i="1"/>
  <c r="AV250" i="1"/>
  <c r="AU250" i="1"/>
  <c r="AZ250" i="1" s="1"/>
  <c r="AX251" i="1"/>
  <c r="AX254" i="1"/>
  <c r="AV255" i="1"/>
  <c r="AV258" i="1"/>
  <c r="AU258" i="1"/>
  <c r="AZ258" i="1" s="1"/>
  <c r="AX259" i="1"/>
  <c r="AH14" i="5"/>
  <c r="X10" i="4"/>
  <c r="S19" i="4"/>
  <c r="U19" i="4" s="1"/>
  <c r="S27" i="4"/>
  <c r="U27" i="4" s="1"/>
  <c r="D28" i="8"/>
  <c r="W28" i="6"/>
  <c r="AN32" i="5"/>
  <c r="S30" i="4"/>
  <c r="U30" i="4" s="1"/>
  <c r="J46" i="5"/>
  <c r="I46" i="5"/>
  <c r="CQ13" i="5"/>
  <c r="B13" i="5"/>
  <c r="M39" i="8"/>
  <c r="D10" i="9"/>
  <c r="K13" i="9"/>
  <c r="P13" i="9" s="1"/>
  <c r="K43" i="9" s="1"/>
  <c r="CK16" i="5"/>
  <c r="AO25" i="5"/>
  <c r="AH29" i="8"/>
  <c r="AB21" i="6"/>
  <c r="AB47" i="6" s="1"/>
  <c r="DQ12" i="5"/>
  <c r="X15" i="2"/>
  <c r="W60" i="5" s="1"/>
  <c r="X60" i="5" s="1"/>
  <c r="G73" i="9"/>
  <c r="G76" i="8"/>
  <c r="BF177" i="1"/>
  <c r="BR177" i="1" s="1"/>
  <c r="BJ177" i="1"/>
  <c r="BN177" i="1"/>
  <c r="BF178" i="1"/>
  <c r="BJ178" i="1"/>
  <c r="BN178" i="1"/>
  <c r="AU44" i="1"/>
  <c r="AU45" i="1"/>
  <c r="BV48" i="1"/>
  <c r="CA48" i="1" s="1"/>
  <c r="AU50" i="1"/>
  <c r="BV51" i="1"/>
  <c r="CA51" i="1" s="1"/>
  <c r="AU53" i="1"/>
  <c r="BV55" i="1"/>
  <c r="CA55" i="1" s="1"/>
  <c r="AU56" i="1"/>
  <c r="BV57" i="1"/>
  <c r="CA57" i="1" s="1"/>
  <c r="AR61" i="1"/>
  <c r="AR72" i="1"/>
  <c r="AQ74" i="1"/>
  <c r="AQ75" i="1"/>
  <c r="AG88" i="1"/>
  <c r="BV88" i="1"/>
  <c r="CA88" i="1" s="1"/>
  <c r="AG90" i="1"/>
  <c r="BV90" i="1"/>
  <c r="CA90" i="1" s="1"/>
  <c r="BV93" i="1"/>
  <c r="CA93" i="1" s="1"/>
  <c r="BV94" i="1"/>
  <c r="CA94" i="1" s="1"/>
  <c r="AY103" i="1"/>
  <c r="BW104" i="1"/>
  <c r="BV104" i="1"/>
  <c r="CA104" i="1" s="1"/>
  <c r="BZ105" i="1"/>
  <c r="AX106" i="1"/>
  <c r="AW107" i="1"/>
  <c r="BY108" i="1"/>
  <c r="BX109" i="1"/>
  <c r="AV110" i="1"/>
  <c r="AU110" i="1"/>
  <c r="AZ110" i="1" s="1"/>
  <c r="AW112" i="1"/>
  <c r="AV113" i="1"/>
  <c r="AU113" i="1"/>
  <c r="M15" i="5"/>
  <c r="AZ114" i="1"/>
  <c r="BZ114" i="1"/>
  <c r="AV115" i="1"/>
  <c r="AV117" i="1"/>
  <c r="AU117" i="1"/>
  <c r="BY117" i="1"/>
  <c r="AY118" i="1"/>
  <c r="BY119" i="1"/>
  <c r="AV120" i="1"/>
  <c r="BW121" i="1"/>
  <c r="BV121" i="1"/>
  <c r="CA121" i="1" s="1"/>
  <c r="AX122" i="1"/>
  <c r="BY123" i="1"/>
  <c r="AV124" i="1"/>
  <c r="BW125" i="1"/>
  <c r="BV125" i="1"/>
  <c r="CA125" i="1" s="1"/>
  <c r="AX126" i="1"/>
  <c r="BY127" i="1"/>
  <c r="BW130" i="1"/>
  <c r="BV130" i="1"/>
  <c r="CA130" i="1" s="1"/>
  <c r="AW131" i="1"/>
  <c r="BZ131" i="1"/>
  <c r="CL156" i="1"/>
  <c r="AW133" i="1"/>
  <c r="BW134" i="1"/>
  <c r="BV134" i="1"/>
  <c r="CA134" i="1" s="1"/>
  <c r="CL158" i="1"/>
  <c r="AW135" i="1"/>
  <c r="BZ135" i="1"/>
  <c r="CL160" i="1"/>
  <c r="AW137" i="1"/>
  <c r="BW138" i="1"/>
  <c r="BV138" i="1"/>
  <c r="CA138" i="1" s="1"/>
  <c r="CL162" i="1"/>
  <c r="AW139" i="1"/>
  <c r="BZ139" i="1"/>
  <c r="AW141" i="1"/>
  <c r="BW142" i="1"/>
  <c r="BV142" i="1"/>
  <c r="CA142" i="1" s="1"/>
  <c r="CL166" i="1"/>
  <c r="AW143" i="1"/>
  <c r="BZ143" i="1"/>
  <c r="CA144" i="1"/>
  <c r="BY145" i="1"/>
  <c r="AQ146" i="1"/>
  <c r="AS147" i="1"/>
  <c r="AX147" i="1" s="1"/>
  <c r="AS148" i="1"/>
  <c r="AX148" i="1" s="1"/>
  <c r="AS149" i="1"/>
  <c r="AX149" i="1" s="1"/>
  <c r="AS150" i="1"/>
  <c r="AX150" i="1" s="1"/>
  <c r="AS151" i="1"/>
  <c r="AX151" i="1" s="1"/>
  <c r="AV152" i="1"/>
  <c r="AU152" i="1"/>
  <c r="AY152" i="1"/>
  <c r="AX154" i="1"/>
  <c r="BZ154" i="1"/>
  <c r="BY155" i="1"/>
  <c r="AX156" i="1"/>
  <c r="BZ156" i="1"/>
  <c r="AQ157" i="1"/>
  <c r="CJ114" i="1" s="1"/>
  <c r="CJ162" i="1" s="1"/>
  <c r="BY157" i="1"/>
  <c r="BZ158" i="1"/>
  <c r="AW159" i="1"/>
  <c r="BW159" i="1"/>
  <c r="AU160" i="1"/>
  <c r="AW160" i="1"/>
  <c r="BX160" i="1"/>
  <c r="BW161" i="1"/>
  <c r="BV161" i="1"/>
  <c r="CA161" i="1" s="1"/>
  <c r="AY163" i="1"/>
  <c r="AY166" i="1"/>
  <c r="AX167" i="1"/>
  <c r="AY169" i="1"/>
  <c r="AV171" i="1"/>
  <c r="AU171" i="1"/>
  <c r="AX173" i="1"/>
  <c r="AV175" i="1"/>
  <c r="AU175" i="1"/>
  <c r="AX177" i="1"/>
  <c r="AX180" i="1"/>
  <c r="AZ181" i="1"/>
  <c r="BZ181" i="1"/>
  <c r="AW182" i="1"/>
  <c r="BX183" i="1"/>
  <c r="AY184" i="1"/>
  <c r="AZ185" i="1"/>
  <c r="BZ185" i="1"/>
  <c r="AW186" i="1"/>
  <c r="BX187" i="1"/>
  <c r="AY188" i="1"/>
  <c r="AZ189" i="1"/>
  <c r="BZ189" i="1"/>
  <c r="AW190" i="1"/>
  <c r="BX191" i="1"/>
  <c r="AY192" i="1"/>
  <c r="AZ193" i="1"/>
  <c r="BZ193" i="1"/>
  <c r="AW194" i="1"/>
  <c r="BX195" i="1"/>
  <c r="AW196" i="1"/>
  <c r="BX196" i="1"/>
  <c r="AW197" i="1"/>
  <c r="AY198" i="1"/>
  <c r="AV204" i="1"/>
  <c r="AU204" i="1"/>
  <c r="AZ204" i="1" s="1"/>
  <c r="AX205" i="1"/>
  <c r="AX209" i="1"/>
  <c r="AV210" i="1"/>
  <c r="AR229" i="1"/>
  <c r="AW229" i="1" s="1"/>
  <c r="AQ230" i="1"/>
  <c r="AS231" i="1"/>
  <c r="AX231" i="1" s="1"/>
  <c r="AX216" i="1"/>
  <c r="AV217" i="1"/>
  <c r="AV220" i="1"/>
  <c r="AU220" i="1"/>
  <c r="AZ220" i="1" s="1"/>
  <c r="AX221" i="1"/>
  <c r="AX224" i="1"/>
  <c r="AV225" i="1"/>
  <c r="AY232" i="1"/>
  <c r="AW237" i="1"/>
  <c r="AQ238" i="1"/>
  <c r="AS239" i="1"/>
  <c r="AX239" i="1" s="1"/>
  <c r="AY240" i="1"/>
  <c r="AV248" i="1"/>
  <c r="AU248" i="1"/>
  <c r="AZ248" i="1" s="1"/>
  <c r="AX249" i="1"/>
  <c r="AX252" i="1"/>
  <c r="AV253" i="1"/>
  <c r="AV256" i="1"/>
  <c r="AU256" i="1"/>
  <c r="AZ256" i="1" s="1"/>
  <c r="AX257" i="1"/>
  <c r="AX260" i="1"/>
  <c r="AV261" i="1"/>
  <c r="AH9" i="5"/>
  <c r="X5" i="4"/>
  <c r="H6" i="8"/>
  <c r="W6" i="6"/>
  <c r="AM10" i="5"/>
  <c r="W16" i="6"/>
  <c r="AN20" i="5"/>
  <c r="AM20" i="5"/>
  <c r="T45" i="5"/>
  <c r="AW12" i="5"/>
  <c r="CN12" i="5" s="1"/>
  <c r="CO12" i="5" s="1"/>
  <c r="J49" i="5"/>
  <c r="AD49" i="5" s="1"/>
  <c r="I49" i="5"/>
  <c r="CQ16" i="5"/>
  <c r="B16" i="5"/>
  <c r="CN16" i="5"/>
  <c r="CO16" i="5" s="1"/>
  <c r="CF16" i="5"/>
  <c r="W49" i="5"/>
  <c r="X49" i="5" s="1"/>
  <c r="E74" i="9"/>
  <c r="C77" i="8"/>
  <c r="DS17" i="5"/>
  <c r="DR17" i="5"/>
  <c r="G75" i="9"/>
  <c r="G78" i="8"/>
  <c r="Y16" i="6"/>
  <c r="AW20" i="5"/>
  <c r="AG26" i="8"/>
  <c r="CP26" i="5"/>
  <c r="F26" i="5"/>
  <c r="C26" i="5" s="1"/>
  <c r="DW14" i="5"/>
  <c r="DW13" i="5"/>
  <c r="DU13" i="5"/>
  <c r="DV13" i="5"/>
  <c r="Y24" i="6"/>
  <c r="AW28" i="5"/>
  <c r="F64" i="5"/>
  <c r="K64" i="5"/>
  <c r="CP31" i="5"/>
  <c r="U27" i="8"/>
  <c r="J118" i="5"/>
  <c r="AU71" i="5"/>
  <c r="AG29" i="6"/>
  <c r="DP18" i="5"/>
  <c r="F34" i="5"/>
  <c r="J67" i="5" s="1"/>
  <c r="D6" i="8"/>
  <c r="AR43" i="5"/>
  <c r="BF171" i="1"/>
  <c r="BJ171" i="1"/>
  <c r="BN171" i="1"/>
  <c r="BG172" i="1"/>
  <c r="BK172" i="1"/>
  <c r="BO172" i="1"/>
  <c r="BU172" i="1" s="1"/>
  <c r="BZ172" i="1" s="1"/>
  <c r="BF175" i="1"/>
  <c r="BR175" i="1" s="1"/>
  <c r="BJ175" i="1"/>
  <c r="BS175" i="1" s="1"/>
  <c r="BX175" i="1" s="1"/>
  <c r="BN175" i="1"/>
  <c r="BG176" i="1"/>
  <c r="BK176" i="1"/>
  <c r="BO176" i="1"/>
  <c r="BU176" i="1" s="1"/>
  <c r="BZ176" i="1" s="1"/>
  <c r="BG177" i="1"/>
  <c r="BK177" i="1"/>
  <c r="BO177" i="1"/>
  <c r="BG178" i="1"/>
  <c r="BK178" i="1"/>
  <c r="BO178" i="1"/>
  <c r="BG179" i="1"/>
  <c r="BK179" i="1"/>
  <c r="BO179" i="1"/>
  <c r="AS61" i="1"/>
  <c r="AR74" i="1"/>
  <c r="BF172" i="1"/>
  <c r="BR172" i="1" s="1"/>
  <c r="AU103" i="1"/>
  <c r="BX103" i="1"/>
  <c r="AV104" i="1"/>
  <c r="AU104" i="1"/>
  <c r="AY105" i="1"/>
  <c r="BV105" i="1"/>
  <c r="CA105" i="1" s="1"/>
  <c r="BW106" i="1"/>
  <c r="BV106" i="1"/>
  <c r="CA106" i="1" s="1"/>
  <c r="BZ107" i="1"/>
  <c r="AX108" i="1"/>
  <c r="AW109" i="1"/>
  <c r="BY110" i="1"/>
  <c r="AU111" i="1"/>
  <c r="M12" i="5" s="1"/>
  <c r="BW111" i="1"/>
  <c r="BV111" i="1"/>
  <c r="CA111" i="1" s="1"/>
  <c r="BY113" i="1"/>
  <c r="AW114" i="1"/>
  <c r="BV114" i="1"/>
  <c r="CA114" i="1" s="1"/>
  <c r="BW115" i="1"/>
  <c r="BV115" i="1"/>
  <c r="CA115" i="1" s="1"/>
  <c r="AW116" i="1"/>
  <c r="AZ116" i="1"/>
  <c r="BZ116" i="1"/>
  <c r="AU118" i="1"/>
  <c r="BZ118" i="1"/>
  <c r="AV119" i="1"/>
  <c r="BW120" i="1"/>
  <c r="BV120" i="1"/>
  <c r="CA120" i="1" s="1"/>
  <c r="AX121" i="1"/>
  <c r="BY122" i="1"/>
  <c r="AV123" i="1"/>
  <c r="BW124" i="1"/>
  <c r="BV124" i="1"/>
  <c r="CA124" i="1" s="1"/>
  <c r="AX125" i="1"/>
  <c r="BY126" i="1"/>
  <c r="AV127" i="1"/>
  <c r="AU128" i="1"/>
  <c r="BW128" i="1"/>
  <c r="BV128" i="1"/>
  <c r="CA128" i="1" s="1"/>
  <c r="AW129" i="1"/>
  <c r="CM153" i="1"/>
  <c r="AX130" i="1"/>
  <c r="BV131" i="1"/>
  <c r="CA131" i="1" s="1"/>
  <c r="AX132" i="1"/>
  <c r="BW132" i="1"/>
  <c r="BX133" i="1"/>
  <c r="AX134" i="1"/>
  <c r="BV135" i="1"/>
  <c r="CA135" i="1" s="1"/>
  <c r="AX136" i="1"/>
  <c r="BW136" i="1"/>
  <c r="BX137" i="1"/>
  <c r="AX138" i="1"/>
  <c r="BV139" i="1"/>
  <c r="CA139" i="1" s="1"/>
  <c r="AX140" i="1"/>
  <c r="BW140" i="1"/>
  <c r="BX141" i="1"/>
  <c r="AX142" i="1"/>
  <c r="BV143" i="1"/>
  <c r="CA143" i="1" s="1"/>
  <c r="AY144" i="1"/>
  <c r="BX144" i="1"/>
  <c r="AQ145" i="1"/>
  <c r="AU145" i="1" s="1"/>
  <c r="N12" i="5" s="1"/>
  <c r="AT146" i="1"/>
  <c r="AY146" i="1" s="1"/>
  <c r="AR147" i="1"/>
  <c r="AW147" i="1" s="1"/>
  <c r="BW147" i="1"/>
  <c r="AR148" i="1"/>
  <c r="AW148" i="1" s="1"/>
  <c r="BW148" i="1"/>
  <c r="AR149" i="1"/>
  <c r="AW149" i="1" s="1"/>
  <c r="BW149" i="1"/>
  <c r="AR150" i="1"/>
  <c r="AW150" i="1" s="1"/>
  <c r="BW150" i="1"/>
  <c r="AR151" i="1"/>
  <c r="AW151" i="1" s="1"/>
  <c r="BW151" i="1"/>
  <c r="BZ152" i="1"/>
  <c r="AQ153" i="1"/>
  <c r="BY153" i="1"/>
  <c r="BV154" i="1"/>
  <c r="CA154" i="1" s="1"/>
  <c r="AX155" i="1"/>
  <c r="BV156" i="1"/>
  <c r="CA156" i="1" s="1"/>
  <c r="AT157" i="1"/>
  <c r="AY157" i="1" s="1"/>
  <c r="AS158" i="1"/>
  <c r="AX158" i="1" s="1"/>
  <c r="BV158" i="1"/>
  <c r="CA158" i="1" s="1"/>
  <c r="AY160" i="1"/>
  <c r="AV160" i="1"/>
  <c r="AU162" i="1"/>
  <c r="Q12" i="5" s="1"/>
  <c r="BW162" i="1"/>
  <c r="AU163" i="1"/>
  <c r="AY164" i="1"/>
  <c r="AX165" i="1"/>
  <c r="AU166" i="1"/>
  <c r="AY168" i="1"/>
  <c r="AU169" i="1"/>
  <c r="AV170" i="1"/>
  <c r="AU170" i="1"/>
  <c r="AX172" i="1"/>
  <c r="AV174" i="1"/>
  <c r="AU174" i="1"/>
  <c r="AX176" i="1"/>
  <c r="AV178" i="1"/>
  <c r="AU178" i="1"/>
  <c r="AZ178" i="1" s="1"/>
  <c r="AW181" i="1"/>
  <c r="BV181" i="1"/>
  <c r="BX182" i="1"/>
  <c r="AY183" i="1"/>
  <c r="AU184" i="1"/>
  <c r="AZ184" i="1" s="1"/>
  <c r="BZ184" i="1"/>
  <c r="AW185" i="1"/>
  <c r="BV185" i="1"/>
  <c r="BX186" i="1"/>
  <c r="AY187" i="1"/>
  <c r="AU188" i="1"/>
  <c r="AZ188" i="1" s="1"/>
  <c r="BZ188" i="1"/>
  <c r="AW189" i="1"/>
  <c r="BV189" i="1"/>
  <c r="BX190" i="1"/>
  <c r="AY191" i="1"/>
  <c r="AU192" i="1"/>
  <c r="AZ192" i="1" s="1"/>
  <c r="BZ192" i="1"/>
  <c r="AW193" i="1"/>
  <c r="BV193" i="1"/>
  <c r="BX194" i="1"/>
  <c r="AY195" i="1"/>
  <c r="AV196" i="1"/>
  <c r="AU196" i="1"/>
  <c r="AZ196" i="1" s="1"/>
  <c r="AV197" i="1"/>
  <c r="AU197" i="1"/>
  <c r="AZ197" i="1" s="1"/>
  <c r="AX198" i="1"/>
  <c r="AY200" i="1"/>
  <c r="AV201" i="1"/>
  <c r="AX202" i="1"/>
  <c r="AX206" i="1"/>
  <c r="AV208" i="1"/>
  <c r="AR231" i="1"/>
  <c r="AW231" i="1" s="1"/>
  <c r="AT231" i="1"/>
  <c r="AY231" i="1" s="1"/>
  <c r="AV215" i="1"/>
  <c r="AV218" i="1"/>
  <c r="AU218" i="1"/>
  <c r="AZ218" i="1" s="1"/>
  <c r="AX219" i="1"/>
  <c r="AX222" i="1"/>
  <c r="AV223" i="1"/>
  <c r="AV226" i="1"/>
  <c r="AU226" i="1"/>
  <c r="AZ226" i="1" s="1"/>
  <c r="AX227" i="1"/>
  <c r="AV232" i="1"/>
  <c r="AU232" i="1"/>
  <c r="AZ232" i="1" s="1"/>
  <c r="AX232" i="1"/>
  <c r="AX233" i="1"/>
  <c r="AT234" i="1"/>
  <c r="AY234" i="1" s="1"/>
  <c r="AR239" i="1"/>
  <c r="AW239" i="1" s="1"/>
  <c r="AV240" i="1"/>
  <c r="AU240" i="1"/>
  <c r="AZ240" i="1" s="1"/>
  <c r="AX240" i="1"/>
  <c r="AX241" i="1"/>
  <c r="AT242" i="1"/>
  <c r="AY242" i="1" s="1"/>
  <c r="AV246" i="1"/>
  <c r="AU246" i="1"/>
  <c r="AZ246" i="1" s="1"/>
  <c r="AX247" i="1"/>
  <c r="AX250" i="1"/>
  <c r="AV251" i="1"/>
  <c r="AV254" i="1"/>
  <c r="AU254" i="1"/>
  <c r="AZ254" i="1" s="1"/>
  <c r="AX255" i="1"/>
  <c r="AX258" i="1"/>
  <c r="AV259" i="1"/>
  <c r="X6" i="4"/>
  <c r="AH19" i="5"/>
  <c r="X15" i="4"/>
  <c r="X16" i="4"/>
  <c r="AH22" i="5"/>
  <c r="X18" i="4"/>
  <c r="W29" i="6"/>
  <c r="AN33" i="5"/>
  <c r="G67" i="9"/>
  <c r="G70" i="8"/>
  <c r="G69" i="9"/>
  <c r="G72" i="8"/>
  <c r="H9" i="8"/>
  <c r="W9" i="6"/>
  <c r="L46" i="5"/>
  <c r="AM13" i="5"/>
  <c r="AN13" i="5"/>
  <c r="G72" i="9"/>
  <c r="G75" i="8"/>
  <c r="B13" i="8"/>
  <c r="K50" i="5"/>
  <c r="F17" i="5"/>
  <c r="C17" i="5" s="1"/>
  <c r="CP17" i="5"/>
  <c r="Y43" i="6"/>
  <c r="W19" i="6"/>
  <c r="AN23" i="5"/>
  <c r="AM23" i="5"/>
  <c r="AW23" i="5"/>
  <c r="CF27" i="5"/>
  <c r="DB37" i="5"/>
  <c r="DI32" i="5"/>
  <c r="DC40" i="5"/>
  <c r="DQ18" i="5"/>
  <c r="X21" i="2"/>
  <c r="S29" i="8" s="1"/>
  <c r="Y30" i="6"/>
  <c r="Y56" i="6" s="1"/>
  <c r="V67" i="5"/>
  <c r="BW34" i="5"/>
  <c r="T67" i="5" s="1"/>
  <c r="AR212" i="1"/>
  <c r="AW212" i="1" s="1"/>
  <c r="AT213" i="1"/>
  <c r="AY213" i="1" s="1"/>
  <c r="AR214" i="1"/>
  <c r="AW214" i="1" s="1"/>
  <c r="AN229" i="1"/>
  <c r="AT229" i="1" s="1"/>
  <c r="AY229" i="1" s="1"/>
  <c r="AH230" i="1"/>
  <c r="AR230" i="1" s="1"/>
  <c r="AW230" i="1" s="1"/>
  <c r="AN231" i="1"/>
  <c r="B9" i="5"/>
  <c r="G66" i="9"/>
  <c r="G69" i="8"/>
  <c r="AW9" i="5"/>
  <c r="T42" i="5"/>
  <c r="E68" i="9"/>
  <c r="C71" i="8"/>
  <c r="H7" i="8"/>
  <c r="AN11" i="5"/>
  <c r="H8" i="8"/>
  <c r="E70" i="9"/>
  <c r="C73" i="8"/>
  <c r="B9" i="8"/>
  <c r="CP13" i="5"/>
  <c r="K46" i="5"/>
  <c r="F46" i="5"/>
  <c r="C13" i="5"/>
  <c r="BW13" i="5"/>
  <c r="V46" i="5"/>
  <c r="AE17" i="8"/>
  <c r="AB9" i="6"/>
  <c r="AB35" i="6" s="1"/>
  <c r="F14" i="5"/>
  <c r="G47" i="5"/>
  <c r="C10" i="8" s="1"/>
  <c r="BW14" i="5"/>
  <c r="V47" i="5"/>
  <c r="AE18" i="8"/>
  <c r="AB10" i="6"/>
  <c r="AB36" i="6" s="1"/>
  <c r="G48" i="5"/>
  <c r="C11" i="8" s="1"/>
  <c r="F15" i="5"/>
  <c r="B15" i="5" s="1"/>
  <c r="K12" i="9"/>
  <c r="P12" i="9" s="1"/>
  <c r="K42" i="9" s="1"/>
  <c r="CK15" i="5"/>
  <c r="E73" i="9"/>
  <c r="C76" i="8"/>
  <c r="B12" i="8"/>
  <c r="K49" i="5"/>
  <c r="C16" i="5"/>
  <c r="DV16" i="5"/>
  <c r="DS16" i="5"/>
  <c r="G74" i="9"/>
  <c r="G77" i="8"/>
  <c r="P14" i="8"/>
  <c r="Y14" i="6"/>
  <c r="Y40" i="6" s="1"/>
  <c r="AW18" i="5"/>
  <c r="W51" i="5" s="1"/>
  <c r="X51" i="5" s="1"/>
  <c r="E76" i="9"/>
  <c r="C79" i="8"/>
  <c r="DF19" i="5"/>
  <c r="X8" i="2" s="1"/>
  <c r="G54" i="5"/>
  <c r="C17" i="8" s="1"/>
  <c r="F21" i="5"/>
  <c r="B21" i="5" s="1"/>
  <c r="AE25" i="8"/>
  <c r="AB17" i="6"/>
  <c r="AB43" i="6" s="1"/>
  <c r="DF22" i="5"/>
  <c r="X11" i="2" s="1"/>
  <c r="AQ46" i="6" s="1"/>
  <c r="DJ22" i="5"/>
  <c r="C24" i="5"/>
  <c r="AH28" i="8"/>
  <c r="AB20" i="6"/>
  <c r="G58" i="5"/>
  <c r="C21" i="8" s="1"/>
  <c r="CF25" i="5"/>
  <c r="AW26" i="5"/>
  <c r="Y22" i="6"/>
  <c r="AO27" i="5"/>
  <c r="DF27" i="5"/>
  <c r="CF30" i="5"/>
  <c r="F65" i="5"/>
  <c r="K65" i="5"/>
  <c r="CP32" i="5"/>
  <c r="V28" i="8"/>
  <c r="V65" i="5"/>
  <c r="BW32" i="5"/>
  <c r="ED32" i="5"/>
  <c r="Y29" i="6"/>
  <c r="AW33" i="5"/>
  <c r="CF33" i="5" s="1"/>
  <c r="BJ48" i="5"/>
  <c r="S30" i="8"/>
  <c r="T30" i="8" s="1"/>
  <c r="D7" i="9"/>
  <c r="M36" i="8"/>
  <c r="O40" i="8"/>
  <c r="F11" i="9"/>
  <c r="M11" i="8"/>
  <c r="U48" i="5"/>
  <c r="AU48" i="5" s="1"/>
  <c r="BA48" i="5" s="1"/>
  <c r="U13" i="8"/>
  <c r="N13" i="8" s="1"/>
  <c r="AT50" i="5"/>
  <c r="AW50" i="5" s="1"/>
  <c r="D48" i="6" s="1"/>
  <c r="AS50" i="5"/>
  <c r="U50" i="5"/>
  <c r="AU50" i="5" s="1"/>
  <c r="BA50" i="5" s="1"/>
  <c r="D16" i="9"/>
  <c r="M45" i="8"/>
  <c r="Q31" i="6"/>
  <c r="AU115" i="1"/>
  <c r="BV117" i="1"/>
  <c r="CA117" i="1" s="1"/>
  <c r="AU119" i="1"/>
  <c r="AU120" i="1"/>
  <c r="AU121" i="1"/>
  <c r="AU122" i="1"/>
  <c r="AU123" i="1"/>
  <c r="AU124" i="1"/>
  <c r="AU125" i="1"/>
  <c r="AU126" i="1"/>
  <c r="AU127" i="1"/>
  <c r="AU130" i="1"/>
  <c r="AZ130" i="1" s="1"/>
  <c r="BV132" i="1"/>
  <c r="CA132" i="1" s="1"/>
  <c r="AU134" i="1"/>
  <c r="AZ134" i="1" s="1"/>
  <c r="BV136" i="1"/>
  <c r="CA136" i="1" s="1"/>
  <c r="AU138" i="1"/>
  <c r="AZ138" i="1" s="1"/>
  <c r="BV140" i="1"/>
  <c r="CA140" i="1" s="1"/>
  <c r="AU142" i="1"/>
  <c r="AZ142" i="1" s="1"/>
  <c r="BV147" i="1"/>
  <c r="CA147" i="1" s="1"/>
  <c r="BV148" i="1"/>
  <c r="CA148" i="1" s="1"/>
  <c r="BV149" i="1"/>
  <c r="CA149" i="1" s="1"/>
  <c r="BV150" i="1"/>
  <c r="CA150" i="1" s="1"/>
  <c r="BV151" i="1"/>
  <c r="CA151" i="1" s="1"/>
  <c r="BV155" i="1"/>
  <c r="CA155" i="1" s="1"/>
  <c r="BV159" i="1"/>
  <c r="CA159" i="1" s="1"/>
  <c r="BV162" i="1"/>
  <c r="CA162" i="1" s="1"/>
  <c r="AU167" i="1"/>
  <c r="AU180" i="1"/>
  <c r="AZ180" i="1" s="1"/>
  <c r="AU201" i="1"/>
  <c r="AZ201" i="1" s="1"/>
  <c r="AU202" i="1"/>
  <c r="AZ202" i="1" s="1"/>
  <c r="AU205" i="1"/>
  <c r="AZ205" i="1" s="1"/>
  <c r="AU208" i="1"/>
  <c r="AZ208" i="1" s="1"/>
  <c r="AU210" i="1"/>
  <c r="AZ210" i="1" s="1"/>
  <c r="AS212" i="1"/>
  <c r="AX212" i="1" s="1"/>
  <c r="AQ213" i="1"/>
  <c r="AS214" i="1"/>
  <c r="AX214" i="1" s="1"/>
  <c r="AU215" i="1"/>
  <c r="AZ215" i="1" s="1"/>
  <c r="AU217" i="1"/>
  <c r="AZ217" i="1" s="1"/>
  <c r="AU219" i="1"/>
  <c r="AZ219" i="1" s="1"/>
  <c r="AU221" i="1"/>
  <c r="AZ221" i="1" s="1"/>
  <c r="AU223" i="1"/>
  <c r="AZ223" i="1" s="1"/>
  <c r="AU225" i="1"/>
  <c r="AZ225" i="1" s="1"/>
  <c r="AU227" i="1"/>
  <c r="AZ227" i="1" s="1"/>
  <c r="AU247" i="1"/>
  <c r="AZ247" i="1" s="1"/>
  <c r="AU249" i="1"/>
  <c r="AZ249" i="1" s="1"/>
  <c r="AU251" i="1"/>
  <c r="AZ251" i="1" s="1"/>
  <c r="AU253" i="1"/>
  <c r="AZ253" i="1" s="1"/>
  <c r="AU255" i="1"/>
  <c r="AZ255" i="1" s="1"/>
  <c r="AU257" i="1"/>
  <c r="AZ257" i="1" s="1"/>
  <c r="AU259" i="1"/>
  <c r="AZ259" i="1" s="1"/>
  <c r="AU261" i="1"/>
  <c r="AZ261" i="1" s="1"/>
  <c r="J31" i="9"/>
  <c r="F30" i="8"/>
  <c r="AG38" i="8"/>
  <c r="AE38" i="8" s="1"/>
  <c r="Q56" i="6"/>
  <c r="O30" i="6"/>
  <c r="T56" i="6"/>
  <c r="T58" i="6" s="1"/>
  <c r="Z56" i="6"/>
  <c r="V56" i="6"/>
  <c r="L67" i="5"/>
  <c r="AR67" i="5" s="1"/>
  <c r="O58" i="6"/>
  <c r="R56" i="6"/>
  <c r="W7" i="6"/>
  <c r="L44" i="5"/>
  <c r="W8" i="6"/>
  <c r="AN12" i="5"/>
  <c r="W17" i="6"/>
  <c r="AN21" i="5"/>
  <c r="G43" i="5"/>
  <c r="C6" i="8" s="1"/>
  <c r="F10" i="5"/>
  <c r="DS10" i="5"/>
  <c r="DV10" i="5"/>
  <c r="B7" i="8"/>
  <c r="K44" i="5"/>
  <c r="AM11" i="5"/>
  <c r="T44" i="5"/>
  <c r="AW11" i="5"/>
  <c r="CN11" i="5" s="1"/>
  <c r="CO11" i="5" s="1"/>
  <c r="CQ12" i="5"/>
  <c r="C12" i="5"/>
  <c r="J45" i="5"/>
  <c r="I45" i="5"/>
  <c r="AM12" i="5"/>
  <c r="DS12" i="5"/>
  <c r="DV12" i="5"/>
  <c r="G70" i="9"/>
  <c r="G73" i="8"/>
  <c r="G71" i="9"/>
  <c r="G74" i="8"/>
  <c r="DS15" i="5"/>
  <c r="DV15" i="5"/>
  <c r="U15" i="8"/>
  <c r="N15" i="8" s="1"/>
  <c r="AT52" i="5"/>
  <c r="AS52" i="5"/>
  <c r="U52" i="5"/>
  <c r="AU52" i="5" s="1"/>
  <c r="BA52" i="5" s="1"/>
  <c r="AE23" i="8"/>
  <c r="AB15" i="6"/>
  <c r="AB41" i="6" s="1"/>
  <c r="F20" i="5"/>
  <c r="B20" i="5" s="1"/>
  <c r="G53" i="5"/>
  <c r="C16" i="8" s="1"/>
  <c r="CF20" i="5"/>
  <c r="EC20" i="5"/>
  <c r="AM21" i="5"/>
  <c r="EC21" i="5"/>
  <c r="AF22" i="5"/>
  <c r="CK22" i="5"/>
  <c r="G56" i="5"/>
  <c r="C19" i="8" s="1"/>
  <c r="F23" i="5"/>
  <c r="B23" i="5" s="1"/>
  <c r="CF24" i="5"/>
  <c r="A25" i="5"/>
  <c r="AF25" i="5"/>
  <c r="CN25" i="5"/>
  <c r="CO25" i="5" s="1"/>
  <c r="DF28" i="5"/>
  <c r="AO29" i="5"/>
  <c r="AH33" i="8"/>
  <c r="AB25" i="6"/>
  <c r="AO30" i="5"/>
  <c r="AG27" i="6"/>
  <c r="H64" i="5"/>
  <c r="AM31" i="5"/>
  <c r="BN31" i="5"/>
  <c r="EA31" i="5" s="1"/>
  <c r="EC31" i="5" s="1"/>
  <c r="EE31" i="5" s="1"/>
  <c r="F32" i="5"/>
  <c r="A32" i="5" s="1"/>
  <c r="G65" i="5"/>
  <c r="C28" i="8" s="1"/>
  <c r="AG28" i="6"/>
  <c r="H65" i="5"/>
  <c r="E28" i="8" s="1"/>
  <c r="G92" i="8" s="1"/>
  <c r="AC29" i="6"/>
  <c r="G67" i="5"/>
  <c r="C30" i="8" s="1"/>
  <c r="AF34" i="5"/>
  <c r="N67" i="5" s="1"/>
  <c r="AA30" i="6"/>
  <c r="AA56" i="6" s="1"/>
  <c r="CK34" i="5"/>
  <c r="AP44" i="5"/>
  <c r="AI44" i="5"/>
  <c r="AE44" i="5"/>
  <c r="M12" i="8"/>
  <c r="U49" i="5"/>
  <c r="AU49" i="5" s="1"/>
  <c r="BA49" i="5" s="1"/>
  <c r="AE56" i="6"/>
  <c r="I28" i="9"/>
  <c r="J28" i="9"/>
  <c r="AG35" i="8"/>
  <c r="F27" i="8"/>
  <c r="AF53" i="6"/>
  <c r="AR54" i="6"/>
  <c r="AN54" i="6"/>
  <c r="AE53" i="6"/>
  <c r="Z53" i="6"/>
  <c r="V53" i="6"/>
  <c r="AM54" i="6"/>
  <c r="T53" i="6"/>
  <c r="Y64" i="5"/>
  <c r="R27" i="8" s="1"/>
  <c r="L64" i="5"/>
  <c r="AR64" i="5" s="1"/>
  <c r="U91" i="5"/>
  <c r="D43" i="5"/>
  <c r="DL22" i="5"/>
  <c r="X7" i="4"/>
  <c r="X8" i="4"/>
  <c r="X13" i="4"/>
  <c r="X17" i="4"/>
  <c r="S29" i="4"/>
  <c r="U29" i="4" s="1"/>
  <c r="J42" i="5"/>
  <c r="I42" i="5"/>
  <c r="CN9" i="5"/>
  <c r="CO9" i="5" s="1"/>
  <c r="AF9" i="5"/>
  <c r="N42" i="5" s="1"/>
  <c r="U6" i="8"/>
  <c r="N6" i="8" s="1"/>
  <c r="AS43" i="5"/>
  <c r="U43" i="5"/>
  <c r="AU43" i="5" s="1"/>
  <c r="BA43" i="5" s="1"/>
  <c r="DR10" i="5"/>
  <c r="G68" i="9"/>
  <c r="G71" i="8"/>
  <c r="E69" i="9"/>
  <c r="C72" i="8"/>
  <c r="DR12" i="5"/>
  <c r="AF13" i="5"/>
  <c r="N46" i="5" s="1"/>
  <c r="P9" i="8"/>
  <c r="Y9" i="6"/>
  <c r="Y35" i="6" s="1"/>
  <c r="F10" i="9"/>
  <c r="O39" i="8"/>
  <c r="P10" i="8"/>
  <c r="W10" i="8" s="1"/>
  <c r="Y10" i="6"/>
  <c r="Y36" i="6" s="1"/>
  <c r="AW14" i="5"/>
  <c r="W47" i="5" s="1"/>
  <c r="X47" i="5" s="1"/>
  <c r="P11" i="8"/>
  <c r="AW15" i="5"/>
  <c r="Y11" i="6"/>
  <c r="Y37" i="6" s="1"/>
  <c r="AF16" i="5"/>
  <c r="N49" i="5" s="1"/>
  <c r="K14" i="9"/>
  <c r="P14" i="9" s="1"/>
  <c r="K44" i="9" s="1"/>
  <c r="CK17" i="5"/>
  <c r="G51" i="5"/>
  <c r="C14" i="8" s="1"/>
  <c r="F18" i="5"/>
  <c r="B18" i="5" s="1"/>
  <c r="CF18" i="5"/>
  <c r="AA42" i="6"/>
  <c r="AW22" i="5"/>
  <c r="AF23" i="5"/>
  <c r="CK23" i="5"/>
  <c r="AF24" i="5"/>
  <c r="CN24" i="5"/>
  <c r="CO24" i="5" s="1"/>
  <c r="ED27" i="5"/>
  <c r="CF29" i="5"/>
  <c r="F30" i="5"/>
  <c r="B30" i="5" s="1"/>
  <c r="F31" i="5"/>
  <c r="C31" i="5" s="1"/>
  <c r="G64" i="5"/>
  <c r="C27" i="8" s="1"/>
  <c r="Y27" i="6"/>
  <c r="AW31" i="5"/>
  <c r="W64" i="5" s="1"/>
  <c r="BL44" i="5"/>
  <c r="BL45" i="5" s="1"/>
  <c r="AN31" i="5"/>
  <c r="DI31" i="5"/>
  <c r="DQ17" i="5"/>
  <c r="Q54" i="6"/>
  <c r="P28" i="8"/>
  <c r="Y28" i="6"/>
  <c r="AA54" i="6"/>
  <c r="F33" i="5"/>
  <c r="AF33" i="5" s="1"/>
  <c r="N33" i="5"/>
  <c r="L33" i="5" s="1"/>
  <c r="X29" i="6" s="1"/>
  <c r="S29" i="6"/>
  <c r="H67" i="5"/>
  <c r="E30" i="8" s="1"/>
  <c r="G94" i="8" s="1"/>
  <c r="X36" i="5"/>
  <c r="Y38" i="5" s="1"/>
  <c r="G42" i="5"/>
  <c r="AT43" i="5"/>
  <c r="AW43" i="5" s="1"/>
  <c r="D41" i="6" s="1"/>
  <c r="BJ44" i="5"/>
  <c r="BI45" i="5" s="1"/>
  <c r="BI46" i="5" s="1"/>
  <c r="BI47" i="5" s="1"/>
  <c r="L45" i="5"/>
  <c r="AP47" i="5"/>
  <c r="AI47" i="5"/>
  <c r="AE47" i="5"/>
  <c r="AW49" i="5"/>
  <c r="D47" i="6" s="1"/>
  <c r="M14" i="8"/>
  <c r="U51" i="5"/>
  <c r="AU51" i="5" s="1"/>
  <c r="BA51" i="5" s="1"/>
  <c r="AT51" i="5"/>
  <c r="AW51" i="5" s="1"/>
  <c r="D49" i="6" s="1"/>
  <c r="G76" i="9"/>
  <c r="G79" i="8"/>
  <c r="Q32" i="6"/>
  <c r="D67" i="9"/>
  <c r="B70" i="8"/>
  <c r="AE15" i="8"/>
  <c r="AB7" i="6"/>
  <c r="AB33" i="6" s="1"/>
  <c r="G14" i="9"/>
  <c r="P43" i="8"/>
  <c r="CP18" i="5"/>
  <c r="F19" i="5"/>
  <c r="AW19" i="5"/>
  <c r="W52" i="5" s="1"/>
  <c r="X52" i="5" s="1"/>
  <c r="K17" i="9"/>
  <c r="P17" i="9" s="1"/>
  <c r="K47" i="9" s="1"/>
  <c r="CP20" i="5"/>
  <c r="AW21" i="5"/>
  <c r="W54" i="5" s="1"/>
  <c r="X54" i="5" s="1"/>
  <c r="AG22" i="6"/>
  <c r="W22" i="6"/>
  <c r="Y23" i="6"/>
  <c r="F28" i="5"/>
  <c r="A28" i="5" s="1"/>
  <c r="W24" i="6"/>
  <c r="CP28" i="5"/>
  <c r="F29" i="5"/>
  <c r="DF29" i="5"/>
  <c r="W26" i="6"/>
  <c r="Y26" i="6"/>
  <c r="Q53" i="6"/>
  <c r="AA53" i="6"/>
  <c r="S65" i="5"/>
  <c r="M28" i="8" s="1"/>
  <c r="R65" i="5"/>
  <c r="AT72" i="5" s="1"/>
  <c r="O28" i="8"/>
  <c r="L29" i="9" s="1"/>
  <c r="R29" i="9" s="1"/>
  <c r="K29" i="9"/>
  <c r="AF29" i="6"/>
  <c r="AD56" i="6"/>
  <c r="AD60" i="6" s="1"/>
  <c r="O30" i="8"/>
  <c r="L31" i="9" s="1"/>
  <c r="R31" i="9" s="1"/>
  <c r="K31" i="9"/>
  <c r="G30" i="8"/>
  <c r="AF30" i="6"/>
  <c r="AF56" i="6" s="1"/>
  <c r="L39" i="5"/>
  <c r="BJ40" i="5"/>
  <c r="F66" i="9"/>
  <c r="D69" i="8"/>
  <c r="M35" i="8"/>
  <c r="D6" i="9"/>
  <c r="AE43" i="5"/>
  <c r="AI43" i="5"/>
  <c r="AE45" i="5"/>
  <c r="AI45" i="5"/>
  <c r="K47" i="5"/>
  <c r="AS47" i="5"/>
  <c r="H12" i="9"/>
  <c r="N41" i="8"/>
  <c r="AE48" i="5"/>
  <c r="AI48" i="5"/>
  <c r="H13" i="9"/>
  <c r="N42" i="8"/>
  <c r="AE49" i="5"/>
  <c r="AI49" i="5"/>
  <c r="F14" i="9"/>
  <c r="O43" i="8"/>
  <c r="H15" i="9"/>
  <c r="N44" i="8"/>
  <c r="AE51" i="5"/>
  <c r="AI51" i="5"/>
  <c r="F16" i="9"/>
  <c r="O45" i="8"/>
  <c r="F53" i="5"/>
  <c r="Y67" i="5"/>
  <c r="R30" i="8" s="1"/>
  <c r="Y13" i="6"/>
  <c r="Y39" i="6" s="1"/>
  <c r="Y15" i="6"/>
  <c r="Y41" i="6" s="1"/>
  <c r="S56" i="6"/>
  <c r="AE22" i="8"/>
  <c r="AB14" i="6"/>
  <c r="AB40" i="6" s="1"/>
  <c r="AB16" i="6"/>
  <c r="AB42" i="6" s="1"/>
  <c r="AA43" i="6"/>
  <c r="Y20" i="6"/>
  <c r="Y21" i="6"/>
  <c r="AH30" i="8"/>
  <c r="AB22" i="6"/>
  <c r="F23" i="8"/>
  <c r="W23" i="6"/>
  <c r="K24" i="9"/>
  <c r="CP27" i="5"/>
  <c r="AG24" i="6"/>
  <c r="AH32" i="8"/>
  <c r="AB24" i="6"/>
  <c r="Y25" i="6"/>
  <c r="AG26" i="6"/>
  <c r="H27" i="8"/>
  <c r="V27" i="8"/>
  <c r="P27" i="8" s="1"/>
  <c r="O27" i="8"/>
  <c r="L28" i="9" s="1"/>
  <c r="R28" i="9" s="1"/>
  <c r="K28" i="9"/>
  <c r="I28" i="8"/>
  <c r="I92" i="8" s="1"/>
  <c r="I29" i="9"/>
  <c r="AH36" i="8"/>
  <c r="AB28" i="6"/>
  <c r="AB54" i="6" s="1"/>
  <c r="I29" i="8"/>
  <c r="I93" i="8" s="1"/>
  <c r="AM33" i="5"/>
  <c r="H30" i="8"/>
  <c r="V30" i="8"/>
  <c r="P30" i="8" s="1"/>
  <c r="C37" i="5"/>
  <c r="C39" i="5" s="1"/>
  <c r="BI41" i="5"/>
  <c r="F7" i="9"/>
  <c r="O36" i="8"/>
  <c r="M37" i="8"/>
  <c r="D8" i="9"/>
  <c r="D11" i="9"/>
  <c r="M40" i="8"/>
  <c r="AT47" i="5"/>
  <c r="F12" i="9"/>
  <c r="O41" i="8"/>
  <c r="F13" i="9"/>
  <c r="O42" i="8"/>
  <c r="F15" i="9"/>
  <c r="O44" i="8"/>
  <c r="F52" i="5"/>
  <c r="AB6" i="6"/>
  <c r="AB32" i="6" s="1"/>
  <c r="AU50" i="6"/>
  <c r="AC54" i="6"/>
  <c r="D66" i="9"/>
  <c r="B69" i="8"/>
  <c r="CP9" i="5"/>
  <c r="AE16" i="8"/>
  <c r="AB8" i="6"/>
  <c r="AB34" i="6" s="1"/>
  <c r="D71" i="9"/>
  <c r="B74" i="8"/>
  <c r="CP14" i="5"/>
  <c r="D72" i="9"/>
  <c r="B75" i="8"/>
  <c r="G13" i="9"/>
  <c r="P42" i="8"/>
  <c r="D75" i="9"/>
  <c r="B78" i="8"/>
  <c r="CP19" i="5"/>
  <c r="K54" i="5"/>
  <c r="T54" i="5"/>
  <c r="K18" i="9"/>
  <c r="P18" i="9" s="1"/>
  <c r="K48" i="9" s="1"/>
  <c r="CP21" i="5"/>
  <c r="Y19" i="6"/>
  <c r="AG20" i="6"/>
  <c r="W20" i="6"/>
  <c r="CP24" i="5"/>
  <c r="AG21" i="6"/>
  <c r="W21" i="6"/>
  <c r="CP25" i="5"/>
  <c r="AN26" i="5"/>
  <c r="A27" i="5"/>
  <c r="AG23" i="6"/>
  <c r="AM27" i="5"/>
  <c r="CK27" i="5"/>
  <c r="CQ27" i="5"/>
  <c r="AN28" i="5"/>
  <c r="CF28" i="5"/>
  <c r="W25" i="6"/>
  <c r="CP29" i="5"/>
  <c r="AM30" i="5"/>
  <c r="CK30" i="5"/>
  <c r="D27" i="8"/>
  <c r="W27" i="6"/>
  <c r="R64" i="5"/>
  <c r="AS64" i="5" s="1"/>
  <c r="CK31" i="5"/>
  <c r="H28" i="8"/>
  <c r="AM32" i="5"/>
  <c r="AU32" i="5"/>
  <c r="AT32" i="5" s="1"/>
  <c r="AF28" i="6"/>
  <c r="AF54" i="6" s="1"/>
  <c r="G28" i="8"/>
  <c r="EA32" i="5"/>
  <c r="EC32" i="5" s="1"/>
  <c r="EE32" i="5" s="1"/>
  <c r="CK33" i="5"/>
  <c r="AM34" i="5"/>
  <c r="R67" i="5"/>
  <c r="AC56" i="6"/>
  <c r="D40" i="5"/>
  <c r="AR42" i="5"/>
  <c r="F6" i="9"/>
  <c r="E36" i="9" s="1"/>
  <c r="O35" i="8"/>
  <c r="K43" i="5"/>
  <c r="H11" i="9"/>
  <c r="N40" i="8"/>
  <c r="K48" i="5"/>
  <c r="AS48" i="5"/>
  <c r="AS49" i="5"/>
  <c r="D14" i="9"/>
  <c r="M43" i="8"/>
  <c r="W13" i="8"/>
  <c r="BF50" i="5"/>
  <c r="K51" i="5"/>
  <c r="AS51" i="5"/>
  <c r="Y12" i="6"/>
  <c r="Y38" i="6" s="1"/>
  <c r="Y18" i="6"/>
  <c r="U53" i="6"/>
  <c r="AP54" i="6"/>
  <c r="S54" i="6"/>
  <c r="AE54" i="6"/>
  <c r="Q33" i="6"/>
  <c r="AQ43" i="6"/>
  <c r="S49" i="6"/>
  <c r="AQ25" i="6"/>
  <c r="AQ54" i="6"/>
  <c r="AU55" i="6"/>
  <c r="U56" i="6"/>
  <c r="Q34" i="6"/>
  <c r="Q36" i="6"/>
  <c r="Q37" i="6"/>
  <c r="Q38" i="6"/>
  <c r="Q41" i="6"/>
  <c r="Q42" i="6"/>
  <c r="Q43" i="6"/>
  <c r="AC49" i="6"/>
  <c r="R53" i="6"/>
  <c r="AC53" i="6"/>
  <c r="AU54" i="6"/>
  <c r="X54" i="6"/>
  <c r="AO55" i="6"/>
  <c r="X56" i="6"/>
  <c r="O20" i="6"/>
  <c r="AO44" i="6"/>
  <c r="O23" i="6"/>
  <c r="O24" i="6" s="1"/>
  <c r="Q49" i="6"/>
  <c r="S53" i="6"/>
  <c r="AO54" i="6"/>
  <c r="R54" i="6"/>
  <c r="AQ55" i="6"/>
  <c r="O57" i="6"/>
  <c r="AQ22" i="6"/>
  <c r="AQ26" i="6"/>
  <c r="G9" i="9"/>
  <c r="P38" i="8"/>
  <c r="AQ24" i="6"/>
  <c r="G8" i="9"/>
  <c r="P37" i="8"/>
  <c r="L59" i="8"/>
  <c r="D69" i="9"/>
  <c r="B72" i="8"/>
  <c r="A27" i="8"/>
  <c r="A90" i="8"/>
  <c r="P35" i="8"/>
  <c r="AO46" i="6" l="1"/>
  <c r="AA45" i="6"/>
  <c r="EC23" i="5"/>
  <c r="K66" i="5"/>
  <c r="AN59" i="6"/>
  <c r="Q45" i="6"/>
  <c r="Y45" i="6"/>
  <c r="N56" i="5"/>
  <c r="Y68" i="5"/>
  <c r="Z68" i="5" s="1"/>
  <c r="N68" i="5"/>
  <c r="J68" i="5"/>
  <c r="F68" i="5"/>
  <c r="R68" i="5"/>
  <c r="G68" i="5"/>
  <c r="V68" i="5"/>
  <c r="M68" i="5"/>
  <c r="S68" i="5"/>
  <c r="T68" i="5"/>
  <c r="U68" i="5" s="1"/>
  <c r="L68" i="5"/>
  <c r="AR68" i="5" s="1"/>
  <c r="AY68" i="5" s="1"/>
  <c r="H68" i="5"/>
  <c r="K68" i="5"/>
  <c r="W68" i="5"/>
  <c r="AA68" i="5"/>
  <c r="Y44" i="6"/>
  <c r="AA44" i="6"/>
  <c r="DJ13" i="5"/>
  <c r="K55" i="5"/>
  <c r="AQ45" i="6"/>
  <c r="W15" i="8"/>
  <c r="H18" i="8"/>
  <c r="ED22" i="5"/>
  <c r="Q44" i="6"/>
  <c r="EC22" i="5"/>
  <c r="F9" i="9"/>
  <c r="O38" i="8"/>
  <c r="K53" i="5"/>
  <c r="AV53" i="5"/>
  <c r="AV64" i="5"/>
  <c r="AV55" i="5"/>
  <c r="Q18" i="8" s="1"/>
  <c r="AN46" i="6"/>
  <c r="AV56" i="5"/>
  <c r="V17" i="8"/>
  <c r="P17" i="8" s="1"/>
  <c r="AV54" i="5"/>
  <c r="Q17" i="8" s="1"/>
  <c r="AV67" i="5"/>
  <c r="Q30" i="8" s="1"/>
  <c r="AV65" i="5"/>
  <c r="AV73" i="5"/>
  <c r="AJ33" i="6"/>
  <c r="H53" i="5"/>
  <c r="E16" i="8" s="1"/>
  <c r="T58" i="5"/>
  <c r="C27" i="5"/>
  <c r="AF12" i="5"/>
  <c r="N45" i="5" s="1"/>
  <c r="DQ11" i="5"/>
  <c r="X14" i="2"/>
  <c r="T60" i="5"/>
  <c r="U23" i="8" s="1"/>
  <c r="D23" i="8"/>
  <c r="F84" i="9" s="1"/>
  <c r="AA49" i="6"/>
  <c r="H55" i="5"/>
  <c r="E18" i="8" s="1"/>
  <c r="G79" i="9" s="1"/>
  <c r="S55" i="6"/>
  <c r="G66" i="5"/>
  <c r="C29" i="8" s="1"/>
  <c r="K19" i="9"/>
  <c r="P19" i="9" s="1"/>
  <c r="K49" i="9" s="1"/>
  <c r="AF17" i="5"/>
  <c r="N50" i="5" s="1"/>
  <c r="M60" i="5"/>
  <c r="AW34" i="5"/>
  <c r="CF34" i="5" s="1"/>
  <c r="T56" i="5"/>
  <c r="T44" i="6"/>
  <c r="V55" i="5"/>
  <c r="F55" i="5"/>
  <c r="G81" i="8"/>
  <c r="AF11" i="5"/>
  <c r="N44" i="5" s="1"/>
  <c r="I44" i="5"/>
  <c r="DJ12" i="5"/>
  <c r="AR44" i="6"/>
  <c r="O17" i="8"/>
  <c r="L18" i="9" s="1"/>
  <c r="R18" i="9" s="1"/>
  <c r="CQ25" i="5"/>
  <c r="B25" i="5"/>
  <c r="AF32" i="5"/>
  <c r="N65" i="5" s="1"/>
  <c r="A33" i="5"/>
  <c r="U49" i="6"/>
  <c r="P28" i="9"/>
  <c r="K58" i="9" s="1"/>
  <c r="AQ50" i="6"/>
  <c r="AO45" i="6"/>
  <c r="K56" i="5"/>
  <c r="R66" i="5"/>
  <c r="AT73" i="5" s="1"/>
  <c r="L60" i="5"/>
  <c r="AR60" i="5" s="1"/>
  <c r="F60" i="5"/>
  <c r="AI60" i="5" s="1"/>
  <c r="P45" i="8"/>
  <c r="R49" i="6"/>
  <c r="G60" i="5"/>
  <c r="C23" i="8" s="1"/>
  <c r="E84" i="9" s="1"/>
  <c r="K20" i="9"/>
  <c r="T55" i="5"/>
  <c r="B32" i="5"/>
  <c r="EC27" i="5"/>
  <c r="N55" i="5"/>
  <c r="C32" i="5"/>
  <c r="Y48" i="6"/>
  <c r="CN27" i="5"/>
  <c r="CO27" i="5" s="1"/>
  <c r="AR45" i="6"/>
  <c r="R55" i="5"/>
  <c r="M18" i="8" s="1"/>
  <c r="O18" i="8"/>
  <c r="L19" i="9" s="1"/>
  <c r="R19" i="9" s="1"/>
  <c r="DR11" i="5"/>
  <c r="B11" i="5"/>
  <c r="ED21" i="5"/>
  <c r="EE21" i="5" s="1"/>
  <c r="R54" i="5"/>
  <c r="M17" i="8" s="1"/>
  <c r="V43" i="6"/>
  <c r="T43" i="6"/>
  <c r="B24" i="5"/>
  <c r="CQ24" i="5"/>
  <c r="AF27" i="5"/>
  <c r="N60" i="5" s="1"/>
  <c r="AP49" i="6"/>
  <c r="AE49" i="6"/>
  <c r="AP50" i="6"/>
  <c r="AO50" i="6"/>
  <c r="H60" i="5"/>
  <c r="E23" i="8" s="1"/>
  <c r="G87" i="8" s="1"/>
  <c r="K60" i="5"/>
  <c r="J60" i="5"/>
  <c r="AD60" i="5" s="1"/>
  <c r="B33" i="5"/>
  <c r="G55" i="5"/>
  <c r="C18" i="8" s="1"/>
  <c r="E79" i="9" s="1"/>
  <c r="C11" i="5"/>
  <c r="T29" i="8"/>
  <c r="DL13" i="5"/>
  <c r="U82" i="5"/>
  <c r="V18" i="8"/>
  <c r="P18" i="8" s="1"/>
  <c r="G19" i="9" s="1"/>
  <c r="CF10" i="5"/>
  <c r="CQ9" i="5"/>
  <c r="C9" i="5"/>
  <c r="DQ9" i="5"/>
  <c r="X12" i="2"/>
  <c r="AE28" i="8" s="1"/>
  <c r="H66" i="5"/>
  <c r="E29" i="8" s="1"/>
  <c r="G93" i="8" s="1"/>
  <c r="ED33" i="5"/>
  <c r="U55" i="6"/>
  <c r="AE55" i="6"/>
  <c r="S66" i="5"/>
  <c r="M29" i="8" s="1"/>
  <c r="AA55" i="6"/>
  <c r="X55" i="6"/>
  <c r="Y66" i="5"/>
  <c r="R29" i="8" s="1"/>
  <c r="N58" i="6"/>
  <c r="AD55" i="6"/>
  <c r="H56" i="5"/>
  <c r="E19" i="8" s="1"/>
  <c r="T53" i="5"/>
  <c r="U64" i="5"/>
  <c r="AU64" i="5" s="1"/>
  <c r="AM59" i="6"/>
  <c r="K30" i="9"/>
  <c r="H29" i="8"/>
  <c r="E46" i="9"/>
  <c r="AF55" i="6"/>
  <c r="V29" i="8"/>
  <c r="P29" i="8" s="1"/>
  <c r="P59" i="8" s="1"/>
  <c r="EC33" i="5"/>
  <c r="AC55" i="6"/>
  <c r="T66" i="5"/>
  <c r="D29" i="8"/>
  <c r="N27" i="8"/>
  <c r="H28" i="9" s="1"/>
  <c r="W53" i="5"/>
  <c r="X53" i="5" s="1"/>
  <c r="N31" i="9"/>
  <c r="S60" i="8"/>
  <c r="O29" i="8"/>
  <c r="L30" i="9" s="1"/>
  <c r="R30" i="9" s="1"/>
  <c r="H58" i="5"/>
  <c r="E21" i="8" s="1"/>
  <c r="G85" i="8" s="1"/>
  <c r="Q47" i="6"/>
  <c r="I30" i="9"/>
  <c r="Q28" i="8"/>
  <c r="F29" i="9" s="1"/>
  <c r="V66" i="5"/>
  <c r="AQ66" i="5"/>
  <c r="G29" i="8"/>
  <c r="Q55" i="6"/>
  <c r="N66" i="5"/>
  <c r="F66" i="5"/>
  <c r="AP66" i="5" s="1"/>
  <c r="Y55" i="6"/>
  <c r="E44" i="9"/>
  <c r="AU86" i="1"/>
  <c r="AZ86" i="1" s="1"/>
  <c r="AV86" i="1"/>
  <c r="CJ111" i="1"/>
  <c r="CJ159" i="1" s="1"/>
  <c r="AU82" i="1"/>
  <c r="AZ82" i="1" s="1"/>
  <c r="AV82" i="1"/>
  <c r="CJ107" i="1"/>
  <c r="CJ155" i="1" s="1"/>
  <c r="AX78" i="1"/>
  <c r="CL103" i="1"/>
  <c r="CL151" i="1" s="1"/>
  <c r="G31" i="9"/>
  <c r="P60" i="8"/>
  <c r="G28" i="9"/>
  <c r="P57" i="8"/>
  <c r="U21" i="8"/>
  <c r="AY90" i="1"/>
  <c r="CM115" i="1"/>
  <c r="CM163" i="1" s="1"/>
  <c r="AV88" i="1"/>
  <c r="AU88" i="1"/>
  <c r="AZ88" i="1" s="1"/>
  <c r="CJ113" i="1"/>
  <c r="CJ161" i="1" s="1"/>
  <c r="AU84" i="1"/>
  <c r="AZ84" i="1" s="1"/>
  <c r="AV84" i="1"/>
  <c r="CJ109" i="1"/>
  <c r="CJ157" i="1" s="1"/>
  <c r="AU80" i="1"/>
  <c r="AZ80" i="1" s="1"/>
  <c r="AV80" i="1"/>
  <c r="CJ105" i="1"/>
  <c r="CJ153" i="1" s="1"/>
  <c r="AZ42" i="1"/>
  <c r="K21" i="5"/>
  <c r="S17" i="6" s="1"/>
  <c r="S43" i="6" s="1"/>
  <c r="AZ35" i="1"/>
  <c r="CN111" i="1"/>
  <c r="CN159" i="1" s="1"/>
  <c r="CQ159" i="1" s="1"/>
  <c r="G30" i="9"/>
  <c r="AA66" i="5"/>
  <c r="AX86" i="1"/>
  <c r="CL39" i="1" s="1"/>
  <c r="CL87" i="1" s="1"/>
  <c r="CL111" i="1"/>
  <c r="CL159" i="1" s="1"/>
  <c r="AA51" i="5"/>
  <c r="Z51" i="5"/>
  <c r="AH38" i="8"/>
  <c r="AB30" i="6"/>
  <c r="AB56" i="6" s="1"/>
  <c r="AB60" i="6" s="1"/>
  <c r="AE26" i="8"/>
  <c r="AB18" i="6"/>
  <c r="AB44" i="6" s="1"/>
  <c r="M14" i="5"/>
  <c r="AZ113" i="1"/>
  <c r="AN21" i="6"/>
  <c r="AM48" i="6" s="1"/>
  <c r="AZ56" i="1"/>
  <c r="AN15" i="6"/>
  <c r="AM42" i="6" s="1"/>
  <c r="AZ50" i="1"/>
  <c r="F89" i="9"/>
  <c r="D92" i="8"/>
  <c r="Q22" i="5"/>
  <c r="R18" i="6" s="1"/>
  <c r="AZ172" i="1"/>
  <c r="AV69" i="1"/>
  <c r="AU69" i="1"/>
  <c r="BR35" i="1"/>
  <c r="BW35" i="1" s="1"/>
  <c r="BS179" i="1"/>
  <c r="BX179" i="1" s="1"/>
  <c r="BW173" i="1"/>
  <c r="M49" i="5"/>
  <c r="O49" i="5" s="1"/>
  <c r="AH49" i="5" s="1"/>
  <c r="AJ49" i="5" s="1"/>
  <c r="AO16" i="5"/>
  <c r="P36" i="8"/>
  <c r="G7" i="9"/>
  <c r="E37" i="9" s="1"/>
  <c r="AV214" i="1"/>
  <c r="AU214" i="1"/>
  <c r="AZ214" i="1" s="1"/>
  <c r="AV76" i="1"/>
  <c r="AU76" i="1"/>
  <c r="BR42" i="1"/>
  <c r="BW42" i="1" s="1"/>
  <c r="BW170" i="1"/>
  <c r="AU25" i="6"/>
  <c r="AG37" i="6"/>
  <c r="N26" i="5"/>
  <c r="AZ159" i="1"/>
  <c r="AY70" i="1"/>
  <c r="BU36" i="1"/>
  <c r="BZ36" i="1" s="1"/>
  <c r="AY62" i="1"/>
  <c r="BU28" i="1"/>
  <c r="BZ28" i="1" s="1"/>
  <c r="CL117" i="1"/>
  <c r="CL165" i="1" s="1"/>
  <c r="AX41" i="1"/>
  <c r="CL45" i="1" s="1"/>
  <c r="D13" i="8"/>
  <c r="AR50" i="5"/>
  <c r="AY63" i="1"/>
  <c r="BU29" i="1"/>
  <c r="BZ29" i="1" s="1"/>
  <c r="CJ81" i="1"/>
  <c r="BR174" i="1"/>
  <c r="CM88" i="1"/>
  <c r="K24" i="5"/>
  <c r="S20" i="6" s="1"/>
  <c r="S46" i="6" s="1"/>
  <c r="AZ38" i="1"/>
  <c r="H94" i="8"/>
  <c r="N55" i="6"/>
  <c r="C29" i="5"/>
  <c r="AF29" i="5"/>
  <c r="B29" i="5"/>
  <c r="CN29" i="5"/>
  <c r="CO29" i="5" s="1"/>
  <c r="CQ29" i="5"/>
  <c r="J52" i="5"/>
  <c r="CN19" i="5"/>
  <c r="CO19" i="5" s="1"/>
  <c r="CQ19" i="5"/>
  <c r="AF19" i="5"/>
  <c r="N52" i="5" s="1"/>
  <c r="C19" i="5"/>
  <c r="G29" i="9"/>
  <c r="P58" i="8"/>
  <c r="AE21" i="8"/>
  <c r="AB13" i="6"/>
  <c r="AB39" i="6" s="1"/>
  <c r="E28" i="9"/>
  <c r="Q57" i="8"/>
  <c r="E27" i="8"/>
  <c r="G91" i="8" s="1"/>
  <c r="G118" i="5"/>
  <c r="H16" i="9"/>
  <c r="M16" i="9" s="1"/>
  <c r="N45" i="8"/>
  <c r="CF14" i="5"/>
  <c r="E67" i="9"/>
  <c r="C70" i="8"/>
  <c r="W34" i="6"/>
  <c r="AT8" i="6"/>
  <c r="AS35" i="6" s="1"/>
  <c r="M24" i="5"/>
  <c r="AZ123" i="1"/>
  <c r="DR13" i="5"/>
  <c r="DQ13" i="5"/>
  <c r="X16" i="2"/>
  <c r="CQ15" i="5"/>
  <c r="J48" i="5"/>
  <c r="I48" i="5"/>
  <c r="CN15" i="5"/>
  <c r="CO15" i="5" s="1"/>
  <c r="C15" i="5"/>
  <c r="AF15" i="5"/>
  <c r="N48" i="5" s="1"/>
  <c r="I47" i="5"/>
  <c r="CN14" i="5"/>
  <c r="CO14" i="5" s="1"/>
  <c r="CQ14" i="5"/>
  <c r="J47" i="5"/>
  <c r="AD47" i="5" s="1"/>
  <c r="AF14" i="5"/>
  <c r="N47" i="5" s="1"/>
  <c r="C14" i="5"/>
  <c r="AO13" i="5"/>
  <c r="M46" i="5"/>
  <c r="O46" i="5" s="1"/>
  <c r="BW175" i="1"/>
  <c r="N57" i="8"/>
  <c r="AV87" i="1"/>
  <c r="CJ40" i="1" s="1"/>
  <c r="CJ88" i="1" s="1"/>
  <c r="AU87" i="1"/>
  <c r="AZ87" i="1" s="1"/>
  <c r="AV79" i="1"/>
  <c r="AU79" i="1"/>
  <c r="AZ79" i="1" s="1"/>
  <c r="AX68" i="1"/>
  <c r="BT34" i="1"/>
  <c r="BY34" i="1" s="1"/>
  <c r="BU170" i="1"/>
  <c r="BZ170" i="1" s="1"/>
  <c r="D12" i="8"/>
  <c r="J12" i="8" s="1"/>
  <c r="AR49" i="5"/>
  <c r="AW64" i="1"/>
  <c r="BS30" i="1"/>
  <c r="BX30" i="1" s="1"/>
  <c r="CK90" i="1"/>
  <c r="BU166" i="1"/>
  <c r="BZ166" i="1" s="1"/>
  <c r="CK91" i="1"/>
  <c r="AZ71" i="1"/>
  <c r="BV37" i="1"/>
  <c r="CA37" i="1" s="1"/>
  <c r="BT178" i="1"/>
  <c r="BY178" i="1" s="1"/>
  <c r="BT166" i="1"/>
  <c r="BY166" i="1" s="1"/>
  <c r="AO9" i="6"/>
  <c r="AN36" i="6" s="1"/>
  <c r="BV10" i="1"/>
  <c r="CA10" i="1" s="1"/>
  <c r="AZ10" i="1"/>
  <c r="N17" i="5"/>
  <c r="L17" i="5" s="1"/>
  <c r="X13" i="6" s="1"/>
  <c r="X39" i="6" s="1"/>
  <c r="AZ150" i="1"/>
  <c r="AU41" i="1"/>
  <c r="CK36" i="1"/>
  <c r="CK84" i="1" s="1"/>
  <c r="CL36" i="1"/>
  <c r="CL84" i="1" s="1"/>
  <c r="K15" i="5"/>
  <c r="S11" i="6" s="1"/>
  <c r="S37" i="6" s="1"/>
  <c r="AZ29" i="1"/>
  <c r="CL35" i="1"/>
  <c r="CL83" i="1" s="1"/>
  <c r="H92" i="8"/>
  <c r="W53" i="6"/>
  <c r="AT27" i="6"/>
  <c r="AS54" i="6" s="1"/>
  <c r="AT25" i="6"/>
  <c r="AO28" i="5"/>
  <c r="CF26" i="5"/>
  <c r="L58" i="5"/>
  <c r="B15" i="8"/>
  <c r="AI52" i="5"/>
  <c r="AE52" i="5"/>
  <c r="AP52" i="5"/>
  <c r="AW52" i="5" s="1"/>
  <c r="D50" i="6" s="1"/>
  <c r="E43" i="9"/>
  <c r="AE36" i="8"/>
  <c r="W49" i="6"/>
  <c r="AT23" i="6"/>
  <c r="AS50" i="6" s="1"/>
  <c r="I60" i="5"/>
  <c r="AA47" i="6"/>
  <c r="P31" i="9"/>
  <c r="K61" i="9" s="1"/>
  <c r="H93" i="8"/>
  <c r="W50" i="6"/>
  <c r="AT24" i="6"/>
  <c r="CN28" i="5"/>
  <c r="CO28" i="5" s="1"/>
  <c r="C28" i="5"/>
  <c r="CQ28" i="5"/>
  <c r="B28" i="5"/>
  <c r="AF28" i="5"/>
  <c r="D15" i="9"/>
  <c r="M44" i="8"/>
  <c r="W14" i="8"/>
  <c r="E90" i="9"/>
  <c r="C93" i="8"/>
  <c r="N56" i="6"/>
  <c r="Q27" i="8"/>
  <c r="EC25" i="5"/>
  <c r="CN18" i="5"/>
  <c r="CO18" i="5" s="1"/>
  <c r="J51" i="5"/>
  <c r="AD51" i="5" s="1"/>
  <c r="CQ18" i="5"/>
  <c r="AF18" i="5"/>
  <c r="N51" i="5" s="1"/>
  <c r="C18" i="5"/>
  <c r="I51" i="5"/>
  <c r="W48" i="5"/>
  <c r="X48" i="5" s="1"/>
  <c r="CF15" i="5"/>
  <c r="G11" i="9"/>
  <c r="M11" i="9" s="1"/>
  <c r="P40" i="8"/>
  <c r="R40" i="8" s="1"/>
  <c r="G10" i="9"/>
  <c r="E40" i="9" s="1"/>
  <c r="P39" i="8"/>
  <c r="E39" i="9"/>
  <c r="AF42" i="5"/>
  <c r="AO42" i="5"/>
  <c r="BI44" i="5"/>
  <c r="E89" i="9"/>
  <c r="C92" i="8"/>
  <c r="BJ39" i="5"/>
  <c r="AG39" i="6"/>
  <c r="AU27" i="6"/>
  <c r="AT54" i="6" s="1"/>
  <c r="J56" i="5"/>
  <c r="CN23" i="5"/>
  <c r="CO23" i="5" s="1"/>
  <c r="C23" i="5"/>
  <c r="CQ23" i="5"/>
  <c r="E77" i="9"/>
  <c r="C80" i="8"/>
  <c r="M54" i="5"/>
  <c r="AO21" i="5"/>
  <c r="D7" i="8"/>
  <c r="AR44" i="5"/>
  <c r="AZ126" i="1"/>
  <c r="M27" i="5"/>
  <c r="M23" i="5"/>
  <c r="AZ122" i="1"/>
  <c r="H14" i="9"/>
  <c r="M14" i="9" s="1"/>
  <c r="N43" i="8"/>
  <c r="R43" i="8" s="1"/>
  <c r="B28" i="8"/>
  <c r="AP65" i="5"/>
  <c r="AI65" i="5"/>
  <c r="AE65" i="5"/>
  <c r="G77" i="9"/>
  <c r="G80" i="8"/>
  <c r="AE19" i="8"/>
  <c r="AB11" i="6"/>
  <c r="AB37" i="6" s="1"/>
  <c r="E72" i="9"/>
  <c r="C75" i="8"/>
  <c r="D70" i="9"/>
  <c r="B73" i="8"/>
  <c r="M44" i="5"/>
  <c r="O44" i="5" s="1"/>
  <c r="AO11" i="5"/>
  <c r="U5" i="8"/>
  <c r="N5" i="8" s="1"/>
  <c r="U42" i="5"/>
  <c r="AU42" i="5" s="1"/>
  <c r="BA42" i="5" s="1"/>
  <c r="AT42" i="5"/>
  <c r="AW42" i="5" s="1"/>
  <c r="D40" i="6" s="1"/>
  <c r="AS42" i="5"/>
  <c r="U30" i="8"/>
  <c r="N30" i="8" s="1"/>
  <c r="W30" i="8" s="1"/>
  <c r="U67" i="5"/>
  <c r="AA60" i="5"/>
  <c r="Z1" i="6"/>
  <c r="M56" i="5"/>
  <c r="AO23" i="5"/>
  <c r="D74" i="9"/>
  <c r="B77" i="8"/>
  <c r="J13" i="8"/>
  <c r="X13" i="8" s="1"/>
  <c r="O42" i="5"/>
  <c r="AH42" i="5" s="1"/>
  <c r="AJ42" i="5" s="1"/>
  <c r="H15" i="8"/>
  <c r="W15" i="6"/>
  <c r="AN19" i="5"/>
  <c r="AM19" i="5"/>
  <c r="L52" i="5"/>
  <c r="CA189" i="1"/>
  <c r="CN63" i="1"/>
  <c r="CN55" i="1"/>
  <c r="CA181" i="1"/>
  <c r="Q20" i="5"/>
  <c r="R16" i="6" s="1"/>
  <c r="R42" i="6" s="1"/>
  <c r="AZ170" i="1"/>
  <c r="Q16" i="5"/>
  <c r="R12" i="6" s="1"/>
  <c r="AZ166" i="1"/>
  <c r="AX61" i="1"/>
  <c r="BT27" i="1"/>
  <c r="BY27" i="1" s="1"/>
  <c r="BU178" i="1"/>
  <c r="BZ178" i="1" s="1"/>
  <c r="F67" i="9"/>
  <c r="D70" i="8"/>
  <c r="F70" i="8" s="1"/>
  <c r="ED23" i="5"/>
  <c r="EE23" i="5" s="1"/>
  <c r="Y42" i="6"/>
  <c r="U8" i="8"/>
  <c r="N8" i="8" s="1"/>
  <c r="AS45" i="5"/>
  <c r="U45" i="5"/>
  <c r="AU45" i="5" s="1"/>
  <c r="BA45" i="5" s="1"/>
  <c r="AT45" i="5"/>
  <c r="AW45" i="5" s="1"/>
  <c r="D43" i="6" s="1"/>
  <c r="H5" i="8"/>
  <c r="W5" i="6"/>
  <c r="AM9" i="5"/>
  <c r="AV230" i="1"/>
  <c r="AU230" i="1"/>
  <c r="AZ230" i="1" s="1"/>
  <c r="Q21" i="5"/>
  <c r="R17" i="6" s="1"/>
  <c r="AZ171" i="1"/>
  <c r="AW61" i="1"/>
  <c r="BS27" i="1"/>
  <c r="BX27" i="1" s="1"/>
  <c r="AN18" i="6"/>
  <c r="AM45" i="6" s="1"/>
  <c r="AZ53" i="1"/>
  <c r="AN10" i="6"/>
  <c r="AM37" i="6" s="1"/>
  <c r="AZ45" i="1"/>
  <c r="BR178" i="1"/>
  <c r="J24" i="9"/>
  <c r="I24" i="9"/>
  <c r="AG31" i="8"/>
  <c r="V23" i="8"/>
  <c r="P23" i="8" s="1"/>
  <c r="O23" i="8"/>
  <c r="L24" i="9" s="1"/>
  <c r="R24" i="9" s="1"/>
  <c r="H23" i="8"/>
  <c r="AH50" i="6"/>
  <c r="Z49" i="6"/>
  <c r="V49" i="6"/>
  <c r="T49" i="6"/>
  <c r="U87" i="5"/>
  <c r="Y60" i="5"/>
  <c r="Z60" i="5" s="1"/>
  <c r="AR50" i="6"/>
  <c r="R60" i="5"/>
  <c r="M23" i="8" s="1"/>
  <c r="DL18" i="5"/>
  <c r="DJ18" i="5"/>
  <c r="V60" i="5"/>
  <c r="X49" i="6"/>
  <c r="AE20" i="8"/>
  <c r="AB12" i="6"/>
  <c r="AB38" i="6" s="1"/>
  <c r="M65" i="5"/>
  <c r="AO32" i="5"/>
  <c r="M13" i="5"/>
  <c r="AZ112" i="1"/>
  <c r="AV93" i="1"/>
  <c r="AU93" i="1"/>
  <c r="AZ93" i="1" s="1"/>
  <c r="BR38" i="1"/>
  <c r="BW38" i="1" s="1"/>
  <c r="AV72" i="1"/>
  <c r="AU72" i="1"/>
  <c r="AV67" i="1"/>
  <c r="AU67" i="1"/>
  <c r="BR33" i="1"/>
  <c r="BW33" i="1" s="1"/>
  <c r="AV63" i="1"/>
  <c r="AU63" i="1"/>
  <c r="BR29" i="1"/>
  <c r="BW29" i="1" s="1"/>
  <c r="BS177" i="1"/>
  <c r="BX177" i="1" s="1"/>
  <c r="AU243" i="1"/>
  <c r="AZ243" i="1" s="1"/>
  <c r="P18" i="5"/>
  <c r="U14" i="6" s="1"/>
  <c r="AZ100" i="1"/>
  <c r="AU92" i="1"/>
  <c r="AZ92" i="1" s="1"/>
  <c r="AV92" i="1"/>
  <c r="CJ45" i="1" s="1"/>
  <c r="CJ93" i="1" s="1"/>
  <c r="BT37" i="1"/>
  <c r="BY37" i="1" s="1"/>
  <c r="AX71" i="1"/>
  <c r="AU68" i="1"/>
  <c r="BR34" i="1"/>
  <c r="BW34" i="1" s="1"/>
  <c r="AV68" i="1"/>
  <c r="AX67" i="1"/>
  <c r="BT33" i="1"/>
  <c r="BY33" i="1" s="1"/>
  <c r="AU64" i="1"/>
  <c r="BR30" i="1"/>
  <c r="BW30" i="1" s="1"/>
  <c r="AV64" i="1"/>
  <c r="AX63" i="1"/>
  <c r="BT29" i="1"/>
  <c r="BY29" i="1" s="1"/>
  <c r="AN20" i="6"/>
  <c r="AM47" i="6" s="1"/>
  <c r="AZ55" i="1"/>
  <c r="AN17" i="6"/>
  <c r="AM44" i="6" s="1"/>
  <c r="AZ52" i="1"/>
  <c r="CL42" i="1"/>
  <c r="CL90" i="1" s="1"/>
  <c r="BR168" i="1"/>
  <c r="BW164" i="1"/>
  <c r="CM94" i="1"/>
  <c r="CM93" i="1"/>
  <c r="CM92" i="1"/>
  <c r="N22" i="5"/>
  <c r="AZ155" i="1"/>
  <c r="BR169" i="1"/>
  <c r="CJ94" i="1"/>
  <c r="AO12" i="6"/>
  <c r="AN39" i="6" s="1"/>
  <c r="BV13" i="1"/>
  <c r="CA13" i="1" s="1"/>
  <c r="AZ13" i="1"/>
  <c r="A29" i="5"/>
  <c r="AO44" i="5"/>
  <c r="AZ106" i="1"/>
  <c r="P24" i="5"/>
  <c r="U20" i="6" s="1"/>
  <c r="AW71" i="1"/>
  <c r="BS37" i="1"/>
  <c r="BX37" i="1" s="1"/>
  <c r="AY66" i="1"/>
  <c r="BU32" i="1"/>
  <c r="BZ32" i="1" s="1"/>
  <c r="AW63" i="1"/>
  <c r="BS29" i="1"/>
  <c r="BX29" i="1" s="1"/>
  <c r="AN13" i="6"/>
  <c r="AM40" i="6" s="1"/>
  <c r="AZ48" i="1"/>
  <c r="CM45" i="1"/>
  <c r="CM43" i="1"/>
  <c r="BT174" i="1"/>
  <c r="BY174" i="1" s="1"/>
  <c r="CK40" i="1"/>
  <c r="CM39" i="1"/>
  <c r="BS167" i="1"/>
  <c r="BX167" i="1" s="1"/>
  <c r="BO180" i="1"/>
  <c r="BU180" i="1" s="1"/>
  <c r="BU163" i="1"/>
  <c r="AO16" i="6"/>
  <c r="AN43" i="6" s="1"/>
  <c r="AZ17" i="1"/>
  <c r="BV17" i="1"/>
  <c r="CA17" i="1" s="1"/>
  <c r="AO14" i="6"/>
  <c r="AN41" i="6" s="1"/>
  <c r="AZ15" i="1"/>
  <c r="BV15" i="1"/>
  <c r="CA15" i="1" s="1"/>
  <c r="AQ19" i="6"/>
  <c r="AP46" i="6" s="1"/>
  <c r="U45" i="6"/>
  <c r="BS174" i="1"/>
  <c r="BX174" i="1" s="1"/>
  <c r="AU60" i="1"/>
  <c r="BV26" i="1" s="1"/>
  <c r="BR26" i="1"/>
  <c r="CL46" i="1"/>
  <c r="CM111" i="1"/>
  <c r="CM159" i="1" s="1"/>
  <c r="AO20" i="6"/>
  <c r="AN47" i="6" s="1"/>
  <c r="BV21" i="1"/>
  <c r="CA21" i="1" s="1"/>
  <c r="AZ21" i="1"/>
  <c r="AO18" i="6"/>
  <c r="AN45" i="6" s="1"/>
  <c r="BV19" i="1"/>
  <c r="CA19" i="1" s="1"/>
  <c r="AZ19" i="1"/>
  <c r="AO17" i="5"/>
  <c r="M50" i="5"/>
  <c r="AV229" i="1"/>
  <c r="AU229" i="1"/>
  <c r="AZ229" i="1" s="1"/>
  <c r="P20" i="5"/>
  <c r="U16" i="6" s="1"/>
  <c r="AZ102" i="1"/>
  <c r="BT39" i="1"/>
  <c r="BY39" i="1" s="1"/>
  <c r="AX73" i="1"/>
  <c r="AY65" i="1"/>
  <c r="BU31" i="1"/>
  <c r="BZ31" i="1" s="1"/>
  <c r="AY61" i="1"/>
  <c r="BU27" i="1"/>
  <c r="BZ27" i="1" s="1"/>
  <c r="BR179" i="1"/>
  <c r="CK115" i="1"/>
  <c r="CK163" i="1" s="1"/>
  <c r="AW39" i="1"/>
  <c r="CK43" i="1" s="1"/>
  <c r="BT173" i="1"/>
  <c r="BY173" i="1" s="1"/>
  <c r="BT167" i="1"/>
  <c r="BY167" i="1" s="1"/>
  <c r="BT164" i="1"/>
  <c r="BY164" i="1" s="1"/>
  <c r="BR163" i="1"/>
  <c r="BF180" i="1"/>
  <c r="BR180" i="1" s="1"/>
  <c r="CK93" i="1"/>
  <c r="CL91" i="1"/>
  <c r="AO11" i="6"/>
  <c r="AN38" i="6" s="1"/>
  <c r="BV12" i="1"/>
  <c r="CA12" i="1" s="1"/>
  <c r="AZ12" i="1"/>
  <c r="CM118" i="1"/>
  <c r="CM166" i="1" s="1"/>
  <c r="CK38" i="1"/>
  <c r="CK86" i="1" s="1"/>
  <c r="CK108" i="1"/>
  <c r="CK156" i="1" s="1"/>
  <c r="CK33" i="1"/>
  <c r="CK32" i="1"/>
  <c r="CK80" i="1" s="1"/>
  <c r="CM42" i="1"/>
  <c r="CM90" i="1" s="1"/>
  <c r="CM37" i="1"/>
  <c r="CK35" i="1"/>
  <c r="CL31" i="1"/>
  <c r="CL79" i="1" s="1"/>
  <c r="CL109" i="1"/>
  <c r="CL157" i="1" s="1"/>
  <c r="CJ33" i="1"/>
  <c r="CJ104" i="1"/>
  <c r="CJ152" i="1" s="1"/>
  <c r="CL113" i="1"/>
  <c r="CL161" i="1" s="1"/>
  <c r="K19" i="5"/>
  <c r="S15" i="6" s="1"/>
  <c r="S41" i="6" s="1"/>
  <c r="CN109" i="1"/>
  <c r="CN157" i="1" s="1"/>
  <c r="CQ157" i="1" s="1"/>
  <c r="AZ33" i="1"/>
  <c r="CJ35" i="1"/>
  <c r="CJ83" i="1" s="1"/>
  <c r="CL32" i="1"/>
  <c r="CL80" i="1" s="1"/>
  <c r="CK31" i="1"/>
  <c r="CK79" i="1" s="1"/>
  <c r="AN51" i="6"/>
  <c r="CK37" i="1"/>
  <c r="CK106" i="1"/>
  <c r="CK154" i="1" s="1"/>
  <c r="AU239" i="1"/>
  <c r="AZ239" i="1" s="1"/>
  <c r="CL107" i="1"/>
  <c r="CL155" i="1" s="1"/>
  <c r="AB57" i="6"/>
  <c r="O58" i="8"/>
  <c r="AH35" i="8"/>
  <c r="AE35" i="8" s="1"/>
  <c r="AB27" i="6"/>
  <c r="AB53" i="6" s="1"/>
  <c r="AH34" i="8"/>
  <c r="AB26" i="6"/>
  <c r="AH31" i="8"/>
  <c r="AB23" i="6"/>
  <c r="AB49" i="6" s="1"/>
  <c r="AG49" i="6"/>
  <c r="AU23" i="6"/>
  <c r="AT50" i="6" s="1"/>
  <c r="AG35" i="6"/>
  <c r="U17" i="8"/>
  <c r="N17" i="8" s="1"/>
  <c r="AT54" i="5"/>
  <c r="AS54" i="5"/>
  <c r="U54" i="5"/>
  <c r="AU54" i="5" s="1"/>
  <c r="Q11" i="9"/>
  <c r="G41" i="9" s="1"/>
  <c r="I71" i="9" s="1"/>
  <c r="B16" i="8"/>
  <c r="AP53" i="5"/>
  <c r="AI53" i="5"/>
  <c r="DQ15" i="5"/>
  <c r="X18" i="2"/>
  <c r="Y49" i="6"/>
  <c r="W48" i="6"/>
  <c r="AT22" i="6"/>
  <c r="AS49" i="6" s="1"/>
  <c r="D8" i="8"/>
  <c r="AR45" i="5"/>
  <c r="AA67" i="5"/>
  <c r="Z67" i="5"/>
  <c r="Y54" i="6"/>
  <c r="AB1" i="6"/>
  <c r="K118" i="5"/>
  <c r="X64" i="5"/>
  <c r="J64" i="5"/>
  <c r="CQ31" i="5"/>
  <c r="CN31" i="5"/>
  <c r="CO31" i="5" s="1"/>
  <c r="B31" i="5"/>
  <c r="J63" i="5"/>
  <c r="CQ30" i="5"/>
  <c r="C30" i="5"/>
  <c r="AF30" i="5"/>
  <c r="A30" i="5"/>
  <c r="D28" i="5"/>
  <c r="CN30" i="5"/>
  <c r="CO30" i="5" s="1"/>
  <c r="AH27" i="8"/>
  <c r="AE27" i="8" s="1"/>
  <c r="AB19" i="6"/>
  <c r="AB45" i="6" s="1"/>
  <c r="W55" i="5"/>
  <c r="X55" i="5" s="1"/>
  <c r="CF22" i="5"/>
  <c r="DR15" i="5"/>
  <c r="E30" i="9"/>
  <c r="Q59" i="8"/>
  <c r="AG54" i="6"/>
  <c r="AG40" i="6"/>
  <c r="AU28" i="6"/>
  <c r="AT55" i="6" s="1"/>
  <c r="CF31" i="5"/>
  <c r="A31" i="5"/>
  <c r="Z53" i="5"/>
  <c r="AA53" i="5"/>
  <c r="U7" i="8"/>
  <c r="N7" i="8" s="1"/>
  <c r="AT44" i="5"/>
  <c r="AW44" i="5" s="1"/>
  <c r="D42" i="6" s="1"/>
  <c r="AS44" i="5"/>
  <c r="U44" i="5"/>
  <c r="AU44" i="5" s="1"/>
  <c r="BA44" i="5" s="1"/>
  <c r="D68" i="9"/>
  <c r="B71" i="8"/>
  <c r="J7" i="8"/>
  <c r="CQ10" i="5"/>
  <c r="J43" i="5"/>
  <c r="AD43" i="5" s="1"/>
  <c r="I43" i="5"/>
  <c r="AF10" i="5"/>
  <c r="N43" i="5" s="1"/>
  <c r="C10" i="5"/>
  <c r="CN10" i="5"/>
  <c r="CO10" i="5" s="1"/>
  <c r="M45" i="5"/>
  <c r="O45" i="5" s="1"/>
  <c r="AO12" i="5"/>
  <c r="G91" i="9"/>
  <c r="E94" i="8"/>
  <c r="AJ48" i="6"/>
  <c r="M25" i="5"/>
  <c r="AZ124" i="1"/>
  <c r="M21" i="5"/>
  <c r="AZ120" i="1"/>
  <c r="D12" i="9"/>
  <c r="M41" i="8"/>
  <c r="W11" i="8"/>
  <c r="AU66" i="5"/>
  <c r="W66" i="5"/>
  <c r="T65" i="5"/>
  <c r="AW32" i="5"/>
  <c r="AA63" i="5"/>
  <c r="E82" i="9"/>
  <c r="C85" i="8"/>
  <c r="E78" i="9"/>
  <c r="C81" i="8"/>
  <c r="G15" i="9"/>
  <c r="E45" i="9" s="1"/>
  <c r="P44" i="8"/>
  <c r="E71" i="9"/>
  <c r="C74" i="8"/>
  <c r="AU67" i="5"/>
  <c r="BA67" i="5" s="1"/>
  <c r="W67" i="5"/>
  <c r="U19" i="8"/>
  <c r="W35" i="6"/>
  <c r="AT9" i="6"/>
  <c r="AS36" i="6" s="1"/>
  <c r="W55" i="6"/>
  <c r="AT29" i="6"/>
  <c r="AQ59" i="6" s="1"/>
  <c r="CN67" i="1"/>
  <c r="CA193" i="1"/>
  <c r="CN59" i="1"/>
  <c r="CA185" i="1"/>
  <c r="Q19" i="5"/>
  <c r="R15" i="6" s="1"/>
  <c r="AZ169" i="1"/>
  <c r="M19" i="5"/>
  <c r="AZ118" i="1"/>
  <c r="P22" i="5"/>
  <c r="U18" i="6" s="1"/>
  <c r="AZ104" i="1"/>
  <c r="BW172" i="1"/>
  <c r="BV172" i="1"/>
  <c r="CA172" i="1" s="1"/>
  <c r="AO20" i="5"/>
  <c r="M53" i="5"/>
  <c r="N27" i="5"/>
  <c r="AZ160" i="1"/>
  <c r="N19" i="5"/>
  <c r="AZ152" i="1"/>
  <c r="AV74" i="1"/>
  <c r="AU74" i="1"/>
  <c r="BR40" i="1"/>
  <c r="BW40" i="1" s="1"/>
  <c r="H10" i="8"/>
  <c r="W10" i="6"/>
  <c r="L47" i="5"/>
  <c r="AN14" i="5"/>
  <c r="AM14" i="5"/>
  <c r="AZ165" i="1"/>
  <c r="Q15" i="5"/>
  <c r="R11" i="6" s="1"/>
  <c r="AY75" i="1"/>
  <c r="BU41" i="1"/>
  <c r="BZ41" i="1" s="1"/>
  <c r="AV65" i="1"/>
  <c r="AU65" i="1"/>
  <c r="BR31" i="1"/>
  <c r="BW31" i="1" s="1"/>
  <c r="AV61" i="1"/>
  <c r="AU61" i="1"/>
  <c r="BR27" i="1"/>
  <c r="BW27" i="1" s="1"/>
  <c r="I22" i="9"/>
  <c r="AG29" i="8"/>
  <c r="AE29" i="8" s="1"/>
  <c r="V21" i="8"/>
  <c r="P21" i="8" s="1"/>
  <c r="O21" i="8"/>
  <c r="L22" i="9" s="1"/>
  <c r="R22" i="9" s="1"/>
  <c r="H21" i="8"/>
  <c r="AH48" i="6"/>
  <c r="V47" i="6"/>
  <c r="T47" i="6"/>
  <c r="U85" i="5"/>
  <c r="Y58" i="5"/>
  <c r="R21" i="8" s="1"/>
  <c r="AC47" i="6"/>
  <c r="R58" i="5"/>
  <c r="M21" i="8" s="1"/>
  <c r="DJ16" i="5"/>
  <c r="AR48" i="6"/>
  <c r="K58" i="5"/>
  <c r="V58" i="5"/>
  <c r="DL16" i="5"/>
  <c r="AY73" i="1"/>
  <c r="BU39" i="1"/>
  <c r="BZ39" i="1" s="1"/>
  <c r="AU70" i="1"/>
  <c r="BR36" i="1"/>
  <c r="BW36" i="1" s="1"/>
  <c r="AV70" i="1"/>
  <c r="AX69" i="1"/>
  <c r="BT35" i="1"/>
  <c r="BY35" i="1" s="1"/>
  <c r="AU66" i="1"/>
  <c r="AV66" i="1"/>
  <c r="BR32" i="1"/>
  <c r="BW32" i="1" s="1"/>
  <c r="AX65" i="1"/>
  <c r="BT31" i="1"/>
  <c r="BY31" i="1" s="1"/>
  <c r="AU62" i="1"/>
  <c r="BR28" i="1"/>
  <c r="BW28" i="1" s="1"/>
  <c r="AV62" i="1"/>
  <c r="AN16" i="6"/>
  <c r="AM43" i="6" s="1"/>
  <c r="AZ51" i="1"/>
  <c r="BW166" i="1"/>
  <c r="BT163" i="1"/>
  <c r="BL180" i="1"/>
  <c r="BT180" i="1" s="1"/>
  <c r="CK88" i="1"/>
  <c r="CL85" i="1"/>
  <c r="CK81" i="1"/>
  <c r="CK83" i="1"/>
  <c r="H11" i="8"/>
  <c r="W11" i="6"/>
  <c r="AN15" i="5"/>
  <c r="AM15" i="5"/>
  <c r="L48" i="5"/>
  <c r="AU212" i="1"/>
  <c r="AZ212" i="1" s="1"/>
  <c r="Q23" i="5"/>
  <c r="R19" i="6" s="1"/>
  <c r="R45" i="6" s="1"/>
  <c r="AZ173" i="1"/>
  <c r="N23" i="5"/>
  <c r="AZ156" i="1"/>
  <c r="AW67" i="1"/>
  <c r="BS33" i="1"/>
  <c r="BX33" i="1" s="1"/>
  <c r="BU175" i="1"/>
  <c r="BZ175" i="1" s="1"/>
  <c r="CM91" i="1"/>
  <c r="CL44" i="1"/>
  <c r="CL92" i="1" s="1"/>
  <c r="B30" i="8"/>
  <c r="J30" i="8" s="1"/>
  <c r="AP67" i="5"/>
  <c r="AI67" i="5"/>
  <c r="AE67" i="5"/>
  <c r="N29" i="6"/>
  <c r="W56" i="6"/>
  <c r="O56" i="6" s="1"/>
  <c r="O28" i="6"/>
  <c r="O29" i="6"/>
  <c r="G89" i="9"/>
  <c r="E92" i="8"/>
  <c r="AU235" i="1"/>
  <c r="AZ235" i="1" s="1"/>
  <c r="AY67" i="1"/>
  <c r="BU33" i="1"/>
  <c r="BZ33" i="1" s="1"/>
  <c r="CL40" i="1"/>
  <c r="CL88" i="1" s="1"/>
  <c r="CM81" i="1"/>
  <c r="K25" i="5"/>
  <c r="S21" i="6" s="1"/>
  <c r="S47" i="6" s="1"/>
  <c r="AZ39" i="1"/>
  <c r="CM32" i="1"/>
  <c r="K13" i="5"/>
  <c r="S9" i="6" s="1"/>
  <c r="AZ27" i="1"/>
  <c r="CJ41" i="1"/>
  <c r="CJ89" i="1" s="1"/>
  <c r="CL106" i="1"/>
  <c r="CL154" i="1" s="1"/>
  <c r="K14" i="5"/>
  <c r="S10" i="6" s="1"/>
  <c r="S36" i="6" s="1"/>
  <c r="AZ28" i="1"/>
  <c r="CM38" i="1"/>
  <c r="CM86" i="1" s="1"/>
  <c r="K16" i="5"/>
  <c r="S12" i="6" s="1"/>
  <c r="S38" i="6" s="1"/>
  <c r="AZ30" i="1"/>
  <c r="CN106" i="1"/>
  <c r="CN154" i="1" s="1"/>
  <c r="CL105" i="1"/>
  <c r="CL153" i="1" s="1"/>
  <c r="CM31" i="1"/>
  <c r="CM79" i="1" s="1"/>
  <c r="A28" i="8"/>
  <c r="A91" i="8"/>
  <c r="F31" i="9"/>
  <c r="O60" i="8"/>
  <c r="AH37" i="8"/>
  <c r="AB29" i="6"/>
  <c r="AB55" i="6" s="1"/>
  <c r="M27" i="8"/>
  <c r="I118" i="5"/>
  <c r="AT71" i="5"/>
  <c r="AA61" i="5"/>
  <c r="K22" i="9"/>
  <c r="AU21" i="6"/>
  <c r="AT48" i="6" s="1"/>
  <c r="AG47" i="6"/>
  <c r="AG33" i="6"/>
  <c r="W46" i="6"/>
  <c r="AT20" i="6"/>
  <c r="AS47" i="6" s="1"/>
  <c r="P48" i="8"/>
  <c r="AQ48" i="6"/>
  <c r="AG38" i="6"/>
  <c r="AU26" i="6"/>
  <c r="AT53" i="6" s="1"/>
  <c r="AB50" i="6"/>
  <c r="AU24" i="6"/>
  <c r="AT51" i="6" s="1"/>
  <c r="AG50" i="6"/>
  <c r="AG36" i="6"/>
  <c r="B23" i="8"/>
  <c r="F58" i="5"/>
  <c r="AT26" i="6"/>
  <c r="AS53" i="6" s="1"/>
  <c r="W52" i="6"/>
  <c r="J66" i="5"/>
  <c r="F37" i="5"/>
  <c r="G37" i="5" s="1"/>
  <c r="CN33" i="5"/>
  <c r="CO33" i="5" s="1"/>
  <c r="M64" i="5"/>
  <c r="AO31" i="5"/>
  <c r="Y53" i="6"/>
  <c r="U18" i="8"/>
  <c r="N18" i="8" s="1"/>
  <c r="AT55" i="5"/>
  <c r="EE27" i="5"/>
  <c r="J58" i="5"/>
  <c r="CF21" i="5"/>
  <c r="AV213" i="1"/>
  <c r="AU213" i="1"/>
  <c r="AZ213" i="1" s="1"/>
  <c r="Q17" i="5"/>
  <c r="R13" i="6" s="1"/>
  <c r="AZ167" i="1"/>
  <c r="M28" i="5"/>
  <c r="AZ127" i="1"/>
  <c r="M20" i="5"/>
  <c r="AZ119" i="1"/>
  <c r="R45" i="8"/>
  <c r="AJ23" i="8"/>
  <c r="AA15" i="8" s="1"/>
  <c r="G80" i="9"/>
  <c r="G83" i="8"/>
  <c r="U16" i="8"/>
  <c r="AW13" i="5"/>
  <c r="T46" i="5"/>
  <c r="F90" i="9"/>
  <c r="D93" i="8"/>
  <c r="Q13" i="5"/>
  <c r="AZ163" i="1"/>
  <c r="AV153" i="1"/>
  <c r="AU153" i="1"/>
  <c r="BS40" i="1"/>
  <c r="BX40" i="1" s="1"/>
  <c r="AW74" i="1"/>
  <c r="BU177" i="1"/>
  <c r="BZ177" i="1" s="1"/>
  <c r="DS18" i="5"/>
  <c r="DT17" i="5" s="1"/>
  <c r="DV18" i="5"/>
  <c r="DR18" i="5"/>
  <c r="AT64" i="5"/>
  <c r="B27" i="8"/>
  <c r="AI64" i="5"/>
  <c r="AE64" i="5"/>
  <c r="AP64" i="5"/>
  <c r="F118" i="5"/>
  <c r="J59" i="5"/>
  <c r="CN26" i="5"/>
  <c r="CO26" i="5" s="1"/>
  <c r="CQ26" i="5"/>
  <c r="B26" i="5"/>
  <c r="B34" i="5" s="1"/>
  <c r="A26" i="5"/>
  <c r="AF26" i="5"/>
  <c r="N59" i="5" s="1"/>
  <c r="M48" i="8"/>
  <c r="W45" i="5"/>
  <c r="X45" i="5" s="1"/>
  <c r="AD45" i="5" s="1"/>
  <c r="CF12" i="5"/>
  <c r="W42" i="6"/>
  <c r="AT16" i="6"/>
  <c r="AS43" i="6" s="1"/>
  <c r="AV157" i="1"/>
  <c r="AU157" i="1"/>
  <c r="CN114" i="1" s="1"/>
  <c r="CN162" i="1" s="1"/>
  <c r="CQ162" i="1" s="1"/>
  <c r="M18" i="5"/>
  <c r="AZ117" i="1"/>
  <c r="AW72" i="1"/>
  <c r="BS38" i="1"/>
  <c r="BX38" i="1" s="1"/>
  <c r="BW177" i="1"/>
  <c r="BV177" i="1"/>
  <c r="CA177" i="1" s="1"/>
  <c r="AO46" i="5"/>
  <c r="AU198" i="1"/>
  <c r="AZ198" i="1" s="1"/>
  <c r="AV198" i="1"/>
  <c r="CA195" i="1"/>
  <c r="CN69" i="1"/>
  <c r="CA187" i="1"/>
  <c r="CN61" i="1"/>
  <c r="AV83" i="1"/>
  <c r="CJ36" i="1" s="1"/>
  <c r="CJ84" i="1" s="1"/>
  <c r="AU83" i="1"/>
  <c r="AZ83" i="1" s="1"/>
  <c r="AY74" i="1"/>
  <c r="BU40" i="1"/>
  <c r="BZ40" i="1" s="1"/>
  <c r="AX64" i="1"/>
  <c r="BT30" i="1"/>
  <c r="BY30" i="1" s="1"/>
  <c r="AA43" i="5"/>
  <c r="Z43" i="5"/>
  <c r="AX75" i="1"/>
  <c r="BT41" i="1"/>
  <c r="BY41" i="1" s="1"/>
  <c r="AU73" i="1"/>
  <c r="AW68" i="1"/>
  <c r="BS34" i="1"/>
  <c r="BX34" i="1" s="1"/>
  <c r="AN19" i="6"/>
  <c r="AM46" i="6" s="1"/>
  <c r="AZ54" i="1"/>
  <c r="CK41" i="1"/>
  <c r="CK89" i="1" s="1"/>
  <c r="BW167" i="1"/>
  <c r="CM80" i="1"/>
  <c r="CK85" i="1"/>
  <c r="CM46" i="1"/>
  <c r="DR14" i="5"/>
  <c r="DV14" i="5"/>
  <c r="DS14" i="5"/>
  <c r="DT18" i="5" s="1"/>
  <c r="AW69" i="1"/>
  <c r="BS35" i="1"/>
  <c r="BX35" i="1" s="1"/>
  <c r="AY64" i="1"/>
  <c r="BU30" i="1"/>
  <c r="BZ30" i="1" s="1"/>
  <c r="AM51" i="6"/>
  <c r="AN22" i="6"/>
  <c r="AM49" i="6" s="1"/>
  <c r="AZ57" i="1"/>
  <c r="AO23" i="6"/>
  <c r="AN50" i="6" s="1"/>
  <c r="AZ24" i="1"/>
  <c r="BV24" i="1"/>
  <c r="CA24" i="1" s="1"/>
  <c r="CL93" i="1"/>
  <c r="AO10" i="6"/>
  <c r="AN37" i="6" s="1"/>
  <c r="AZ11" i="1"/>
  <c r="BV11" i="1"/>
  <c r="CA11" i="1" s="1"/>
  <c r="AU234" i="1"/>
  <c r="AZ234" i="1" s="1"/>
  <c r="CL116" i="1"/>
  <c r="CL164" i="1" s="1"/>
  <c r="AO21" i="6"/>
  <c r="AN48" i="6" s="1"/>
  <c r="BV22" i="1"/>
  <c r="CA22" i="1" s="1"/>
  <c r="AZ22" i="1"/>
  <c r="CL82" i="1"/>
  <c r="D18" i="9"/>
  <c r="M47" i="8"/>
  <c r="F91" i="9"/>
  <c r="D94" i="8"/>
  <c r="W39" i="6"/>
  <c r="AT13" i="6"/>
  <c r="AS40" i="6" s="1"/>
  <c r="CM113" i="1"/>
  <c r="CM161" i="1" s="1"/>
  <c r="AY37" i="1"/>
  <c r="CM41" i="1" s="1"/>
  <c r="BT170" i="1"/>
  <c r="BY170" i="1" s="1"/>
  <c r="H14" i="8"/>
  <c r="W14" i="6"/>
  <c r="AN18" i="5"/>
  <c r="L51" i="5"/>
  <c r="AM18" i="5"/>
  <c r="AU231" i="1"/>
  <c r="AZ231" i="1" s="1"/>
  <c r="AU148" i="1"/>
  <c r="CM40" i="1"/>
  <c r="CL37" i="1"/>
  <c r="CJ32" i="1"/>
  <c r="CL41" i="1"/>
  <c r="CL89" i="1" s="1"/>
  <c r="K17" i="5"/>
  <c r="S13" i="6" s="1"/>
  <c r="S39" i="6" s="1"/>
  <c r="CN107" i="1"/>
  <c r="CN155" i="1" s="1"/>
  <c r="CQ155" i="1" s="1"/>
  <c r="AZ31" i="1"/>
  <c r="CN35" i="1" s="1"/>
  <c r="CM103" i="1"/>
  <c r="CM151" i="1" s="1"/>
  <c r="CK34" i="1"/>
  <c r="CK82" i="1" s="1"/>
  <c r="AP51" i="6"/>
  <c r="AO48" i="6"/>
  <c r="N24" i="6"/>
  <c r="AU48" i="6"/>
  <c r="D31" i="9"/>
  <c r="M60" i="8"/>
  <c r="F88" i="9"/>
  <c r="D91" i="8"/>
  <c r="M59" i="5"/>
  <c r="AO26" i="5"/>
  <c r="W47" i="6"/>
  <c r="AT21" i="6"/>
  <c r="AS48" i="6" s="1"/>
  <c r="AG46" i="6"/>
  <c r="AU20" i="6"/>
  <c r="AT47" i="6" s="1"/>
  <c r="B19" i="5"/>
  <c r="AJ18" i="8"/>
  <c r="AK18" i="8" s="1"/>
  <c r="G84" i="9"/>
  <c r="E87" i="8"/>
  <c r="Y47" i="6"/>
  <c r="G18" i="9"/>
  <c r="P47" i="8"/>
  <c r="E31" i="9"/>
  <c r="Q60" i="8"/>
  <c r="CH37" i="5"/>
  <c r="P29" i="9"/>
  <c r="K59" i="9" s="1"/>
  <c r="D29" i="9"/>
  <c r="M58" i="8"/>
  <c r="Y52" i="6"/>
  <c r="AG34" i="6"/>
  <c r="AG48" i="6"/>
  <c r="AU22" i="6"/>
  <c r="AT49" i="6" s="1"/>
  <c r="J6" i="8"/>
  <c r="AJ32" i="6"/>
  <c r="AW47" i="5"/>
  <c r="D45" i="6" s="1"/>
  <c r="C5" i="8"/>
  <c r="H38" i="5"/>
  <c r="E88" i="9"/>
  <c r="C91" i="8"/>
  <c r="D31" i="5"/>
  <c r="W58" i="5"/>
  <c r="X58" i="5" s="1"/>
  <c r="CF19" i="5"/>
  <c r="E75" i="9"/>
  <c r="C78" i="8"/>
  <c r="G12" i="9"/>
  <c r="E42" i="9" s="1"/>
  <c r="P41" i="8"/>
  <c r="H7" i="9"/>
  <c r="N36" i="8"/>
  <c r="AJ14" i="8" s="1"/>
  <c r="G88" i="9"/>
  <c r="E91" i="8"/>
  <c r="D13" i="9"/>
  <c r="M42" i="8"/>
  <c r="W12" i="8"/>
  <c r="E91" i="9"/>
  <c r="C94" i="8"/>
  <c r="C33" i="5"/>
  <c r="J65" i="5"/>
  <c r="CN32" i="5"/>
  <c r="CO32" i="5" s="1"/>
  <c r="F36" i="5"/>
  <c r="G36" i="5" s="1"/>
  <c r="CQ32" i="5"/>
  <c r="DQ14" i="5"/>
  <c r="X17" i="2"/>
  <c r="N58" i="5"/>
  <c r="AA57" i="5"/>
  <c r="E80" i="9"/>
  <c r="C83" i="8"/>
  <c r="CN20" i="5"/>
  <c r="CO20" i="5" s="1"/>
  <c r="CQ20" i="5"/>
  <c r="AF20" i="5"/>
  <c r="N53" i="5" s="1"/>
  <c r="C20" i="5"/>
  <c r="J53" i="5"/>
  <c r="DV21" i="5"/>
  <c r="AG45" i="5"/>
  <c r="AO45" i="5"/>
  <c r="W44" i="5"/>
  <c r="X44" i="5" s="1"/>
  <c r="AD44" i="5" s="1"/>
  <c r="CF11" i="5"/>
  <c r="B10" i="5"/>
  <c r="W43" i="6"/>
  <c r="AT17" i="6"/>
  <c r="AS44" i="6" s="1"/>
  <c r="W33" i="6"/>
  <c r="AT7" i="6"/>
  <c r="AS34" i="6" s="1"/>
  <c r="L65" i="6"/>
  <c r="Q65" i="6"/>
  <c r="M26" i="5"/>
  <c r="AZ125" i="1"/>
  <c r="M22" i="5"/>
  <c r="L22" i="5" s="1"/>
  <c r="X18" i="6" s="1"/>
  <c r="X44" i="6" s="1"/>
  <c r="AZ121" i="1"/>
  <c r="M16" i="5"/>
  <c r="AZ115" i="1"/>
  <c r="W6" i="8"/>
  <c r="U29" i="8"/>
  <c r="N29" i="8" s="1"/>
  <c r="AU73" i="5"/>
  <c r="U66" i="5"/>
  <c r="AT66" i="5"/>
  <c r="AF31" i="5"/>
  <c r="N64" i="5" s="1"/>
  <c r="H118" i="5" s="1"/>
  <c r="AA58" i="5"/>
  <c r="Z58" i="5"/>
  <c r="I20" i="9"/>
  <c r="AG27" i="8"/>
  <c r="V19" i="8"/>
  <c r="P19" i="8" s="1"/>
  <c r="O19" i="8"/>
  <c r="L20" i="9" s="1"/>
  <c r="R20" i="9" s="1"/>
  <c r="H19" i="8"/>
  <c r="T45" i="6"/>
  <c r="AR46" i="6"/>
  <c r="V45" i="6"/>
  <c r="U83" i="5"/>
  <c r="Q19" i="8"/>
  <c r="AH46" i="6"/>
  <c r="V56" i="5"/>
  <c r="L56" i="5"/>
  <c r="DL14" i="5"/>
  <c r="R56" i="5"/>
  <c r="M19" i="8" s="1"/>
  <c r="F56" i="5"/>
  <c r="DJ14" i="5"/>
  <c r="J54" i="5"/>
  <c r="AF21" i="5"/>
  <c r="N54" i="5" s="1"/>
  <c r="C21" i="5"/>
  <c r="CN21" i="5"/>
  <c r="CO21" i="5" s="1"/>
  <c r="CQ21" i="5"/>
  <c r="AG24" i="8"/>
  <c r="AE24" i="8" s="1"/>
  <c r="V16" i="8"/>
  <c r="P16" i="8" s="1"/>
  <c r="O16" i="8"/>
  <c r="L17" i="9" s="1"/>
  <c r="R17" i="9" s="1"/>
  <c r="H16" i="8"/>
  <c r="AR43" i="6"/>
  <c r="V42" i="6"/>
  <c r="U80" i="5"/>
  <c r="R53" i="5"/>
  <c r="M16" i="8" s="1"/>
  <c r="AO43" i="6"/>
  <c r="V53" i="5"/>
  <c r="L53" i="5"/>
  <c r="ED20" i="5"/>
  <c r="EE20" i="5" s="1"/>
  <c r="DJ11" i="5"/>
  <c r="T42" i="6"/>
  <c r="DL11" i="5"/>
  <c r="Q16" i="8"/>
  <c r="D73" i="9"/>
  <c r="B76" i="8"/>
  <c r="B14" i="5"/>
  <c r="AE46" i="5"/>
  <c r="AP46" i="5"/>
  <c r="AI46" i="5"/>
  <c r="W42" i="5"/>
  <c r="X42" i="5" s="1"/>
  <c r="AD42" i="5" s="1"/>
  <c r="CF9" i="5"/>
  <c r="J30" i="9"/>
  <c r="F29" i="8"/>
  <c r="AG37" i="8"/>
  <c r="AJ55" i="6"/>
  <c r="T55" i="6"/>
  <c r="AP59" i="6"/>
  <c r="AL59" i="6"/>
  <c r="V55" i="6"/>
  <c r="L66" i="5"/>
  <c r="AR66" i="5" s="1"/>
  <c r="AS59" i="6"/>
  <c r="R55" i="6"/>
  <c r="U93" i="5"/>
  <c r="V93" i="5" s="1"/>
  <c r="AO59" i="6"/>
  <c r="R71" i="5"/>
  <c r="DJ24" i="5"/>
  <c r="Z55" i="6"/>
  <c r="AK59" i="6"/>
  <c r="DL24" i="5"/>
  <c r="CZ39" i="5"/>
  <c r="W56" i="5"/>
  <c r="X56" i="5" s="1"/>
  <c r="CF23" i="5"/>
  <c r="W45" i="6"/>
  <c r="AT19" i="6"/>
  <c r="AS46" i="6" s="1"/>
  <c r="CQ17" i="5"/>
  <c r="J50" i="5"/>
  <c r="AD50" i="5" s="1"/>
  <c r="I50" i="5"/>
  <c r="B17" i="5"/>
  <c r="CN17" i="5"/>
  <c r="CO17" i="5" s="1"/>
  <c r="D9" i="8"/>
  <c r="AR46" i="5"/>
  <c r="M66" i="5"/>
  <c r="AO33" i="5"/>
  <c r="L55" i="5"/>
  <c r="W18" i="6"/>
  <c r="AN22" i="5"/>
  <c r="AM22" i="5"/>
  <c r="Q24" i="5"/>
  <c r="R20" i="6" s="1"/>
  <c r="AZ174" i="1"/>
  <c r="L12" i="5"/>
  <c r="X8" i="6" s="1"/>
  <c r="X34" i="6" s="1"/>
  <c r="P21" i="5"/>
  <c r="U17" i="6" s="1"/>
  <c r="AZ103" i="1"/>
  <c r="BU179" i="1"/>
  <c r="BZ179" i="1" s="1"/>
  <c r="BR171" i="1"/>
  <c r="AD67" i="5"/>
  <c r="I67" i="5"/>
  <c r="AG55" i="6"/>
  <c r="AG41" i="6"/>
  <c r="AU29" i="6"/>
  <c r="AR59" i="6" s="1"/>
  <c r="Y50" i="6"/>
  <c r="AA49" i="5"/>
  <c r="Z49" i="5"/>
  <c r="AG49" i="5"/>
  <c r="AF49" i="5"/>
  <c r="AO49" i="5"/>
  <c r="W32" i="6"/>
  <c r="AT6" i="6"/>
  <c r="AS33" i="6" s="1"/>
  <c r="AV238" i="1"/>
  <c r="AU238" i="1"/>
  <c r="AZ238" i="1" s="1"/>
  <c r="Q25" i="5"/>
  <c r="R21" i="6" s="1"/>
  <c r="R47" i="6" s="1"/>
  <c r="AZ175" i="1"/>
  <c r="AV146" i="1"/>
  <c r="AU146" i="1"/>
  <c r="AV75" i="1"/>
  <c r="AU75" i="1"/>
  <c r="BR41" i="1"/>
  <c r="BW41" i="1" s="1"/>
  <c r="AN9" i="6"/>
  <c r="AM36" i="6" s="1"/>
  <c r="AZ44" i="1"/>
  <c r="M58" i="5"/>
  <c r="W54" i="6"/>
  <c r="AT28" i="6"/>
  <c r="AS55" i="6" s="1"/>
  <c r="AV244" i="1"/>
  <c r="AU244" i="1"/>
  <c r="AZ244" i="1" s="1"/>
  <c r="AV236" i="1"/>
  <c r="AU236" i="1"/>
  <c r="AZ236" i="1" s="1"/>
  <c r="CA196" i="1"/>
  <c r="CN70" i="1"/>
  <c r="CA191" i="1"/>
  <c r="CN65" i="1"/>
  <c r="CA183" i="1"/>
  <c r="CN57" i="1"/>
  <c r="AU158" i="1"/>
  <c r="P25" i="5"/>
  <c r="U21" i="6" s="1"/>
  <c r="AZ107" i="1"/>
  <c r="AQ90" i="1"/>
  <c r="AV85" i="1"/>
  <c r="CJ38" i="1" s="1"/>
  <c r="CJ86" i="1" s="1"/>
  <c r="AU85" i="1"/>
  <c r="AZ85" i="1" s="1"/>
  <c r="AV81" i="1"/>
  <c r="CJ34" i="1" s="1"/>
  <c r="CJ82" i="1" s="1"/>
  <c r="AU81" i="1"/>
  <c r="AZ81" i="1" s="1"/>
  <c r="AY76" i="1"/>
  <c r="BU42" i="1"/>
  <c r="BZ42" i="1" s="1"/>
  <c r="BT36" i="1"/>
  <c r="BY36" i="1" s="1"/>
  <c r="AX70" i="1"/>
  <c r="AX66" i="1"/>
  <c r="BT32" i="1"/>
  <c r="BY32" i="1" s="1"/>
  <c r="AX62" i="1"/>
  <c r="BT28" i="1"/>
  <c r="BY28" i="1" s="1"/>
  <c r="BS178" i="1"/>
  <c r="BX178" i="1" s="1"/>
  <c r="ED25" i="5"/>
  <c r="J55" i="5"/>
  <c r="CN22" i="5"/>
  <c r="CO22" i="5" s="1"/>
  <c r="B22" i="5"/>
  <c r="CQ22" i="5"/>
  <c r="B18" i="8"/>
  <c r="AP55" i="5"/>
  <c r="AI55" i="5"/>
  <c r="W38" i="6"/>
  <c r="AT12" i="6"/>
  <c r="AS39" i="6" s="1"/>
  <c r="P14" i="5"/>
  <c r="U10" i="6" s="1"/>
  <c r="AZ96" i="1"/>
  <c r="AX76" i="1"/>
  <c r="BT42" i="1"/>
  <c r="BY42" i="1" s="1"/>
  <c r="AV91" i="1"/>
  <c r="CJ44" i="1" s="1"/>
  <c r="CJ92" i="1" s="1"/>
  <c r="AU91" i="1"/>
  <c r="AZ91" i="1" s="1"/>
  <c r="AW70" i="1"/>
  <c r="BS36" i="1"/>
  <c r="BX36" i="1" s="1"/>
  <c r="AW66" i="1"/>
  <c r="BS32" i="1"/>
  <c r="BX32" i="1" s="1"/>
  <c r="AW62" i="1"/>
  <c r="BS28" i="1"/>
  <c r="BX28" i="1" s="1"/>
  <c r="CK117" i="1"/>
  <c r="CK165" i="1" s="1"/>
  <c r="AW41" i="1"/>
  <c r="CK45" i="1" s="1"/>
  <c r="BR176" i="1"/>
  <c r="BS169" i="1"/>
  <c r="BX169" i="1" s="1"/>
  <c r="BR165" i="1"/>
  <c r="R40" i="6"/>
  <c r="BI180" i="1"/>
  <c r="BS180" i="1" s="1"/>
  <c r="BS163" i="1"/>
  <c r="CM85" i="1"/>
  <c r="E38" i="9"/>
  <c r="AA50" i="5"/>
  <c r="Z50" i="5"/>
  <c r="N21" i="5"/>
  <c r="AZ154" i="1"/>
  <c r="U35" i="6"/>
  <c r="AQ9" i="6"/>
  <c r="AP36" i="6" s="1"/>
  <c r="BS176" i="1"/>
  <c r="BX176" i="1" s="1"/>
  <c r="CL94" i="1"/>
  <c r="AY68" i="1"/>
  <c r="BU34" i="1"/>
  <c r="BZ34" i="1" s="1"/>
  <c r="AW65" i="1"/>
  <c r="BS31" i="1"/>
  <c r="BX31" i="1" s="1"/>
  <c r="CL86" i="1"/>
  <c r="CM117" i="1"/>
  <c r="CM165" i="1" s="1"/>
  <c r="CJ42" i="1"/>
  <c r="CJ90" i="1" s="1"/>
  <c r="K22" i="5"/>
  <c r="S18" i="6" s="1"/>
  <c r="S44" i="6" s="1"/>
  <c r="CN112" i="1"/>
  <c r="CN160" i="1" s="1"/>
  <c r="CQ160" i="1" s="1"/>
  <c r="AZ36" i="1"/>
  <c r="BU171" i="1"/>
  <c r="BZ171" i="1" s="1"/>
  <c r="BT169" i="1"/>
  <c r="BY169" i="1" s="1"/>
  <c r="BS168" i="1"/>
  <c r="BX168" i="1" s="1"/>
  <c r="AO15" i="6"/>
  <c r="AN42" i="6" s="1"/>
  <c r="AZ16" i="1"/>
  <c r="BV16" i="1"/>
  <c r="CA16" i="1" s="1"/>
  <c r="CM87" i="1"/>
  <c r="AU161" i="1"/>
  <c r="CK42" i="1"/>
  <c r="K20" i="5"/>
  <c r="S16" i="6" s="1"/>
  <c r="S42" i="6" s="1"/>
  <c r="AZ34" i="1"/>
  <c r="CJ80" i="1"/>
  <c r="B17" i="8"/>
  <c r="AI54" i="5"/>
  <c r="AE54" i="5"/>
  <c r="AP54" i="5"/>
  <c r="AW54" i="5" s="1"/>
  <c r="D52" i="6" s="1"/>
  <c r="D17" i="8"/>
  <c r="AR54" i="5"/>
  <c r="M67" i="5"/>
  <c r="AO34" i="5"/>
  <c r="E29" i="9"/>
  <c r="Q58" i="8"/>
  <c r="AJ54" i="6"/>
  <c r="N29" i="9"/>
  <c r="S58" i="8"/>
  <c r="P16" i="5"/>
  <c r="U12" i="6" s="1"/>
  <c r="AZ98" i="1"/>
  <c r="AV78" i="1"/>
  <c r="CJ31" i="1" s="1"/>
  <c r="CJ79" i="1" s="1"/>
  <c r="AU78" i="1"/>
  <c r="AZ78" i="1" s="1"/>
  <c r="AN23" i="6"/>
  <c r="AM50" i="6" s="1"/>
  <c r="AZ58" i="1"/>
  <c r="AN11" i="6"/>
  <c r="AM38" i="6" s="1"/>
  <c r="AZ46" i="1"/>
  <c r="CK118" i="1"/>
  <c r="CK166" i="1" s="1"/>
  <c r="AW42" i="1"/>
  <c r="CK46" i="1" s="1"/>
  <c r="CK94" i="1" s="1"/>
  <c r="AW40" i="1"/>
  <c r="CK44" i="1" s="1"/>
  <c r="CK92" i="1" s="1"/>
  <c r="CK116" i="1"/>
  <c r="CK164" i="1" s="1"/>
  <c r="CK111" i="1"/>
  <c r="CK159" i="1" s="1"/>
  <c r="AW35" i="1"/>
  <c r="CK39" i="1" s="1"/>
  <c r="CK87" i="1" s="1"/>
  <c r="BU169" i="1"/>
  <c r="BZ169" i="1" s="1"/>
  <c r="BT168" i="1"/>
  <c r="BY168" i="1" s="1"/>
  <c r="CM89" i="1"/>
  <c r="CM84" i="1"/>
  <c r="CK110" i="1"/>
  <c r="CK158" i="1" s="1"/>
  <c r="AU151" i="1"/>
  <c r="AU149" i="1"/>
  <c r="AU147" i="1"/>
  <c r="CN104" i="1" s="1"/>
  <c r="CN152" i="1" s="1"/>
  <c r="CJ46" i="1"/>
  <c r="CJ117" i="1"/>
  <c r="CJ165" i="1" s="1"/>
  <c r="K18" i="5"/>
  <c r="S14" i="6" s="1"/>
  <c r="S40" i="6" s="1"/>
  <c r="AZ32" i="1"/>
  <c r="CK105" i="1"/>
  <c r="CK153" i="1" s="1"/>
  <c r="CK104" i="1"/>
  <c r="CK152" i="1" s="1"/>
  <c r="CM114" i="1"/>
  <c r="CM162" i="1" s="1"/>
  <c r="CM109" i="1"/>
  <c r="CM157" i="1" s="1"/>
  <c r="CK107" i="1"/>
  <c r="CK155" i="1" s="1"/>
  <c r="AU40" i="1"/>
  <c r="AU37" i="1"/>
  <c r="CL34" i="1"/>
  <c r="CJ37" i="1"/>
  <c r="CJ85" i="1" s="1"/>
  <c r="CL33" i="1"/>
  <c r="CL81" i="1" s="1"/>
  <c r="CL104" i="1"/>
  <c r="CL152" i="1" s="1"/>
  <c r="CK103" i="1"/>
  <c r="CK151" i="1" s="1"/>
  <c r="CL115" i="1"/>
  <c r="CL163" i="1" s="1"/>
  <c r="CJ39" i="1"/>
  <c r="CJ87" i="1" s="1"/>
  <c r="CM35" i="1"/>
  <c r="CM83" i="1" s="1"/>
  <c r="CM36" i="1"/>
  <c r="AX107" i="5" l="1"/>
  <c r="AZ68" i="5"/>
  <c r="AY107" i="5" s="1"/>
  <c r="AZ107" i="5" s="1"/>
  <c r="O60" i="5"/>
  <c r="AD68" i="5"/>
  <c r="I68" i="5"/>
  <c r="D30" i="9"/>
  <c r="N51" i="6"/>
  <c r="AI68" i="5"/>
  <c r="AE68" i="5"/>
  <c r="O47" i="8"/>
  <c r="F18" i="9"/>
  <c r="C82" i="8"/>
  <c r="BA54" i="5"/>
  <c r="W17" i="8"/>
  <c r="O67" i="5"/>
  <c r="AH67" i="5" s="1"/>
  <c r="AJ67" i="5" s="1"/>
  <c r="AP60" i="5"/>
  <c r="P22" i="9"/>
  <c r="K52" i="9" s="1"/>
  <c r="EE22" i="5"/>
  <c r="P20" i="9"/>
  <c r="K50" i="9" s="1"/>
  <c r="AV66" i="5"/>
  <c r="F19" i="9"/>
  <c r="E49" i="9" s="1"/>
  <c r="O48" i="8"/>
  <c r="W18" i="8"/>
  <c r="AC1" i="6"/>
  <c r="AP53" i="6"/>
  <c r="AV70" i="5"/>
  <c r="AE66" i="5"/>
  <c r="AB48" i="6"/>
  <c r="AV58" i="5"/>
  <c r="Q21" i="8" s="1"/>
  <c r="W51" i="6"/>
  <c r="AV69" i="5"/>
  <c r="N19" i="8"/>
  <c r="N49" i="8" s="1"/>
  <c r="R36" i="8"/>
  <c r="AS60" i="5"/>
  <c r="C34" i="5"/>
  <c r="E59" i="9"/>
  <c r="EE33" i="5"/>
  <c r="M59" i="8"/>
  <c r="W59" i="5"/>
  <c r="X59" i="5" s="1"/>
  <c r="AD59" i="5" s="1"/>
  <c r="Y1" i="6"/>
  <c r="M61" i="5"/>
  <c r="P30" i="9"/>
  <c r="K60" i="9" s="1"/>
  <c r="AN49" i="6"/>
  <c r="AB46" i="6"/>
  <c r="N57" i="5"/>
  <c r="AV60" i="5"/>
  <c r="AE55" i="5"/>
  <c r="D19" i="9"/>
  <c r="U55" i="5"/>
  <c r="AU55" i="5" s="1"/>
  <c r="BA55" i="5" s="1"/>
  <c r="AE60" i="5"/>
  <c r="G82" i="8"/>
  <c r="AT60" i="5"/>
  <c r="AW60" i="5" s="1"/>
  <c r="D58" i="6" s="1"/>
  <c r="P24" i="9"/>
  <c r="K54" i="9" s="1"/>
  <c r="AW55" i="5"/>
  <c r="D53" i="6" s="1"/>
  <c r="C87" i="8"/>
  <c r="AS55" i="5"/>
  <c r="D87" i="8"/>
  <c r="U60" i="5"/>
  <c r="AU60" i="5" s="1"/>
  <c r="W61" i="5"/>
  <c r="X61" i="5" s="1"/>
  <c r="J61" i="5"/>
  <c r="AD61" i="5" s="1"/>
  <c r="B29" i="8"/>
  <c r="J29" i="8" s="1"/>
  <c r="Z66" i="5"/>
  <c r="I21" i="9"/>
  <c r="H20" i="8"/>
  <c r="Y57" i="5"/>
  <c r="AV57" i="5" s="1"/>
  <c r="V57" i="5"/>
  <c r="J57" i="5"/>
  <c r="F57" i="5"/>
  <c r="K21" i="9"/>
  <c r="AG28" i="8"/>
  <c r="AH47" i="6"/>
  <c r="R57" i="5"/>
  <c r="M20" i="8" s="1"/>
  <c r="DJ15" i="5"/>
  <c r="M57" i="5"/>
  <c r="ED24" i="5"/>
  <c r="H57" i="5"/>
  <c r="E20" i="8" s="1"/>
  <c r="G84" i="8" s="1"/>
  <c r="K57" i="5"/>
  <c r="Q46" i="6"/>
  <c r="AO47" i="6"/>
  <c r="O20" i="8"/>
  <c r="L21" i="9" s="1"/>
  <c r="R21" i="9" s="1"/>
  <c r="U84" i="5"/>
  <c r="V46" i="6"/>
  <c r="DL15" i="5"/>
  <c r="W57" i="5"/>
  <c r="X57" i="5" s="1"/>
  <c r="T57" i="5"/>
  <c r="AQ47" i="6"/>
  <c r="G57" i="5"/>
  <c r="C20" i="8" s="1"/>
  <c r="AA46" i="6"/>
  <c r="L57" i="5"/>
  <c r="V20" i="8"/>
  <c r="P20" i="8" s="1"/>
  <c r="T46" i="6"/>
  <c r="AR47" i="6"/>
  <c r="EC24" i="5"/>
  <c r="AC46" i="6"/>
  <c r="AU47" i="6"/>
  <c r="Y46" i="6"/>
  <c r="EC26" i="5"/>
  <c r="F59" i="5"/>
  <c r="I23" i="9"/>
  <c r="H22" i="8"/>
  <c r="U86" i="5"/>
  <c r="R59" i="5"/>
  <c r="M22" i="8" s="1"/>
  <c r="DJ17" i="5"/>
  <c r="ED26" i="5"/>
  <c r="EE26" i="5" s="1"/>
  <c r="H59" i="5"/>
  <c r="E22" i="8" s="1"/>
  <c r="G86" i="8" s="1"/>
  <c r="K23" i="9"/>
  <c r="AQ49" i="6"/>
  <c r="U48" i="6"/>
  <c r="Q48" i="6"/>
  <c r="L59" i="5"/>
  <c r="AR59" i="5" s="1"/>
  <c r="AA48" i="6"/>
  <c r="AG30" i="8"/>
  <c r="AE30" i="8" s="1"/>
  <c r="AR49" i="6"/>
  <c r="Y59" i="5"/>
  <c r="R22" i="8" s="1"/>
  <c r="O22" i="8"/>
  <c r="L23" i="9" s="1"/>
  <c r="R23" i="9" s="1"/>
  <c r="D22" i="8"/>
  <c r="AU49" i="6"/>
  <c r="AO49" i="6"/>
  <c r="R48" i="6"/>
  <c r="S48" i="6"/>
  <c r="J23" i="9"/>
  <c r="V22" i="8"/>
  <c r="P22" i="8" s="1"/>
  <c r="T48" i="6"/>
  <c r="AC48" i="6"/>
  <c r="V59" i="5"/>
  <c r="DL17" i="5"/>
  <c r="G59" i="5"/>
  <c r="C22" i="8" s="1"/>
  <c r="T59" i="5"/>
  <c r="K59" i="5"/>
  <c r="F22" i="8"/>
  <c r="V48" i="6"/>
  <c r="AH49" i="6"/>
  <c r="X48" i="6"/>
  <c r="AB2" i="6"/>
  <c r="Q7" i="9"/>
  <c r="G37" i="9" s="1"/>
  <c r="I67" i="9" s="1"/>
  <c r="A34" i="5"/>
  <c r="Q29" i="8"/>
  <c r="F30" i="9" s="1"/>
  <c r="BA64" i="5"/>
  <c r="N57" i="6"/>
  <c r="Y51" i="6"/>
  <c r="AB51" i="6"/>
  <c r="N63" i="5"/>
  <c r="AS51" i="6"/>
  <c r="AP52" i="6"/>
  <c r="AI66" i="5"/>
  <c r="M7" i="9"/>
  <c r="AE31" i="8"/>
  <c r="AJ21" i="8"/>
  <c r="AA13" i="8" s="1"/>
  <c r="EE25" i="5"/>
  <c r="J62" i="5"/>
  <c r="I62" i="5" s="1"/>
  <c r="AT58" i="5"/>
  <c r="AW64" i="5"/>
  <c r="D62" i="6" s="1"/>
  <c r="D89" i="6" s="1"/>
  <c r="AG52" i="6"/>
  <c r="AW67" i="5"/>
  <c r="D65" i="6" s="1"/>
  <c r="D92" i="6" s="1"/>
  <c r="AB52" i="6"/>
  <c r="O65" i="6"/>
  <c r="N61" i="5"/>
  <c r="E41" i="9"/>
  <c r="E61" i="9"/>
  <c r="Q16" i="9"/>
  <c r="G46" i="9" s="1"/>
  <c r="J67" i="9"/>
  <c r="Q14" i="9"/>
  <c r="G44" i="9" s="1"/>
  <c r="AA6" i="8"/>
  <c r="AK14" i="8"/>
  <c r="CN116" i="1"/>
  <c r="CN164" i="1" s="1"/>
  <c r="CQ164" i="1" s="1"/>
  <c r="AZ40" i="1"/>
  <c r="CN44" i="1" s="1"/>
  <c r="CN92" i="1" s="1"/>
  <c r="AD55" i="5"/>
  <c r="I55" i="5"/>
  <c r="AZ75" i="1"/>
  <c r="BV41" i="1"/>
  <c r="CA41" i="1" s="1"/>
  <c r="W44" i="6"/>
  <c r="AT18" i="6"/>
  <c r="AS45" i="6" s="1"/>
  <c r="Z42" i="5"/>
  <c r="AA42" i="5"/>
  <c r="F20" i="9"/>
  <c r="O49" i="8"/>
  <c r="AA44" i="5"/>
  <c r="Z44" i="5"/>
  <c r="I65" i="5"/>
  <c r="J84" i="9"/>
  <c r="AO18" i="5"/>
  <c r="M51" i="5"/>
  <c r="O51" i="5" s="1"/>
  <c r="AH51" i="5" s="1"/>
  <c r="AJ51" i="5" s="1"/>
  <c r="AA45" i="5"/>
  <c r="Z45" i="5"/>
  <c r="N16" i="8"/>
  <c r="W16" i="8" s="1"/>
  <c r="S35" i="6"/>
  <c r="D11" i="8"/>
  <c r="AR48" i="5"/>
  <c r="R37" i="6"/>
  <c r="U44" i="6"/>
  <c r="AQ18" i="6"/>
  <c r="AP45" i="6" s="1"/>
  <c r="H20" i="9"/>
  <c r="U28" i="8"/>
  <c r="N28" i="8" s="1"/>
  <c r="AT65" i="5"/>
  <c r="AW65" i="5" s="1"/>
  <c r="D63" i="6" s="1"/>
  <c r="D90" i="6" s="1"/>
  <c r="AS65" i="5"/>
  <c r="AU72" i="5"/>
  <c r="U65" i="5"/>
  <c r="U46" i="6"/>
  <c r="AQ20" i="6"/>
  <c r="AP47" i="6" s="1"/>
  <c r="H6" i="9"/>
  <c r="N35" i="8"/>
  <c r="W5" i="8"/>
  <c r="CN117" i="1"/>
  <c r="CN165" i="1" s="1"/>
  <c r="CQ165" i="1" s="1"/>
  <c r="AZ41" i="1"/>
  <c r="CN45" i="1" s="1"/>
  <c r="N16" i="5"/>
  <c r="AZ149" i="1"/>
  <c r="U38" i="6"/>
  <c r="AQ12" i="6"/>
  <c r="AP39" i="6" s="1"/>
  <c r="AQ21" i="6"/>
  <c r="AP48" i="6" s="1"/>
  <c r="U47" i="6"/>
  <c r="AO67" i="5"/>
  <c r="AG67" i="5"/>
  <c r="AF67" i="5"/>
  <c r="R46" i="6"/>
  <c r="D18" i="8"/>
  <c r="J18" i="8" s="1"/>
  <c r="X18" i="8" s="1"/>
  <c r="AR55" i="5"/>
  <c r="F70" i="9"/>
  <c r="J70" i="9" s="1"/>
  <c r="D73" i="8"/>
  <c r="AA56" i="5"/>
  <c r="Z56" i="5"/>
  <c r="B19" i="8"/>
  <c r="AI56" i="5"/>
  <c r="AE56" i="5"/>
  <c r="AP56" i="5"/>
  <c r="L118" i="5"/>
  <c r="R42" i="8"/>
  <c r="AJ20" i="8"/>
  <c r="AK20" i="8" s="1"/>
  <c r="X6" i="8"/>
  <c r="W40" i="6"/>
  <c r="AT14" i="6"/>
  <c r="AS41" i="6" s="1"/>
  <c r="AT53" i="5"/>
  <c r="R39" i="6"/>
  <c r="AJ39" i="6"/>
  <c r="AA54" i="5"/>
  <c r="Z54" i="5"/>
  <c r="H19" i="9"/>
  <c r="N48" i="8"/>
  <c r="R48" i="8" s="1"/>
  <c r="A92" i="8"/>
  <c r="A29" i="8"/>
  <c r="CN34" i="1"/>
  <c r="CN82" i="1" s="1"/>
  <c r="E48" i="9"/>
  <c r="D91" i="9"/>
  <c r="B94" i="8"/>
  <c r="BV166" i="1"/>
  <c r="CA166" i="1" s="1"/>
  <c r="BV36" i="1"/>
  <c r="CA36" i="1" s="1"/>
  <c r="AZ70" i="1"/>
  <c r="E22" i="9"/>
  <c r="Q51" i="8"/>
  <c r="G22" i="9"/>
  <c r="P51" i="8"/>
  <c r="AZ61" i="1"/>
  <c r="BV27" i="1"/>
  <c r="CA27" i="1" s="1"/>
  <c r="AT10" i="6"/>
  <c r="AS37" i="6" s="1"/>
  <c r="W36" i="6"/>
  <c r="U56" i="5"/>
  <c r="AU56" i="5" s="1"/>
  <c r="BA56" i="5" s="1"/>
  <c r="L21" i="5"/>
  <c r="X17" i="6" s="1"/>
  <c r="X43" i="6" s="1"/>
  <c r="AH45" i="5"/>
  <c r="AJ45" i="5" s="1"/>
  <c r="AG43" i="5"/>
  <c r="AF43" i="5"/>
  <c r="AO43" i="5"/>
  <c r="O43" i="5"/>
  <c r="AH43" i="5" s="1"/>
  <c r="AJ43" i="5" s="1"/>
  <c r="DS21" i="5"/>
  <c r="DR21" i="5"/>
  <c r="N23" i="8"/>
  <c r="H18" i="9"/>
  <c r="M18" i="9" s="1"/>
  <c r="N47" i="8"/>
  <c r="AJ25" i="8" s="1"/>
  <c r="AA17" i="8" s="1"/>
  <c r="CN37" i="1"/>
  <c r="BW179" i="1"/>
  <c r="BV179" i="1"/>
  <c r="U42" i="6"/>
  <c r="AQ16" i="6"/>
  <c r="AP43" i="6" s="1"/>
  <c r="AF44" i="5"/>
  <c r="BW169" i="1"/>
  <c r="BV169" i="1"/>
  <c r="CA169" i="1" s="1"/>
  <c r="BV30" i="1"/>
  <c r="CA30" i="1" s="1"/>
  <c r="AZ64" i="1"/>
  <c r="BV38" i="1"/>
  <c r="CA38" i="1" s="1"/>
  <c r="AZ72" i="1"/>
  <c r="O65" i="5"/>
  <c r="AJ49" i="6"/>
  <c r="G24" i="9"/>
  <c r="P53" i="8"/>
  <c r="BW178" i="1"/>
  <c r="BV178" i="1"/>
  <c r="CA178" i="1" s="1"/>
  <c r="R43" i="6"/>
  <c r="W31" i="6"/>
  <c r="AT5" i="6"/>
  <c r="AS32" i="6" s="1"/>
  <c r="AJ31" i="6"/>
  <c r="M52" i="5"/>
  <c r="AO19" i="5"/>
  <c r="AG53" i="6"/>
  <c r="AJ53" i="6"/>
  <c r="O57" i="8"/>
  <c r="F28" i="9"/>
  <c r="E58" i="9" s="1"/>
  <c r="F73" i="9"/>
  <c r="J73" i="9" s="1"/>
  <c r="D76" i="8"/>
  <c r="F76" i="8" s="1"/>
  <c r="AO47" i="5"/>
  <c r="AG47" i="5"/>
  <c r="AF47" i="5"/>
  <c r="AG48" i="5"/>
  <c r="AF48" i="5"/>
  <c r="AO48" i="5"/>
  <c r="AA47" i="5"/>
  <c r="Z47" i="5"/>
  <c r="F74" i="9"/>
  <c r="J74" i="9" s="1"/>
  <c r="D77" i="8"/>
  <c r="F77" i="8" s="1"/>
  <c r="AT52" i="6"/>
  <c r="R44" i="6"/>
  <c r="N46" i="6" s="1"/>
  <c r="AJ44" i="6"/>
  <c r="AW66" i="5"/>
  <c r="D64" i="6" s="1"/>
  <c r="D91" i="6" s="1"/>
  <c r="Z121" i="6"/>
  <c r="Z122" i="6" s="1"/>
  <c r="Z123" i="6" s="1"/>
  <c r="Z124" i="6" s="1"/>
  <c r="Z125" i="6" s="1"/>
  <c r="Z126" i="6" s="1"/>
  <c r="Z127" i="6" s="1"/>
  <c r="Z128" i="6" s="1"/>
  <c r="Z129" i="6" s="1"/>
  <c r="Z130" i="6" s="1"/>
  <c r="Z131" i="6" s="1"/>
  <c r="Z132" i="6" s="1"/>
  <c r="Z133" i="6" s="1"/>
  <c r="Z134" i="6" s="1"/>
  <c r="Z135" i="6" s="1"/>
  <c r="Z136" i="6" s="1"/>
  <c r="Z137" i="6" s="1"/>
  <c r="Z138" i="6" s="1"/>
  <c r="Z139" i="6" s="1"/>
  <c r="Z140" i="6" s="1"/>
  <c r="Z141" i="6" s="1"/>
  <c r="Z142" i="6" s="1"/>
  <c r="Z143" i="6" s="1"/>
  <c r="Z92" i="6"/>
  <c r="Z93" i="6" s="1"/>
  <c r="Z94" i="6" s="1"/>
  <c r="Z95" i="6" s="1"/>
  <c r="Z96" i="6" s="1"/>
  <c r="Z97" i="6" s="1"/>
  <c r="Z98" i="6" s="1"/>
  <c r="Z99" i="6" s="1"/>
  <c r="Z100" i="6" s="1"/>
  <c r="Z101" i="6" s="1"/>
  <c r="Z102" i="6" s="1"/>
  <c r="Z103" i="6" s="1"/>
  <c r="Z104" i="6" s="1"/>
  <c r="Z105" i="6" s="1"/>
  <c r="Z106" i="6" s="1"/>
  <c r="Z107" i="6" s="1"/>
  <c r="Z108" i="6" s="1"/>
  <c r="Z109" i="6" s="1"/>
  <c r="Z110" i="6" s="1"/>
  <c r="Z111" i="6" s="1"/>
  <c r="Z112" i="6" s="1"/>
  <c r="Z113" i="6" s="1"/>
  <c r="Z114" i="6" s="1"/>
  <c r="J6" i="6"/>
  <c r="CN118" i="1"/>
  <c r="CN166" i="1" s="1"/>
  <c r="CQ166" i="1" s="1"/>
  <c r="U58" i="5"/>
  <c r="AU58" i="5" s="1"/>
  <c r="BW165" i="1"/>
  <c r="BV165" i="1"/>
  <c r="CA165" i="1" s="1"/>
  <c r="G17" i="9"/>
  <c r="P46" i="8"/>
  <c r="D61" i="9"/>
  <c r="N24" i="5"/>
  <c r="L24" i="5" s="1"/>
  <c r="X20" i="6" s="1"/>
  <c r="AZ157" i="1"/>
  <c r="AJ26" i="8"/>
  <c r="AA18" i="8" s="1"/>
  <c r="D88" i="9"/>
  <c r="B91" i="8"/>
  <c r="J27" i="8"/>
  <c r="AZ74" i="1"/>
  <c r="BV40" i="1"/>
  <c r="CA40" i="1" s="1"/>
  <c r="AD64" i="5"/>
  <c r="I64" i="5"/>
  <c r="D77" i="9"/>
  <c r="B80" i="8"/>
  <c r="U40" i="6"/>
  <c r="AQ14" i="6"/>
  <c r="AP41" i="6" s="1"/>
  <c r="D89" i="9"/>
  <c r="B92" i="8"/>
  <c r="AG51" i="5"/>
  <c r="AF51" i="5"/>
  <c r="AO51" i="5"/>
  <c r="AA59" i="5"/>
  <c r="Z59" i="5"/>
  <c r="CN42" i="1"/>
  <c r="CN90" i="1" s="1"/>
  <c r="AZ151" i="1"/>
  <c r="CN36" i="1" s="1"/>
  <c r="CN84" i="1" s="1"/>
  <c r="N18" i="5"/>
  <c r="CN38" i="1"/>
  <c r="CN86" i="1" s="1"/>
  <c r="N28" i="5"/>
  <c r="AZ161" i="1"/>
  <c r="CN40" i="1"/>
  <c r="CN88" i="1" s="1"/>
  <c r="BW176" i="1"/>
  <c r="BV176" i="1"/>
  <c r="CA176" i="1" s="1"/>
  <c r="U36" i="6"/>
  <c r="AQ10" i="6"/>
  <c r="AP37" i="6" s="1"/>
  <c r="N25" i="5"/>
  <c r="L25" i="5" s="1"/>
  <c r="X21" i="6" s="1"/>
  <c r="AZ158" i="1"/>
  <c r="N119" i="6"/>
  <c r="O63" i="6"/>
  <c r="N90" i="6"/>
  <c r="N63" i="6"/>
  <c r="U43" i="6"/>
  <c r="AQ17" i="6"/>
  <c r="AP44" i="6" s="1"/>
  <c r="G90" i="9"/>
  <c r="J90" i="9" s="1"/>
  <c r="E93" i="8"/>
  <c r="F17" i="9"/>
  <c r="O46" i="8"/>
  <c r="D17" i="9"/>
  <c r="M46" i="8"/>
  <c r="D20" i="9"/>
  <c r="M49" i="8"/>
  <c r="AY45" i="5"/>
  <c r="AX45" i="5"/>
  <c r="AW84" i="5" s="1"/>
  <c r="AD53" i="5"/>
  <c r="I53" i="5"/>
  <c r="M13" i="9"/>
  <c r="Q13" i="9"/>
  <c r="G43" i="9" s="1"/>
  <c r="I73" i="9" s="1"/>
  <c r="E66" i="9"/>
  <c r="C69" i="8"/>
  <c r="F69" i="8" s="1"/>
  <c r="J5" i="8"/>
  <c r="D2" i="8"/>
  <c r="BV167" i="1"/>
  <c r="CA167" i="1" s="1"/>
  <c r="CN85" i="1"/>
  <c r="U9" i="8"/>
  <c r="N9" i="8" s="1"/>
  <c r="AT46" i="5"/>
  <c r="AS46" i="5"/>
  <c r="U46" i="5"/>
  <c r="AH46" i="5" s="1"/>
  <c r="AJ46" i="5" s="1"/>
  <c r="U53" i="5"/>
  <c r="AU53" i="5" s="1"/>
  <c r="BA53" i="5" s="1"/>
  <c r="AD58" i="5"/>
  <c r="I58" i="5"/>
  <c r="AD66" i="5"/>
  <c r="I66" i="5"/>
  <c r="D84" i="9"/>
  <c r="J23" i="8"/>
  <c r="B87" i="8"/>
  <c r="AE37" i="8"/>
  <c r="CN31" i="1"/>
  <c r="CN79" i="1" s="1"/>
  <c r="M48" i="5"/>
  <c r="O48" i="5" s="1"/>
  <c r="AH48" i="5" s="1"/>
  <c r="AJ48" i="5" s="1"/>
  <c r="AO15" i="5"/>
  <c r="D22" i="9"/>
  <c r="M51" i="8"/>
  <c r="L19" i="5"/>
  <c r="X15" i="6" s="1"/>
  <c r="X41" i="6" s="1"/>
  <c r="CN83" i="1"/>
  <c r="Q120" i="6"/>
  <c r="M120" i="6"/>
  <c r="P120" i="6"/>
  <c r="L120" i="6"/>
  <c r="O120" i="6"/>
  <c r="N91" i="6"/>
  <c r="N120" i="6"/>
  <c r="Q91" i="6"/>
  <c r="M91" i="6"/>
  <c r="O64" i="6"/>
  <c r="P91" i="6"/>
  <c r="L91" i="6"/>
  <c r="N64" i="6"/>
  <c r="O91" i="6"/>
  <c r="AS56" i="5"/>
  <c r="AA10" i="8"/>
  <c r="R41" i="8"/>
  <c r="AJ19" i="8"/>
  <c r="AK19" i="8" s="1"/>
  <c r="H8" i="9"/>
  <c r="N37" i="8"/>
  <c r="W7" i="8"/>
  <c r="X7" i="8" s="1"/>
  <c r="Z55" i="5"/>
  <c r="AA55" i="5"/>
  <c r="E60" i="9"/>
  <c r="F69" i="9"/>
  <c r="J69" i="9" s="1"/>
  <c r="D72" i="8"/>
  <c r="F72" i="8" s="1"/>
  <c r="J8" i="8"/>
  <c r="AE53" i="5"/>
  <c r="BV180" i="1"/>
  <c r="AG44" i="5"/>
  <c r="BV164" i="1"/>
  <c r="CA164" i="1" s="1"/>
  <c r="BV34" i="1"/>
  <c r="CA34" i="1" s="1"/>
  <c r="AZ68" i="1"/>
  <c r="D24" i="9"/>
  <c r="M53" i="8"/>
  <c r="H9" i="9"/>
  <c r="N38" i="8"/>
  <c r="W8" i="8"/>
  <c r="AT15" i="6"/>
  <c r="AS42" i="6" s="1"/>
  <c r="W41" i="6"/>
  <c r="AH44" i="5"/>
  <c r="AJ44" i="5" s="1"/>
  <c r="L23" i="5"/>
  <c r="X19" i="6" s="1"/>
  <c r="X45" i="6" s="1"/>
  <c r="N47" i="6" s="1"/>
  <c r="N65" i="6"/>
  <c r="F68" i="9"/>
  <c r="J68" i="9" s="1"/>
  <c r="D71" i="8"/>
  <c r="F71" i="8" s="1"/>
  <c r="J89" i="9"/>
  <c r="AG42" i="5"/>
  <c r="AA48" i="5"/>
  <c r="Z48" i="5"/>
  <c r="R44" i="8"/>
  <c r="AJ22" i="8"/>
  <c r="AO60" i="5"/>
  <c r="AG60" i="5"/>
  <c r="AF60" i="5"/>
  <c r="N118" i="6"/>
  <c r="N89" i="6"/>
  <c r="N62" i="6"/>
  <c r="AD48" i="5"/>
  <c r="I25" i="9"/>
  <c r="J25" i="9"/>
  <c r="AG32" i="8"/>
  <c r="AE32" i="8" s="1"/>
  <c r="V24" i="8"/>
  <c r="P24" i="8" s="1"/>
  <c r="O24" i="8"/>
  <c r="L25" i="9" s="1"/>
  <c r="R25" i="9" s="1"/>
  <c r="H24" i="8"/>
  <c r="AR51" i="6"/>
  <c r="T50" i="6"/>
  <c r="AE50" i="6"/>
  <c r="U88" i="5"/>
  <c r="Y61" i="5"/>
  <c r="AV61" i="5" s="1"/>
  <c r="Z50" i="6"/>
  <c r="V50" i="6"/>
  <c r="R61" i="5"/>
  <c r="M24" i="8" s="1"/>
  <c r="AH51" i="6"/>
  <c r="R50" i="6"/>
  <c r="ED28" i="5"/>
  <c r="DJ19" i="5"/>
  <c r="AJ50" i="6"/>
  <c r="DL19" i="5"/>
  <c r="V61" i="5"/>
  <c r="D24" i="8"/>
  <c r="K25" i="9"/>
  <c r="Q50" i="6"/>
  <c r="AQ51" i="6"/>
  <c r="AC50" i="6"/>
  <c r="L61" i="5"/>
  <c r="AR61" i="5" s="1"/>
  <c r="X50" i="6"/>
  <c r="G61" i="5"/>
  <c r="C24" i="8" s="1"/>
  <c r="AA50" i="6"/>
  <c r="F24" i="8"/>
  <c r="T61" i="5"/>
  <c r="H61" i="5"/>
  <c r="E24" i="8" s="1"/>
  <c r="G88" i="8" s="1"/>
  <c r="K61" i="5"/>
  <c r="AO51" i="6"/>
  <c r="S50" i="6"/>
  <c r="EC28" i="5"/>
  <c r="U50" i="6"/>
  <c r="AU51" i="6"/>
  <c r="F61" i="5"/>
  <c r="N62" i="5"/>
  <c r="AG51" i="6"/>
  <c r="AZ76" i="1"/>
  <c r="BV42" i="1"/>
  <c r="CA42" i="1" s="1"/>
  <c r="BV173" i="1"/>
  <c r="CA173" i="1" s="1"/>
  <c r="AZ69" i="1"/>
  <c r="BV35" i="1"/>
  <c r="CA35" i="1" s="1"/>
  <c r="AJ56" i="6"/>
  <c r="CN39" i="1"/>
  <c r="CN87" i="1" s="1"/>
  <c r="N21" i="8"/>
  <c r="N14" i="5"/>
  <c r="L14" i="5" s="1"/>
  <c r="X10" i="6" s="1"/>
  <c r="AZ147" i="1"/>
  <c r="CN32" i="1" s="1"/>
  <c r="CN80" i="1" s="1"/>
  <c r="D79" i="9"/>
  <c r="B82" i="8"/>
  <c r="AO50" i="5"/>
  <c r="AG50" i="5"/>
  <c r="AF50" i="5"/>
  <c r="N30" i="9"/>
  <c r="S59" i="8"/>
  <c r="D19" i="8"/>
  <c r="AR56" i="5"/>
  <c r="AA52" i="5"/>
  <c r="Z52" i="5"/>
  <c r="D59" i="9"/>
  <c r="N15" i="5"/>
  <c r="L15" i="5" s="1"/>
  <c r="X11" i="6" s="1"/>
  <c r="X37" i="6" s="1"/>
  <c r="AZ148" i="1"/>
  <c r="CN33" i="1" s="1"/>
  <c r="CN81" i="1" s="1"/>
  <c r="CN93" i="1"/>
  <c r="N20" i="5"/>
  <c r="L20" i="5" s="1"/>
  <c r="X16" i="6" s="1"/>
  <c r="AZ153" i="1"/>
  <c r="B21" i="8"/>
  <c r="AI58" i="5"/>
  <c r="AE58" i="5"/>
  <c r="AP58" i="5"/>
  <c r="D28" i="9"/>
  <c r="M57" i="8"/>
  <c r="W27" i="8"/>
  <c r="BV32" i="1"/>
  <c r="CA32" i="1" s="1"/>
  <c r="AZ66" i="1"/>
  <c r="AZ65" i="1"/>
  <c r="BV31" i="1"/>
  <c r="CA31" i="1" s="1"/>
  <c r="D10" i="8"/>
  <c r="AR47" i="5"/>
  <c r="R41" i="6"/>
  <c r="I63" i="5"/>
  <c r="O50" i="5"/>
  <c r="AH50" i="5" s="1"/>
  <c r="AJ50" i="5" s="1"/>
  <c r="AZ63" i="1"/>
  <c r="BV29" i="1"/>
  <c r="CA29" i="1" s="1"/>
  <c r="R23" i="8"/>
  <c r="BA60" i="5"/>
  <c r="R38" i="6"/>
  <c r="H31" i="9"/>
  <c r="Q31" i="9" s="1"/>
  <c r="G61" i="9" s="1"/>
  <c r="N60" i="8"/>
  <c r="R60" i="8" s="1"/>
  <c r="F73" i="8"/>
  <c r="I52" i="5"/>
  <c r="AD52" i="5"/>
  <c r="B93" i="8"/>
  <c r="CN46" i="1"/>
  <c r="CN94" i="1" s="1"/>
  <c r="K23" i="5"/>
  <c r="S19" i="6" s="1"/>
  <c r="S45" i="6" s="1"/>
  <c r="AZ37" i="1"/>
  <c r="CN41" i="1" s="1"/>
  <c r="CN89" i="1" s="1"/>
  <c r="CN113" i="1"/>
  <c r="CN161" i="1" s="1"/>
  <c r="CQ161" i="1" s="1"/>
  <c r="CN108" i="1"/>
  <c r="CN156" i="1" s="1"/>
  <c r="CQ156" i="1" s="1"/>
  <c r="F78" i="9"/>
  <c r="J78" i="9" s="1"/>
  <c r="D81" i="8"/>
  <c r="D78" i="9"/>
  <c r="B81" i="8"/>
  <c r="J17" i="8"/>
  <c r="X17" i="8" s="1"/>
  <c r="CN110" i="1"/>
  <c r="CN158" i="1" s="1"/>
  <c r="CQ158" i="1" s="1"/>
  <c r="AV90" i="1"/>
  <c r="CJ43" i="1" s="1"/>
  <c r="CJ91" i="1" s="1"/>
  <c r="AU90" i="1"/>
  <c r="CJ115" i="1"/>
  <c r="CJ163" i="1" s="1"/>
  <c r="N13" i="5"/>
  <c r="AZ146" i="1"/>
  <c r="AY49" i="5"/>
  <c r="AX49" i="5"/>
  <c r="AW88" i="5" s="1"/>
  <c r="BW171" i="1"/>
  <c r="BV171" i="1"/>
  <c r="AO22" i="5"/>
  <c r="M55" i="5"/>
  <c r="O66" i="5"/>
  <c r="AH66" i="5" s="1"/>
  <c r="AJ66" i="5" s="1"/>
  <c r="AW46" i="5"/>
  <c r="D44" i="6" s="1"/>
  <c r="X12" i="8"/>
  <c r="D16" i="8"/>
  <c r="AR53" i="5"/>
  <c r="I54" i="5"/>
  <c r="O54" i="5" s="1"/>
  <c r="AH54" i="5" s="1"/>
  <c r="AJ54" i="5" s="1"/>
  <c r="AD54" i="5"/>
  <c r="G20" i="9"/>
  <c r="P49" i="8"/>
  <c r="H30" i="9"/>
  <c r="Q30" i="9" s="1"/>
  <c r="G60" i="9" s="1"/>
  <c r="N59" i="8"/>
  <c r="L16" i="5"/>
  <c r="X12" i="6" s="1"/>
  <c r="X38" i="6" s="1"/>
  <c r="AF45" i="5"/>
  <c r="J26" i="9"/>
  <c r="I26" i="9"/>
  <c r="O25" i="8"/>
  <c r="L26" i="9" s="1"/>
  <c r="R26" i="9" s="1"/>
  <c r="H25" i="8"/>
  <c r="AG33" i="8"/>
  <c r="AE33" i="8" s="1"/>
  <c r="V25" i="8"/>
  <c r="F25" i="8"/>
  <c r="AM52" i="6"/>
  <c r="AH52" i="6"/>
  <c r="AJ51" i="6"/>
  <c r="AE51" i="6"/>
  <c r="Z51" i="6"/>
  <c r="V51" i="6"/>
  <c r="AN52" i="6"/>
  <c r="U89" i="5"/>
  <c r="Y62" i="5"/>
  <c r="R25" i="8" s="1"/>
  <c r="X51" i="6"/>
  <c r="T51" i="6"/>
  <c r="R62" i="5"/>
  <c r="L62" i="5"/>
  <c r="AR62" i="5" s="1"/>
  <c r="AR52" i="6"/>
  <c r="DL20" i="5"/>
  <c r="EC29" i="5"/>
  <c r="DJ20" i="5"/>
  <c r="V62" i="5"/>
  <c r="H62" i="5"/>
  <c r="E25" i="8" s="1"/>
  <c r="G89" i="8" s="1"/>
  <c r="W62" i="5"/>
  <c r="X62" i="5" s="1"/>
  <c r="K62" i="5"/>
  <c r="AC51" i="6"/>
  <c r="D25" i="8"/>
  <c r="Q51" i="6"/>
  <c r="S51" i="6"/>
  <c r="T62" i="5"/>
  <c r="U51" i="6"/>
  <c r="AQ52" i="6"/>
  <c r="M62" i="5"/>
  <c r="P25" i="8"/>
  <c r="F62" i="5"/>
  <c r="K26" i="9"/>
  <c r="AU52" i="6"/>
  <c r="ED29" i="5"/>
  <c r="AA51" i="6"/>
  <c r="AO52" i="6"/>
  <c r="R51" i="6"/>
  <c r="G62" i="5"/>
  <c r="C25" i="8" s="1"/>
  <c r="J91" i="9"/>
  <c r="J88" i="9"/>
  <c r="AJ34" i="6"/>
  <c r="D14" i="8"/>
  <c r="AR51" i="5"/>
  <c r="AZ73" i="1"/>
  <c r="BV39" i="1"/>
  <c r="CA39" i="1" s="1"/>
  <c r="L18" i="5"/>
  <c r="X14" i="6" s="1"/>
  <c r="X40" i="6" s="1"/>
  <c r="I59" i="5"/>
  <c r="O59" i="5" s="1"/>
  <c r="W46" i="5"/>
  <c r="X46" i="5" s="1"/>
  <c r="AD46" i="5" s="1"/>
  <c r="CN13" i="5"/>
  <c r="CO13" i="5" s="1"/>
  <c r="CF13" i="5"/>
  <c r="AS53" i="5"/>
  <c r="AA62" i="5"/>
  <c r="W60" i="6"/>
  <c r="CN103" i="1"/>
  <c r="CN151" i="1" s="1"/>
  <c r="W37" i="6"/>
  <c r="AT11" i="6"/>
  <c r="AS38" i="6" s="1"/>
  <c r="BV28" i="1"/>
  <c r="CA28" i="1" s="1"/>
  <c r="AZ62" i="1"/>
  <c r="M47" i="5"/>
  <c r="O47" i="5" s="1"/>
  <c r="AH47" i="5" s="1"/>
  <c r="AJ47" i="5" s="1"/>
  <c r="AO14" i="5"/>
  <c r="AT56" i="5"/>
  <c r="AU65" i="5"/>
  <c r="BA65" i="5" s="1"/>
  <c r="W65" i="5"/>
  <c r="CF32" i="5"/>
  <c r="M12" i="9"/>
  <c r="Q12" i="9"/>
  <c r="G42" i="9" s="1"/>
  <c r="I72" i="9" s="1"/>
  <c r="P65" i="6"/>
  <c r="AA64" i="5"/>
  <c r="Z64" i="5"/>
  <c r="J27" i="9"/>
  <c r="I27" i="9"/>
  <c r="V26" i="8"/>
  <c r="P26" i="8" s="1"/>
  <c r="AG34" i="8"/>
  <c r="AE34" i="8" s="1"/>
  <c r="H26" i="8"/>
  <c r="O26" i="8"/>
  <c r="L27" i="9" s="1"/>
  <c r="R27" i="9" s="1"/>
  <c r="F26" i="8"/>
  <c r="AR53" i="6"/>
  <c r="AN53" i="6"/>
  <c r="AM53" i="6"/>
  <c r="T52" i="6"/>
  <c r="AH53" i="6"/>
  <c r="V52" i="6"/>
  <c r="Y63" i="5"/>
  <c r="AV63" i="5" s="1"/>
  <c r="AJ52" i="6"/>
  <c r="R52" i="6"/>
  <c r="AE52" i="6"/>
  <c r="R63" i="5"/>
  <c r="L63" i="5"/>
  <c r="AR63" i="5" s="1"/>
  <c r="DJ21" i="5"/>
  <c r="U90" i="5"/>
  <c r="D42" i="5"/>
  <c r="AO53" i="6"/>
  <c r="Z52" i="6"/>
  <c r="ED30" i="5"/>
  <c r="EC30" i="5"/>
  <c r="D29" i="5"/>
  <c r="DL21" i="5"/>
  <c r="V63" i="5"/>
  <c r="F63" i="5"/>
  <c r="T63" i="5"/>
  <c r="K63" i="5"/>
  <c r="U52" i="6"/>
  <c r="AQ53" i="6"/>
  <c r="W63" i="5"/>
  <c r="X63" i="5" s="1"/>
  <c r="AD63" i="5" s="1"/>
  <c r="AU53" i="6"/>
  <c r="Q52" i="6"/>
  <c r="M63" i="5"/>
  <c r="H63" i="5"/>
  <c r="E26" i="8" s="1"/>
  <c r="G90" i="8" s="1"/>
  <c r="X52" i="6"/>
  <c r="G63" i="5"/>
  <c r="C26" i="8" s="1"/>
  <c r="D26" i="8"/>
  <c r="AA52" i="6"/>
  <c r="K27" i="9"/>
  <c r="AC52" i="6"/>
  <c r="S52" i="6"/>
  <c r="AW53" i="5"/>
  <c r="D51" i="6" s="1"/>
  <c r="BV163" i="1"/>
  <c r="AY44" i="5"/>
  <c r="AX44" i="5"/>
  <c r="AW83" i="5" s="1"/>
  <c r="BW168" i="1"/>
  <c r="BV168" i="1"/>
  <c r="CA168" i="1" s="1"/>
  <c r="AZ67" i="1"/>
  <c r="BV33" i="1"/>
  <c r="CA33" i="1" s="1"/>
  <c r="L13" i="5"/>
  <c r="X9" i="6" s="1"/>
  <c r="X35" i="6" s="1"/>
  <c r="D15" i="8"/>
  <c r="J15" i="8" s="1"/>
  <c r="X15" i="8" s="1"/>
  <c r="AR52" i="5"/>
  <c r="I74" i="9"/>
  <c r="K74" i="9" s="1"/>
  <c r="J9" i="8"/>
  <c r="M65" i="6"/>
  <c r="I56" i="5"/>
  <c r="AD56" i="5"/>
  <c r="AY42" i="5"/>
  <c r="AX42" i="5"/>
  <c r="AW81" i="5" s="1"/>
  <c r="M15" i="9"/>
  <c r="Q15" i="9"/>
  <c r="G45" i="9" s="1"/>
  <c r="I75" i="9" s="1"/>
  <c r="D76" i="9"/>
  <c r="B79" i="8"/>
  <c r="D21" i="8"/>
  <c r="AR58" i="5"/>
  <c r="AS52" i="6"/>
  <c r="J28" i="8"/>
  <c r="D60" i="9"/>
  <c r="CN105" i="1"/>
  <c r="CN153" i="1" s="1"/>
  <c r="BV175" i="1"/>
  <c r="CA175" i="1" s="1"/>
  <c r="X30" i="8"/>
  <c r="Y30" i="8" s="1"/>
  <c r="Z30" i="8" s="1"/>
  <c r="BW174" i="1"/>
  <c r="BV174" i="1"/>
  <c r="CA174" i="1" s="1"/>
  <c r="BV170" i="1"/>
  <c r="CA170" i="1" s="1"/>
  <c r="AS58" i="5"/>
  <c r="AG68" i="5" l="1"/>
  <c r="AF68" i="5"/>
  <c r="I76" i="9"/>
  <c r="AK21" i="8"/>
  <c r="O68" i="5"/>
  <c r="AH68" i="5" s="1"/>
  <c r="AJ68" i="5" s="1"/>
  <c r="O63" i="5"/>
  <c r="Y60" i="6"/>
  <c r="X92" i="6" s="1"/>
  <c r="X93" i="6" s="1"/>
  <c r="X94" i="6" s="1"/>
  <c r="X95" i="6" s="1"/>
  <c r="X96" i="6" s="1"/>
  <c r="X97" i="6" s="1"/>
  <c r="X98" i="6" s="1"/>
  <c r="X99" i="6" s="1"/>
  <c r="X100" i="6" s="1"/>
  <c r="X101" i="6" s="1"/>
  <c r="X102" i="6" s="1"/>
  <c r="X103" i="6" s="1"/>
  <c r="X104" i="6" s="1"/>
  <c r="X105" i="6" s="1"/>
  <c r="X106" i="6" s="1"/>
  <c r="X107" i="6" s="1"/>
  <c r="X108" i="6" s="1"/>
  <c r="X109" i="6" s="1"/>
  <c r="X110" i="6" s="1"/>
  <c r="X111" i="6" s="1"/>
  <c r="X112" i="6" s="1"/>
  <c r="X113" i="6" s="1"/>
  <c r="X114" i="6" s="1"/>
  <c r="AV59" i="5"/>
  <c r="AH60" i="5"/>
  <c r="AJ60" i="5" s="1"/>
  <c r="H6" i="6"/>
  <c r="AV62" i="5"/>
  <c r="Q25" i="8" s="1"/>
  <c r="W19" i="8"/>
  <c r="M30" i="9"/>
  <c r="R47" i="8"/>
  <c r="K67" i="9"/>
  <c r="D90" i="9"/>
  <c r="AD62" i="5"/>
  <c r="O55" i="5"/>
  <c r="AH55" i="5" s="1"/>
  <c r="AJ55" i="5" s="1"/>
  <c r="I61" i="5"/>
  <c r="AO61" i="5" s="1"/>
  <c r="K73" i="9"/>
  <c r="E47" i="9"/>
  <c r="E81" i="9"/>
  <c r="C84" i="8"/>
  <c r="M50" i="8"/>
  <c r="D21" i="9"/>
  <c r="AI57" i="5"/>
  <c r="B20" i="8"/>
  <c r="AE57" i="5"/>
  <c r="AP57" i="5"/>
  <c r="AW58" i="5"/>
  <c r="D56" i="6" s="1"/>
  <c r="AE59" i="6"/>
  <c r="V89" i="5"/>
  <c r="V95" i="5" s="1"/>
  <c r="W95" i="5" s="1"/>
  <c r="Q19" i="9"/>
  <c r="G49" i="9" s="1"/>
  <c r="E23" i="9"/>
  <c r="Q52" i="8"/>
  <c r="P23" i="9"/>
  <c r="K53" i="9" s="1"/>
  <c r="M52" i="8"/>
  <c r="D23" i="9"/>
  <c r="AE59" i="5"/>
  <c r="AP59" i="5"/>
  <c r="B22" i="8"/>
  <c r="AI59" i="5"/>
  <c r="AD57" i="5"/>
  <c r="I57" i="5"/>
  <c r="G83" i="9"/>
  <c r="E86" i="8"/>
  <c r="G23" i="9"/>
  <c r="P52" i="8"/>
  <c r="G21" i="9"/>
  <c r="P50" i="8"/>
  <c r="U59" i="5"/>
  <c r="AU59" i="5" s="1"/>
  <c r="AT59" i="5"/>
  <c r="AS59" i="5"/>
  <c r="U22" i="8"/>
  <c r="N22" i="8" s="1"/>
  <c r="Q22" i="8"/>
  <c r="N50" i="6"/>
  <c r="EE24" i="5"/>
  <c r="D20" i="8"/>
  <c r="AR57" i="5"/>
  <c r="AS57" i="5"/>
  <c r="U20" i="8"/>
  <c r="N20" i="8" s="1"/>
  <c r="AT57" i="5"/>
  <c r="U57" i="5"/>
  <c r="AU57" i="5" s="1"/>
  <c r="AJ43" i="6"/>
  <c r="BA66" i="5"/>
  <c r="O59" i="8"/>
  <c r="R59" i="8" s="1"/>
  <c r="E83" i="9"/>
  <c r="C86" i="8"/>
  <c r="F83" i="9"/>
  <c r="D86" i="8"/>
  <c r="P21" i="9"/>
  <c r="K51" i="9" s="1"/>
  <c r="R20" i="8"/>
  <c r="Q20" i="8" s="1"/>
  <c r="Z57" i="5"/>
  <c r="W29" i="8"/>
  <c r="X29" i="8" s="1"/>
  <c r="Y29" i="8" s="1"/>
  <c r="Z29" i="8" s="1"/>
  <c r="AC29" i="8" s="1"/>
  <c r="N61" i="6"/>
  <c r="AJ38" i="8"/>
  <c r="AA30" i="8" s="1"/>
  <c r="S60" i="6"/>
  <c r="R92" i="6" s="1"/>
  <c r="Z60" i="6"/>
  <c r="T60" i="6"/>
  <c r="S121" i="6" s="1"/>
  <c r="S122" i="6" s="1"/>
  <c r="S123" i="6" s="1"/>
  <c r="S124" i="6" s="1"/>
  <c r="S125" i="6" s="1"/>
  <c r="S126" i="6" s="1"/>
  <c r="S127" i="6" s="1"/>
  <c r="S128" i="6" s="1"/>
  <c r="S129" i="6" s="1"/>
  <c r="S130" i="6" s="1"/>
  <c r="S131" i="6" s="1"/>
  <c r="S132" i="6" s="1"/>
  <c r="S133" i="6" s="1"/>
  <c r="S134" i="6" s="1"/>
  <c r="S135" i="6" s="1"/>
  <c r="S136" i="6" s="1"/>
  <c r="S137" i="6" s="1"/>
  <c r="S138" i="6" s="1"/>
  <c r="S139" i="6" s="1"/>
  <c r="S140" i="6" s="1"/>
  <c r="S141" i="6" s="1"/>
  <c r="S142" i="6" s="1"/>
  <c r="S143" i="6" s="1"/>
  <c r="X5" i="8"/>
  <c r="AJ40" i="6"/>
  <c r="AD65" i="5"/>
  <c r="E50" i="9"/>
  <c r="X8" i="8"/>
  <c r="AJ45" i="6"/>
  <c r="I90" i="9"/>
  <c r="K90" i="9" s="1"/>
  <c r="V94" i="5"/>
  <c r="W94" i="5" s="1"/>
  <c r="W92" i="5"/>
  <c r="X42" i="6"/>
  <c r="AJ42" i="6"/>
  <c r="G27" i="9"/>
  <c r="P56" i="8"/>
  <c r="X46" i="6"/>
  <c r="N48" i="6" s="1"/>
  <c r="AJ46" i="6"/>
  <c r="X36" i="6"/>
  <c r="AJ36" i="6"/>
  <c r="AB30" i="8"/>
  <c r="AX83" i="5"/>
  <c r="E42" i="6" s="1"/>
  <c r="AI33" i="6" s="1"/>
  <c r="AK33" i="6" s="1"/>
  <c r="AZ44" i="5"/>
  <c r="V121" i="6"/>
  <c r="V122" i="6" s="1"/>
  <c r="V123" i="6" s="1"/>
  <c r="V124" i="6" s="1"/>
  <c r="V125" i="6" s="1"/>
  <c r="V126" i="6" s="1"/>
  <c r="V127" i="6" s="1"/>
  <c r="V128" i="6" s="1"/>
  <c r="V129" i="6" s="1"/>
  <c r="V130" i="6" s="1"/>
  <c r="V131" i="6" s="1"/>
  <c r="V132" i="6" s="1"/>
  <c r="V133" i="6" s="1"/>
  <c r="V134" i="6" s="1"/>
  <c r="V135" i="6" s="1"/>
  <c r="V136" i="6" s="1"/>
  <c r="V137" i="6" s="1"/>
  <c r="V138" i="6" s="1"/>
  <c r="V139" i="6" s="1"/>
  <c r="V140" i="6" s="1"/>
  <c r="V141" i="6" s="1"/>
  <c r="V142" i="6" s="1"/>
  <c r="V143" i="6" s="1"/>
  <c r="V92" i="6"/>
  <c r="V93" i="6" s="1"/>
  <c r="V94" i="6" s="1"/>
  <c r="V95" i="6" s="1"/>
  <c r="V96" i="6" s="1"/>
  <c r="V97" i="6" s="1"/>
  <c r="V98" i="6" s="1"/>
  <c r="V99" i="6" s="1"/>
  <c r="V100" i="6" s="1"/>
  <c r="V101" i="6" s="1"/>
  <c r="V102" i="6" s="1"/>
  <c r="V103" i="6" s="1"/>
  <c r="V104" i="6" s="1"/>
  <c r="V105" i="6" s="1"/>
  <c r="V106" i="6" s="1"/>
  <c r="V107" i="6" s="1"/>
  <c r="V108" i="6" s="1"/>
  <c r="V109" i="6" s="1"/>
  <c r="V110" i="6" s="1"/>
  <c r="V111" i="6" s="1"/>
  <c r="V112" i="6" s="1"/>
  <c r="V113" i="6" s="1"/>
  <c r="V114" i="6" s="1"/>
  <c r="G6" i="6"/>
  <c r="E86" i="9"/>
  <c r="C89" i="8"/>
  <c r="AX88" i="5"/>
  <c r="E47" i="6" s="1"/>
  <c r="AI38" i="6" s="1"/>
  <c r="AZ49" i="5"/>
  <c r="B24" i="8"/>
  <c r="AI61" i="5"/>
  <c r="AE61" i="5"/>
  <c r="AP61" i="5"/>
  <c r="U24" i="8"/>
  <c r="N24" i="8" s="1"/>
  <c r="U61" i="5"/>
  <c r="AU61" i="5" s="1"/>
  <c r="BA61" i="5" s="1"/>
  <c r="AT61" i="5"/>
  <c r="AS61" i="5"/>
  <c r="F85" i="9"/>
  <c r="D88" i="8"/>
  <c r="D25" i="9"/>
  <c r="M54" i="8"/>
  <c r="AO58" i="5"/>
  <c r="AG58" i="5"/>
  <c r="AF58" i="5"/>
  <c r="AF53" i="5"/>
  <c r="AG53" i="5"/>
  <c r="AO53" i="5"/>
  <c r="AO64" i="5"/>
  <c r="AG64" i="5"/>
  <c r="AF64" i="5"/>
  <c r="AY48" i="5"/>
  <c r="AX48" i="5"/>
  <c r="AW87" i="5" s="1"/>
  <c r="BV198" i="1"/>
  <c r="BV201" i="1"/>
  <c r="CA179" i="1"/>
  <c r="I91" i="9"/>
  <c r="K91" i="9" s="1"/>
  <c r="AA118" i="5"/>
  <c r="M118" i="5"/>
  <c r="AB118" i="5" s="1"/>
  <c r="AO62" i="5"/>
  <c r="F82" i="9"/>
  <c r="J82" i="9" s="1"/>
  <c r="D85" i="8"/>
  <c r="AO56" i="5"/>
  <c r="AG56" i="5"/>
  <c r="AF56" i="5"/>
  <c r="F76" i="9"/>
  <c r="J76" i="9" s="1"/>
  <c r="K76" i="9" s="1"/>
  <c r="D79" i="8"/>
  <c r="F79" i="8" s="1"/>
  <c r="F87" i="9"/>
  <c r="D90" i="8"/>
  <c r="X47" i="6"/>
  <c r="N49" i="6" s="1"/>
  <c r="AJ47" i="6"/>
  <c r="N88" i="6"/>
  <c r="F75" i="9"/>
  <c r="J75" i="9" s="1"/>
  <c r="K75" i="9" s="1"/>
  <c r="D78" i="8"/>
  <c r="F78" i="8" s="1"/>
  <c r="J14" i="8"/>
  <c r="X14" i="8" s="1"/>
  <c r="G26" i="9"/>
  <c r="P55" i="8"/>
  <c r="U25" i="8"/>
  <c r="N25" i="8" s="1"/>
  <c r="U62" i="5"/>
  <c r="AU62" i="5" s="1"/>
  <c r="AT62" i="5"/>
  <c r="AU69" i="5"/>
  <c r="AS62" i="5"/>
  <c r="F77" i="9"/>
  <c r="J77" i="9" s="1"/>
  <c r="D80" i="8"/>
  <c r="F80" i="8" s="1"/>
  <c r="CA171" i="1"/>
  <c r="BT198" i="1"/>
  <c r="Q23" i="8"/>
  <c r="F71" i="9"/>
  <c r="J71" i="9" s="1"/>
  <c r="K71" i="9" s="1"/>
  <c r="D74" i="8"/>
  <c r="F74" i="8" s="1"/>
  <c r="J10" i="8"/>
  <c r="X10" i="8" s="1"/>
  <c r="M28" i="9"/>
  <c r="D58" i="9"/>
  <c r="Q28" i="9"/>
  <c r="G58" i="9" s="1"/>
  <c r="I88" i="9" s="1"/>
  <c r="K88" i="9" s="1"/>
  <c r="D82" i="9"/>
  <c r="B85" i="8"/>
  <c r="J21" i="8"/>
  <c r="F80" i="9"/>
  <c r="J80" i="9" s="1"/>
  <c r="D83" i="8"/>
  <c r="AK26" i="8"/>
  <c r="G85" i="9"/>
  <c r="E88" i="8"/>
  <c r="N52" i="6"/>
  <c r="Q88" i="6"/>
  <c r="U121" i="6" s="1"/>
  <c r="U122" i="6" s="1"/>
  <c r="U123" i="6" s="1"/>
  <c r="U124" i="6" s="1"/>
  <c r="U125" i="6" s="1"/>
  <c r="U126" i="6" s="1"/>
  <c r="U127" i="6" s="1"/>
  <c r="U128" i="6" s="1"/>
  <c r="U129" i="6" s="1"/>
  <c r="U130" i="6" s="1"/>
  <c r="U131" i="6" s="1"/>
  <c r="U132" i="6" s="1"/>
  <c r="U133" i="6" s="1"/>
  <c r="U134" i="6" s="1"/>
  <c r="U135" i="6" s="1"/>
  <c r="U136" i="6" s="1"/>
  <c r="U137" i="6" s="1"/>
  <c r="U138" i="6" s="1"/>
  <c r="U139" i="6" s="1"/>
  <c r="U140" i="6" s="1"/>
  <c r="U141" i="6" s="1"/>
  <c r="U142" i="6" s="1"/>
  <c r="U143" i="6" s="1"/>
  <c r="V60" i="6"/>
  <c r="R37" i="8"/>
  <c r="AJ15" i="8"/>
  <c r="O53" i="5"/>
  <c r="AH53" i="5" s="1"/>
  <c r="AJ53" i="5" s="1"/>
  <c r="D52" i="9"/>
  <c r="J66" i="9"/>
  <c r="B66" i="9"/>
  <c r="J16" i="8"/>
  <c r="X16" i="8" s="1"/>
  <c r="M31" i="9"/>
  <c r="BA58" i="5"/>
  <c r="AY47" i="5"/>
  <c r="AX47" i="5"/>
  <c r="AW86" i="5" s="1"/>
  <c r="AA11" i="8"/>
  <c r="O52" i="5"/>
  <c r="AH52" i="5" s="1"/>
  <c r="AJ52" i="5" s="1"/>
  <c r="AA12" i="8"/>
  <c r="H24" i="9"/>
  <c r="N53" i="8"/>
  <c r="AY43" i="5"/>
  <c r="AX43" i="5"/>
  <c r="AW82" i="5" s="1"/>
  <c r="AF60" i="6"/>
  <c r="F79" i="9"/>
  <c r="J79" i="9" s="1"/>
  <c r="D82" i="8"/>
  <c r="F82" i="8" s="1"/>
  <c r="H17" i="9"/>
  <c r="Q17" i="9" s="1"/>
  <c r="G47" i="9" s="1"/>
  <c r="I77" i="9" s="1"/>
  <c r="N46" i="8"/>
  <c r="AJ24" i="8" s="1"/>
  <c r="AA16" i="8" s="1"/>
  <c r="F86" i="9"/>
  <c r="D89" i="8"/>
  <c r="G86" i="9"/>
  <c r="E89" i="8"/>
  <c r="R57" i="8"/>
  <c r="AJ35" i="8"/>
  <c r="AA27" i="8" s="1"/>
  <c r="G25" i="9"/>
  <c r="P54" i="8"/>
  <c r="M6" i="9"/>
  <c r="Q6" i="9"/>
  <c r="G36" i="9" s="1"/>
  <c r="I66" i="9" s="1"/>
  <c r="E87" i="9"/>
  <c r="C90" i="8"/>
  <c r="U26" i="8"/>
  <c r="N26" i="8" s="1"/>
  <c r="U63" i="5"/>
  <c r="AU63" i="5" s="1"/>
  <c r="BA63" i="5" s="1"/>
  <c r="AU70" i="5"/>
  <c r="AT63" i="5"/>
  <c r="AS63" i="5"/>
  <c r="N117" i="6"/>
  <c r="AA46" i="5"/>
  <c r="Z46" i="5"/>
  <c r="AO59" i="5"/>
  <c r="Q18" i="9"/>
  <c r="G48" i="9" s="1"/>
  <c r="I78" i="9" s="1"/>
  <c r="K78" i="9" s="1"/>
  <c r="O62" i="5"/>
  <c r="AH62" i="5" s="1"/>
  <c r="AJ62" i="5" s="1"/>
  <c r="AZ90" i="1"/>
  <c r="CN43" i="1" s="1"/>
  <c r="CN91" i="1" s="1"/>
  <c r="CN115" i="1"/>
  <c r="CN163" i="1" s="1"/>
  <c r="CQ163" i="1" s="1"/>
  <c r="AK25" i="8"/>
  <c r="F81" i="8"/>
  <c r="AO52" i="5"/>
  <c r="AG52" i="5"/>
  <c r="AF52" i="5"/>
  <c r="E24" i="9"/>
  <c r="D54" i="9" s="1"/>
  <c r="Q53" i="8"/>
  <c r="AJ41" i="6"/>
  <c r="AX50" i="5"/>
  <c r="AW89" i="5" s="1"/>
  <c r="AY50" i="5"/>
  <c r="I79" i="9"/>
  <c r="H22" i="9"/>
  <c r="N51" i="8"/>
  <c r="AA60" i="6"/>
  <c r="AY60" i="5"/>
  <c r="AX60" i="5"/>
  <c r="AW99" i="5" s="1"/>
  <c r="R38" i="8"/>
  <c r="AJ16" i="8"/>
  <c r="M8" i="9"/>
  <c r="Q8" i="9"/>
  <c r="G38" i="9" s="1"/>
  <c r="I68" i="9" s="1"/>
  <c r="K68" i="9" s="1"/>
  <c r="F22" i="9"/>
  <c r="E52" i="9" s="1"/>
  <c r="O51" i="8"/>
  <c r="F87" i="8"/>
  <c r="AF66" i="5"/>
  <c r="AO66" i="5"/>
  <c r="AG66" i="5"/>
  <c r="H10" i="9"/>
  <c r="N39" i="8"/>
  <c r="W9" i="8"/>
  <c r="X9" i="8" s="1"/>
  <c r="R49" i="8"/>
  <c r="AJ27" i="8"/>
  <c r="AA19" i="8" s="1"/>
  <c r="AY51" i="5"/>
  <c r="AX51" i="5"/>
  <c r="AW90" i="5" s="1"/>
  <c r="F92" i="8"/>
  <c r="X27" i="8"/>
  <c r="Y27" i="8" s="1"/>
  <c r="AC27" i="8" s="1"/>
  <c r="AH65" i="5"/>
  <c r="AJ65" i="5" s="1"/>
  <c r="M19" i="9"/>
  <c r="D80" i="9"/>
  <c r="B83" i="8"/>
  <c r="J19" i="8"/>
  <c r="X19" i="8" s="1"/>
  <c r="AX67" i="5"/>
  <c r="AW106" i="5" s="1"/>
  <c r="AY67" i="5"/>
  <c r="U60" i="6"/>
  <c r="H29" i="9"/>
  <c r="N58" i="8"/>
  <c r="W28" i="8"/>
  <c r="X28" i="8" s="1"/>
  <c r="Y28" i="8" s="1"/>
  <c r="F72" i="9"/>
  <c r="J72" i="9" s="1"/>
  <c r="K72" i="9" s="1"/>
  <c r="D75" i="8"/>
  <c r="F75" i="8" s="1"/>
  <c r="J11" i="8"/>
  <c r="X11" i="8" s="1"/>
  <c r="AF55" i="5"/>
  <c r="AG55" i="5"/>
  <c r="AO55" i="5"/>
  <c r="AA65" i="5"/>
  <c r="Z65" i="5"/>
  <c r="B25" i="8"/>
  <c r="AI62" i="5"/>
  <c r="AE62" i="5"/>
  <c r="AP62" i="5"/>
  <c r="AK23" i="8"/>
  <c r="AX81" i="5"/>
  <c r="E40" i="6" s="1"/>
  <c r="AI31" i="6" s="1"/>
  <c r="AK31" i="6" s="1"/>
  <c r="AZ42" i="5"/>
  <c r="P27" i="9"/>
  <c r="K57" i="9" s="1"/>
  <c r="N54" i="6"/>
  <c r="B26" i="8"/>
  <c r="AI63" i="5"/>
  <c r="AE63" i="5"/>
  <c r="AP63" i="5"/>
  <c r="AW63" i="5" s="1"/>
  <c r="D61" i="6" s="1"/>
  <c r="D88" i="6" s="1"/>
  <c r="EE30" i="5"/>
  <c r="M26" i="8"/>
  <c r="AT70" i="5"/>
  <c r="R26" i="8"/>
  <c r="Z63" i="5"/>
  <c r="G87" i="9"/>
  <c r="E90" i="8"/>
  <c r="O64" i="5"/>
  <c r="AH64" i="5" s="1"/>
  <c r="AJ64" i="5" s="1"/>
  <c r="P26" i="9"/>
  <c r="K56" i="9" s="1"/>
  <c r="N53" i="6"/>
  <c r="EE29" i="5"/>
  <c r="M25" i="8"/>
  <c r="AT69" i="5"/>
  <c r="Q55" i="8"/>
  <c r="E26" i="9"/>
  <c r="AO54" i="5"/>
  <c r="AG54" i="5"/>
  <c r="AF54" i="5"/>
  <c r="F93" i="8"/>
  <c r="AJ38" i="6"/>
  <c r="AO63" i="5"/>
  <c r="O58" i="5"/>
  <c r="AH58" i="5" s="1"/>
  <c r="AJ58" i="5" s="1"/>
  <c r="EE28" i="5"/>
  <c r="E85" i="9"/>
  <c r="C88" i="8"/>
  <c r="AC60" i="6"/>
  <c r="P25" i="9"/>
  <c r="K55" i="9" s="1"/>
  <c r="R24" i="8"/>
  <c r="Z61" i="5"/>
  <c r="AA14" i="8"/>
  <c r="AK22" i="8"/>
  <c r="Q9" i="9"/>
  <c r="G39" i="9" s="1"/>
  <c r="I69" i="9" s="1"/>
  <c r="K69" i="9" s="1"/>
  <c r="M9" i="9"/>
  <c r="W21" i="8"/>
  <c r="AU46" i="5"/>
  <c r="AF46" i="5"/>
  <c r="AG46" i="5"/>
  <c r="AX84" i="5"/>
  <c r="E43" i="6" s="1"/>
  <c r="AI34" i="6" s="1"/>
  <c r="AK34" i="6" s="1"/>
  <c r="AZ45" i="5"/>
  <c r="Q20" i="9"/>
  <c r="G50" i="9" s="1"/>
  <c r="M20" i="9"/>
  <c r="F91" i="8"/>
  <c r="O56" i="5"/>
  <c r="AH56" i="5" s="1"/>
  <c r="AJ56" i="5" s="1"/>
  <c r="N45" i="6"/>
  <c r="F94" i="8"/>
  <c r="A30" i="8"/>
  <c r="A94" i="8" s="1"/>
  <c r="A93" i="8"/>
  <c r="AW56" i="5"/>
  <c r="D54" i="6" s="1"/>
  <c r="R60" i="6"/>
  <c r="R35" i="8"/>
  <c r="AJ13" i="8"/>
  <c r="AJ37" i="6"/>
  <c r="AJ35" i="6"/>
  <c r="AO65" i="5"/>
  <c r="AG65" i="5"/>
  <c r="AF65" i="5"/>
  <c r="Z62" i="5"/>
  <c r="AK38" i="8" l="1"/>
  <c r="X121" i="6"/>
  <c r="X122" i="6" s="1"/>
  <c r="X123" i="6" s="1"/>
  <c r="X124" i="6" s="1"/>
  <c r="X125" i="6" s="1"/>
  <c r="X126" i="6" s="1"/>
  <c r="X127" i="6" s="1"/>
  <c r="X128" i="6" s="1"/>
  <c r="X129" i="6" s="1"/>
  <c r="X130" i="6" s="1"/>
  <c r="X131" i="6" s="1"/>
  <c r="X132" i="6" s="1"/>
  <c r="X133" i="6" s="1"/>
  <c r="X134" i="6" s="1"/>
  <c r="X135" i="6" s="1"/>
  <c r="X136" i="6" s="1"/>
  <c r="X137" i="6" s="1"/>
  <c r="X138" i="6" s="1"/>
  <c r="X139" i="6" s="1"/>
  <c r="X140" i="6" s="1"/>
  <c r="X141" i="6" s="1"/>
  <c r="X142" i="6" s="1"/>
  <c r="X143" i="6" s="1"/>
  <c r="O61" i="5"/>
  <c r="AK38" i="6"/>
  <c r="BA62" i="5"/>
  <c r="F26" i="9"/>
  <c r="O55" i="8"/>
  <c r="AK35" i="8"/>
  <c r="R46" i="8"/>
  <c r="K77" i="9"/>
  <c r="AG59" i="5"/>
  <c r="AF61" i="5"/>
  <c r="R121" i="6"/>
  <c r="R122" i="6" s="1"/>
  <c r="AH61" i="5"/>
  <c r="AJ61" i="5" s="1"/>
  <c r="AB29" i="8"/>
  <c r="F21" i="9"/>
  <c r="E51" i="9" s="1"/>
  <c r="O50" i="8"/>
  <c r="BA57" i="5"/>
  <c r="F23" i="9"/>
  <c r="E53" i="9" s="1"/>
  <c r="O52" i="8"/>
  <c r="BA59" i="5"/>
  <c r="AG63" i="5"/>
  <c r="AF59" i="5"/>
  <c r="AG61" i="5"/>
  <c r="S92" i="6"/>
  <c r="S93" i="6" s="1"/>
  <c r="S94" i="6" s="1"/>
  <c r="S95" i="6" s="1"/>
  <c r="S96" i="6" s="1"/>
  <c r="S97" i="6" s="1"/>
  <c r="S98" i="6" s="1"/>
  <c r="S99" i="6" s="1"/>
  <c r="S100" i="6" s="1"/>
  <c r="S101" i="6" s="1"/>
  <c r="S102" i="6" s="1"/>
  <c r="S103" i="6" s="1"/>
  <c r="S104" i="6" s="1"/>
  <c r="S105" i="6" s="1"/>
  <c r="S106" i="6" s="1"/>
  <c r="S107" i="6" s="1"/>
  <c r="S108" i="6" s="1"/>
  <c r="S109" i="6" s="1"/>
  <c r="S110" i="6" s="1"/>
  <c r="S111" i="6" s="1"/>
  <c r="S112" i="6" s="1"/>
  <c r="S113" i="6" s="1"/>
  <c r="S114" i="6" s="1"/>
  <c r="W96" i="5"/>
  <c r="E21" i="9"/>
  <c r="Q50" i="8"/>
  <c r="F81" i="9"/>
  <c r="J81" i="9" s="1"/>
  <c r="D84" i="8"/>
  <c r="N52" i="8"/>
  <c r="H23" i="9"/>
  <c r="D53" i="9"/>
  <c r="B84" i="8"/>
  <c r="J20" i="8"/>
  <c r="D81" i="9"/>
  <c r="J83" i="9"/>
  <c r="AH59" i="5"/>
  <c r="AJ59" i="5" s="1"/>
  <c r="W20" i="8"/>
  <c r="H21" i="9"/>
  <c r="Q21" i="9" s="1"/>
  <c r="G51" i="9" s="1"/>
  <c r="I81" i="9" s="1"/>
  <c r="N50" i="8"/>
  <c r="J22" i="8"/>
  <c r="B86" i="8"/>
  <c r="D83" i="9"/>
  <c r="W93" i="5"/>
  <c r="AJ37" i="8"/>
  <c r="O57" i="5"/>
  <c r="AH57" i="5" s="1"/>
  <c r="AJ57" i="5" s="1"/>
  <c r="AF57" i="5"/>
  <c r="AO57" i="5"/>
  <c r="AG57" i="5"/>
  <c r="AW59" i="5"/>
  <c r="D57" i="6" s="1"/>
  <c r="W22" i="8"/>
  <c r="AW57" i="5"/>
  <c r="D55" i="6" s="1"/>
  <c r="D51" i="9"/>
  <c r="N72" i="6"/>
  <c r="AF62" i="5"/>
  <c r="M17" i="9"/>
  <c r="Q22" i="9"/>
  <c r="G52" i="9" s="1"/>
  <c r="I82" i="9" s="1"/>
  <c r="K82" i="9" s="1"/>
  <c r="AF63" i="5"/>
  <c r="B6" i="6"/>
  <c r="J85" i="9"/>
  <c r="AK24" i="8"/>
  <c r="AJ29" i="8"/>
  <c r="AA21" i="8" s="1"/>
  <c r="AH63" i="5"/>
  <c r="AJ63" i="5" s="1"/>
  <c r="E56" i="9"/>
  <c r="AC30" i="8"/>
  <c r="Q29" i="9"/>
  <c r="G59" i="9" s="1"/>
  <c r="I89" i="9" s="1"/>
  <c r="K89" i="9" s="1"/>
  <c r="M29" i="9"/>
  <c r="M10" i="9"/>
  <c r="Q10" i="9"/>
  <c r="G40" i="9" s="1"/>
  <c r="I70" i="9" s="1"/>
  <c r="K70" i="9" s="1"/>
  <c r="AZ60" i="5"/>
  <c r="AY99" i="5" s="1"/>
  <c r="E58" i="6" s="1"/>
  <c r="AI49" i="6" s="1"/>
  <c r="AK49" i="6" s="1"/>
  <c r="AX99" i="5"/>
  <c r="H27" i="9"/>
  <c r="N56" i="8"/>
  <c r="AX82" i="5"/>
  <c r="E41" i="6" s="1"/>
  <c r="AI32" i="6" s="1"/>
  <c r="AK32" i="6" s="1"/>
  <c r="AZ43" i="5"/>
  <c r="F24" i="9"/>
  <c r="O53" i="8"/>
  <c r="AJ31" i="8" s="1"/>
  <c r="W23" i="8"/>
  <c r="X23" i="8" s="1"/>
  <c r="Y23" i="8" s="1"/>
  <c r="AC23" i="8" s="1"/>
  <c r="M66" i="6"/>
  <c r="O84" i="6"/>
  <c r="O71" i="6"/>
  <c r="P75" i="6"/>
  <c r="P83" i="6"/>
  <c r="M68" i="6"/>
  <c r="M73" i="6"/>
  <c r="M79" i="6"/>
  <c r="M83" i="6"/>
  <c r="M87" i="6"/>
  <c r="L70" i="6"/>
  <c r="N76" i="6"/>
  <c r="N80" i="6"/>
  <c r="N84" i="6"/>
  <c r="E25" i="9"/>
  <c r="Q54" i="8"/>
  <c r="D27" i="9"/>
  <c r="M56" i="8"/>
  <c r="AW62" i="5"/>
  <c r="D60" i="6" s="1"/>
  <c r="T92" i="6"/>
  <c r="T93" i="6" s="1"/>
  <c r="T94" i="6" s="1"/>
  <c r="T95" i="6" s="1"/>
  <c r="T96" i="6" s="1"/>
  <c r="T97" i="6" s="1"/>
  <c r="T98" i="6" s="1"/>
  <c r="T99" i="6" s="1"/>
  <c r="T100" i="6" s="1"/>
  <c r="T101" i="6" s="1"/>
  <c r="T102" i="6" s="1"/>
  <c r="T103" i="6" s="1"/>
  <c r="T104" i="6" s="1"/>
  <c r="T105" i="6" s="1"/>
  <c r="T106" i="6" s="1"/>
  <c r="T107" i="6" s="1"/>
  <c r="T108" i="6" s="1"/>
  <c r="T109" i="6" s="1"/>
  <c r="T110" i="6" s="1"/>
  <c r="T111" i="6" s="1"/>
  <c r="T112" i="6" s="1"/>
  <c r="T113" i="6" s="1"/>
  <c r="T114" i="6" s="1"/>
  <c r="T121" i="6"/>
  <c r="T122" i="6" s="1"/>
  <c r="T123" i="6" s="1"/>
  <c r="T124" i="6" s="1"/>
  <c r="T125" i="6" s="1"/>
  <c r="T126" i="6" s="1"/>
  <c r="T127" i="6" s="1"/>
  <c r="T128" i="6" s="1"/>
  <c r="T129" i="6" s="1"/>
  <c r="T130" i="6" s="1"/>
  <c r="T131" i="6" s="1"/>
  <c r="T132" i="6" s="1"/>
  <c r="T133" i="6" s="1"/>
  <c r="T134" i="6" s="1"/>
  <c r="T135" i="6" s="1"/>
  <c r="T136" i="6" s="1"/>
  <c r="T137" i="6" s="1"/>
  <c r="T138" i="6" s="1"/>
  <c r="T139" i="6" s="1"/>
  <c r="T140" i="6" s="1"/>
  <c r="T141" i="6" s="1"/>
  <c r="T142" i="6" s="1"/>
  <c r="T143" i="6" s="1"/>
  <c r="E6" i="6"/>
  <c r="AX90" i="5"/>
  <c r="E49" i="6" s="1"/>
  <c r="AI40" i="6" s="1"/>
  <c r="AK40" i="6" s="1"/>
  <c r="AZ51" i="5"/>
  <c r="AK16" i="8"/>
  <c r="AA8" i="8"/>
  <c r="Q24" i="8"/>
  <c r="K79" i="9"/>
  <c r="AX52" i="5"/>
  <c r="AW91" i="5" s="1"/>
  <c r="AY52" i="5"/>
  <c r="K66" i="9"/>
  <c r="R51" i="8"/>
  <c r="AX56" i="5"/>
  <c r="AW95" i="5" s="1"/>
  <c r="AY56" i="5"/>
  <c r="AG62" i="5"/>
  <c r="O73" i="6"/>
  <c r="O83" i="6"/>
  <c r="L69" i="6"/>
  <c r="P69" i="6"/>
  <c r="O78" i="6"/>
  <c r="O86" i="6"/>
  <c r="N66" i="6"/>
  <c r="M69" i="6"/>
  <c r="L72" i="6"/>
  <c r="L74" i="6"/>
  <c r="L76" i="6"/>
  <c r="L78" i="6"/>
  <c r="L80" i="6"/>
  <c r="L82" i="6"/>
  <c r="L84" i="6"/>
  <c r="L86" i="6"/>
  <c r="O66" i="6"/>
  <c r="Q68" i="6"/>
  <c r="P71" i="6"/>
  <c r="Q73" i="6"/>
  <c r="Q75" i="6"/>
  <c r="Q77" i="6"/>
  <c r="Q79" i="6"/>
  <c r="Q81" i="6"/>
  <c r="Q83" i="6"/>
  <c r="Q85" i="6"/>
  <c r="Q87" i="6"/>
  <c r="Q67" i="6"/>
  <c r="P70" i="6"/>
  <c r="N73" i="6"/>
  <c r="N77" i="6"/>
  <c r="N81" i="6"/>
  <c r="N85" i="6"/>
  <c r="AA5" i="8"/>
  <c r="AK13" i="8"/>
  <c r="AY55" i="5"/>
  <c r="AX55" i="5"/>
  <c r="AW94" i="5" s="1"/>
  <c r="AY59" i="5"/>
  <c r="AX59" i="5"/>
  <c r="AW98" i="5" s="1"/>
  <c r="AX58" i="5"/>
  <c r="AW97" i="5" s="1"/>
  <c r="AY58" i="5"/>
  <c r="O79" i="6"/>
  <c r="Q66" i="6"/>
  <c r="N71" i="6"/>
  <c r="P73" i="6"/>
  <c r="P79" i="6"/>
  <c r="P85" i="6"/>
  <c r="L71" i="6"/>
  <c r="M75" i="6"/>
  <c r="M81" i="6"/>
  <c r="M85" i="6"/>
  <c r="M67" i="6"/>
  <c r="AX65" i="5"/>
  <c r="AW104" i="5" s="1"/>
  <c r="AY65" i="5"/>
  <c r="BA46" i="5"/>
  <c r="AY46" i="5"/>
  <c r="AX46" i="5"/>
  <c r="AW85" i="5" s="1"/>
  <c r="AX54" i="5"/>
  <c r="AW93" i="5" s="1"/>
  <c r="AY54" i="5"/>
  <c r="D26" i="9"/>
  <c r="M55" i="8"/>
  <c r="W25" i="8"/>
  <c r="D87" i="9"/>
  <c r="B90" i="8"/>
  <c r="J26" i="8"/>
  <c r="AK27" i="8"/>
  <c r="F83" i="8"/>
  <c r="AY66" i="5"/>
  <c r="AX66" i="5"/>
  <c r="AW105" i="5" s="1"/>
  <c r="Y121" i="6"/>
  <c r="Y122" i="6" s="1"/>
  <c r="Y123" i="6" s="1"/>
  <c r="Y124" i="6" s="1"/>
  <c r="Y125" i="6" s="1"/>
  <c r="Y126" i="6" s="1"/>
  <c r="Y127" i="6" s="1"/>
  <c r="Y128" i="6" s="1"/>
  <c r="Y129" i="6" s="1"/>
  <c r="Y130" i="6" s="1"/>
  <c r="Y131" i="6" s="1"/>
  <c r="Y132" i="6" s="1"/>
  <c r="Y133" i="6" s="1"/>
  <c r="Y134" i="6" s="1"/>
  <c r="Y135" i="6" s="1"/>
  <c r="Y136" i="6" s="1"/>
  <c r="Y137" i="6" s="1"/>
  <c r="Y138" i="6" s="1"/>
  <c r="Y139" i="6" s="1"/>
  <c r="Y140" i="6" s="1"/>
  <c r="Y141" i="6" s="1"/>
  <c r="Y142" i="6" s="1"/>
  <c r="Y143" i="6" s="1"/>
  <c r="Y92" i="6"/>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 r="I6" i="6"/>
  <c r="AX89" i="5"/>
  <c r="E48" i="6" s="1"/>
  <c r="AI39" i="6" s="1"/>
  <c r="AK39" i="6" s="1"/>
  <c r="AZ50" i="5"/>
  <c r="AD65" i="6"/>
  <c r="M22" i="9"/>
  <c r="AA7" i="8"/>
  <c r="AK15" i="8"/>
  <c r="U95" i="6"/>
  <c r="U94" i="6"/>
  <c r="U93" i="6"/>
  <c r="U92" i="6"/>
  <c r="F6" i="6"/>
  <c r="H26" i="9"/>
  <c r="N55" i="8"/>
  <c r="AY62" i="5"/>
  <c r="AX62" i="5"/>
  <c r="AW101" i="5" s="1"/>
  <c r="AX87" i="5"/>
  <c r="E46" i="6" s="1"/>
  <c r="AI37" i="6" s="1"/>
  <c r="AK37" i="6" s="1"/>
  <c r="AZ48" i="5"/>
  <c r="H25" i="9"/>
  <c r="N54" i="8"/>
  <c r="D85" i="9"/>
  <c r="B88" i="8"/>
  <c r="J24" i="8"/>
  <c r="O87" i="6"/>
  <c r="O81" i="6"/>
  <c r="O77" i="6"/>
  <c r="Q70" i="6"/>
  <c r="O72" i="6"/>
  <c r="O80" i="6"/>
  <c r="R93" i="6"/>
  <c r="O67" i="6"/>
  <c r="Q69" i="6"/>
  <c r="P72" i="6"/>
  <c r="P74" i="6"/>
  <c r="P76" i="6"/>
  <c r="P78" i="6"/>
  <c r="P80" i="6"/>
  <c r="P82" i="6"/>
  <c r="P84" i="6"/>
  <c r="P86" i="6"/>
  <c r="L67" i="6"/>
  <c r="N69" i="6"/>
  <c r="M72" i="6"/>
  <c r="M74" i="6"/>
  <c r="M76" i="6"/>
  <c r="M78" i="6"/>
  <c r="M80" i="6"/>
  <c r="M82" i="6"/>
  <c r="M84" i="6"/>
  <c r="M86" i="6"/>
  <c r="L66" i="6"/>
  <c r="N68" i="6"/>
  <c r="M71" i="6"/>
  <c r="N74" i="6"/>
  <c r="N78" i="6"/>
  <c r="N82" i="6"/>
  <c r="N86" i="6"/>
  <c r="AA121" i="6"/>
  <c r="AA122" i="6" s="1"/>
  <c r="AA123" i="6" s="1"/>
  <c r="AA124" i="6" s="1"/>
  <c r="AA125" i="6" s="1"/>
  <c r="AA126" i="6" s="1"/>
  <c r="AA127" i="6" s="1"/>
  <c r="AA128" i="6" s="1"/>
  <c r="AA129" i="6" s="1"/>
  <c r="AA130" i="6" s="1"/>
  <c r="K6" i="6"/>
  <c r="AA92" i="6"/>
  <c r="AA93" i="6" s="1"/>
  <c r="AA94" i="6" s="1"/>
  <c r="AA95" i="6" s="1"/>
  <c r="AA96" i="6" s="1"/>
  <c r="AA97" i="6" s="1"/>
  <c r="AA98" i="6" s="1"/>
  <c r="AA99" i="6" s="1"/>
  <c r="AA100" i="6" s="1"/>
  <c r="AA101" i="6" s="1"/>
  <c r="D86" i="9"/>
  <c r="B89" i="8"/>
  <c r="J25" i="8"/>
  <c r="X25" i="8" s="1"/>
  <c r="Y25" i="8" s="1"/>
  <c r="AC25" i="8" s="1"/>
  <c r="Z28" i="8"/>
  <c r="AC28" i="8" s="1"/>
  <c r="AB28" i="8"/>
  <c r="AK29" i="8"/>
  <c r="F85" i="8"/>
  <c r="D55" i="9"/>
  <c r="O75" i="6"/>
  <c r="O76" i="6"/>
  <c r="P68" i="6"/>
  <c r="P77" i="6"/>
  <c r="P81" i="6"/>
  <c r="P87" i="6"/>
  <c r="M77" i="6"/>
  <c r="AY63" i="5"/>
  <c r="AX63" i="5"/>
  <c r="AW102" i="5" s="1"/>
  <c r="E27" i="9"/>
  <c r="Q56" i="8"/>
  <c r="AJ36" i="8"/>
  <c r="R58" i="8"/>
  <c r="AX106" i="5"/>
  <c r="AZ67" i="5"/>
  <c r="AY106" i="5" s="1"/>
  <c r="AZ106" i="5" s="1"/>
  <c r="E65" i="6" s="1"/>
  <c r="I80" i="9"/>
  <c r="K80" i="9" s="1"/>
  <c r="R39" i="8"/>
  <c r="AJ17" i="8"/>
  <c r="J87" i="9"/>
  <c r="AY61" i="5"/>
  <c r="AX61" i="5"/>
  <c r="AW100" i="5" s="1"/>
  <c r="AX86" i="5"/>
  <c r="E45" i="6" s="1"/>
  <c r="AI36" i="6" s="1"/>
  <c r="AK36" i="6" s="1"/>
  <c r="AZ47" i="5"/>
  <c r="X21" i="8"/>
  <c r="Y21" i="8" s="1"/>
  <c r="AC21" i="8" s="1"/>
  <c r="AY64" i="5"/>
  <c r="AX64" i="5"/>
  <c r="AW103" i="5" s="1"/>
  <c r="AY53" i="5"/>
  <c r="AX53" i="5"/>
  <c r="AW92" i="5" s="1"/>
  <c r="AW61" i="5"/>
  <c r="D59" i="6" s="1"/>
  <c r="J86" i="9"/>
  <c r="N67" i="6"/>
  <c r="M70" i="6"/>
  <c r="O85" i="6"/>
  <c r="O74" i="6"/>
  <c r="O82" i="6"/>
  <c r="O68" i="6"/>
  <c r="L68" i="6"/>
  <c r="N70" i="6"/>
  <c r="L73" i="6"/>
  <c r="L75" i="6"/>
  <c r="L77" i="6"/>
  <c r="L79" i="6"/>
  <c r="L81" i="6"/>
  <c r="L83" i="6"/>
  <c r="L85" i="6"/>
  <c r="L87" i="6"/>
  <c r="P67" i="6"/>
  <c r="O70" i="6"/>
  <c r="Q72" i="6"/>
  <c r="Q74" i="6"/>
  <c r="Q76" i="6"/>
  <c r="Q78" i="6"/>
  <c r="Q80" i="6"/>
  <c r="Q82" i="6"/>
  <c r="Q84" i="6"/>
  <c r="Q86" i="6"/>
  <c r="P66" i="6"/>
  <c r="O69" i="6"/>
  <c r="Q71" i="6"/>
  <c r="N75" i="6"/>
  <c r="N79" i="6"/>
  <c r="N83" i="6"/>
  <c r="N87" i="6"/>
  <c r="X60" i="6"/>
  <c r="Q26" i="8"/>
  <c r="R52" i="8" l="1"/>
  <c r="B7" i="6"/>
  <c r="X22" i="8"/>
  <c r="Y22" i="8" s="1"/>
  <c r="AC22" i="8" s="1"/>
  <c r="AY57" i="5"/>
  <c r="AX57" i="5"/>
  <c r="AW96" i="5" s="1"/>
  <c r="AJ28" i="8"/>
  <c r="AA20" i="8" s="1"/>
  <c r="R50" i="8"/>
  <c r="K81" i="9"/>
  <c r="M23" i="9"/>
  <c r="Q23" i="9"/>
  <c r="G53" i="9" s="1"/>
  <c r="I83" i="9" s="1"/>
  <c r="K83" i="9" s="1"/>
  <c r="AA29" i="8"/>
  <c r="AK37" i="8"/>
  <c r="F84" i="8"/>
  <c r="L92" i="6"/>
  <c r="F86" i="8"/>
  <c r="X20" i="8"/>
  <c r="Y20" i="8" s="1"/>
  <c r="AC20" i="8" s="1"/>
  <c r="M21" i="9"/>
  <c r="AJ30" i="8"/>
  <c r="AA22" i="8" s="1"/>
  <c r="AZ64" i="5"/>
  <c r="AX103" i="5"/>
  <c r="F89" i="8"/>
  <c r="P121" i="6"/>
  <c r="F27" i="9"/>
  <c r="E57" i="9" s="1"/>
  <c r="O56" i="8"/>
  <c r="AJ34" i="8" s="1"/>
  <c r="AZ61" i="5"/>
  <c r="AY100" i="5" s="1"/>
  <c r="E59" i="6" s="1"/>
  <c r="AI50" i="6" s="1"/>
  <c r="AK50" i="6" s="1"/>
  <c r="AX100" i="5"/>
  <c r="AA28" i="8"/>
  <c r="AK36" i="8"/>
  <c r="AZ63" i="5"/>
  <c r="AX102" i="5"/>
  <c r="N92" i="6"/>
  <c r="AF65" i="6" s="1"/>
  <c r="P92" i="6"/>
  <c r="B8" i="6"/>
  <c r="AX105" i="5"/>
  <c r="AZ66" i="5"/>
  <c r="F90" i="8"/>
  <c r="D56" i="9"/>
  <c r="Q26" i="9"/>
  <c r="G56" i="9" s="1"/>
  <c r="I86" i="9" s="1"/>
  <c r="K86" i="9" s="1"/>
  <c r="M26" i="9"/>
  <c r="AZ65" i="5"/>
  <c r="AX104" i="5"/>
  <c r="AZ59" i="5"/>
  <c r="AY98" i="5" s="1"/>
  <c r="E57" i="6" s="1"/>
  <c r="AI48" i="6" s="1"/>
  <c r="AK48" i="6" s="1"/>
  <c r="AX98" i="5"/>
  <c r="F25" i="9"/>
  <c r="O54" i="8"/>
  <c r="W24" i="8"/>
  <c r="X24" i="8" s="1"/>
  <c r="Y24" i="8" s="1"/>
  <c r="AC24" i="8" s="1"/>
  <c r="L121" i="6"/>
  <c r="O122" i="6"/>
  <c r="R123" i="6"/>
  <c r="N122" i="6"/>
  <c r="Q122" i="6"/>
  <c r="M122" i="6"/>
  <c r="P122" i="6"/>
  <c r="L122" i="6"/>
  <c r="R55" i="8"/>
  <c r="AJ33" i="8"/>
  <c r="AA25" i="8" s="1"/>
  <c r="AZ53" i="5"/>
  <c r="AX92" i="5"/>
  <c r="E51" i="6" s="1"/>
  <c r="AI42" i="6" s="1"/>
  <c r="AK42" i="6" s="1"/>
  <c r="AI56" i="6"/>
  <c r="AK56" i="6" s="1"/>
  <c r="E92" i="6"/>
  <c r="Q93" i="6"/>
  <c r="M93" i="6"/>
  <c r="P93" i="6"/>
  <c r="L93" i="6"/>
  <c r="O93" i="6"/>
  <c r="R94" i="6"/>
  <c r="N93" i="6"/>
  <c r="M92" i="6"/>
  <c r="AZ62" i="5"/>
  <c r="AY101" i="5" s="1"/>
  <c r="E60" i="6" s="1"/>
  <c r="AI51" i="6" s="1"/>
  <c r="AK51" i="6" s="1"/>
  <c r="AX101" i="5"/>
  <c r="AX93" i="5"/>
  <c r="E52" i="6" s="1"/>
  <c r="AI43" i="6" s="1"/>
  <c r="AK43" i="6" s="1"/>
  <c r="AZ54" i="5"/>
  <c r="AZ58" i="5"/>
  <c r="AY97" i="5" s="1"/>
  <c r="E56" i="6" s="1"/>
  <c r="AI47" i="6" s="1"/>
  <c r="AK47" i="6" s="1"/>
  <c r="AX97" i="5"/>
  <c r="AX91" i="5"/>
  <c r="E50" i="6" s="1"/>
  <c r="AI41" i="6" s="1"/>
  <c r="AK41" i="6" s="1"/>
  <c r="AZ52" i="5"/>
  <c r="W26" i="8"/>
  <c r="X26" i="8" s="1"/>
  <c r="Y26" i="8" s="1"/>
  <c r="AC26" i="8" s="1"/>
  <c r="M121" i="6"/>
  <c r="O121" i="6"/>
  <c r="AZ56" i="5"/>
  <c r="AX95" i="5"/>
  <c r="E54" i="6" s="1"/>
  <c r="AI45" i="6" s="1"/>
  <c r="AK45" i="6" s="1"/>
  <c r="D57" i="9"/>
  <c r="N121" i="6"/>
  <c r="E54" i="9"/>
  <c r="Q24" i="9"/>
  <c r="G54" i="9" s="1"/>
  <c r="I84" i="9" s="1"/>
  <c r="K84" i="9" s="1"/>
  <c r="M24" i="9"/>
  <c r="AA9" i="8"/>
  <c r="AK17" i="8"/>
  <c r="O92" i="6"/>
  <c r="AE65" i="6" s="1"/>
  <c r="Q92" i="6"/>
  <c r="F88" i="8"/>
  <c r="AX85" i="5"/>
  <c r="E44" i="6" s="1"/>
  <c r="AI35" i="6" s="1"/>
  <c r="AK35" i="6" s="1"/>
  <c r="AZ46" i="5"/>
  <c r="AX94" i="5"/>
  <c r="E53" i="6" s="1"/>
  <c r="AI44" i="6" s="1"/>
  <c r="AK44" i="6" s="1"/>
  <c r="AZ55" i="5"/>
  <c r="Q121" i="6"/>
  <c r="AA23" i="8"/>
  <c r="AK31" i="8"/>
  <c r="R53" i="8"/>
  <c r="Q27" i="9" l="1"/>
  <c r="G57" i="9" s="1"/>
  <c r="I87" i="9" s="1"/>
  <c r="K87" i="9" s="1"/>
  <c r="AK28" i="8"/>
  <c r="AK30" i="8"/>
  <c r="AZ57" i="5"/>
  <c r="AY96" i="5" s="1"/>
  <c r="E55" i="6" s="1"/>
  <c r="AI46" i="6" s="1"/>
  <c r="AK46" i="6" s="1"/>
  <c r="AX96" i="5"/>
  <c r="M27" i="9"/>
  <c r="AA26" i="8"/>
  <c r="AK34" i="8"/>
  <c r="AD66" i="6"/>
  <c r="AF66" i="6" s="1"/>
  <c r="AX72" i="5"/>
  <c r="AY105" i="5"/>
  <c r="AZ105" i="5" s="1"/>
  <c r="E64" i="6" s="1"/>
  <c r="R56" i="8"/>
  <c r="O123" i="6"/>
  <c r="R124" i="6"/>
  <c r="N123" i="6"/>
  <c r="Q123" i="6"/>
  <c r="M123" i="6"/>
  <c r="P123" i="6"/>
  <c r="L123" i="6"/>
  <c r="AJ32" i="8"/>
  <c r="R54" i="8"/>
  <c r="AK33" i="8"/>
  <c r="E55" i="9"/>
  <c r="Q25" i="9"/>
  <c r="G55" i="9" s="1"/>
  <c r="I85" i="9" s="1"/>
  <c r="K85" i="9" s="1"/>
  <c r="M25" i="9"/>
  <c r="AX71" i="5"/>
  <c r="AY104" i="5"/>
  <c r="AZ104" i="5" s="1"/>
  <c r="E63" i="6" s="1"/>
  <c r="Q94" i="6"/>
  <c r="M94" i="6"/>
  <c r="P94" i="6"/>
  <c r="L94" i="6"/>
  <c r="O94" i="6"/>
  <c r="R95" i="6"/>
  <c r="N94" i="6"/>
  <c r="AX69" i="5"/>
  <c r="AY102" i="5"/>
  <c r="E61" i="6" s="1"/>
  <c r="AY103" i="5"/>
  <c r="E62" i="6" s="1"/>
  <c r="AX70" i="5"/>
  <c r="AA24" i="8" l="1"/>
  <c r="AK32" i="8"/>
  <c r="AE66" i="6"/>
  <c r="Q95" i="6"/>
  <c r="M95" i="6"/>
  <c r="P95" i="6"/>
  <c r="L95" i="6"/>
  <c r="O95" i="6"/>
  <c r="R96" i="6"/>
  <c r="N95" i="6"/>
  <c r="E90" i="6"/>
  <c r="AI54" i="6"/>
  <c r="AK54" i="6" s="1"/>
  <c r="AI55" i="6"/>
  <c r="AK55" i="6" s="1"/>
  <c r="E91" i="6"/>
  <c r="AI53" i="6"/>
  <c r="AK53" i="6" s="1"/>
  <c r="E89" i="6"/>
  <c r="AI52" i="6"/>
  <c r="AK52" i="6" s="1"/>
  <c r="E88" i="6"/>
  <c r="O124" i="6"/>
  <c r="R125" i="6"/>
  <c r="N124" i="6"/>
  <c r="Q124" i="6"/>
  <c r="M124" i="6"/>
  <c r="P124" i="6"/>
  <c r="L124" i="6"/>
  <c r="O125" i="6" l="1"/>
  <c r="R126" i="6"/>
  <c r="N125" i="6"/>
  <c r="Q125" i="6"/>
  <c r="M125" i="6"/>
  <c r="P125" i="6"/>
  <c r="L125" i="6"/>
  <c r="AD67" i="6"/>
  <c r="AF67" i="6" s="1"/>
  <c r="R97" i="6"/>
  <c r="Q96" i="6"/>
  <c r="M96" i="6"/>
  <c r="P96" i="6"/>
  <c r="L96" i="6"/>
  <c r="O96" i="6"/>
  <c r="N96" i="6"/>
  <c r="AE67" i="6" l="1"/>
  <c r="AD68" i="6"/>
  <c r="AF68" i="6" s="1"/>
  <c r="N97" i="6"/>
  <c r="Q97" i="6"/>
  <c r="M97" i="6"/>
  <c r="R98" i="6"/>
  <c r="P97" i="6"/>
  <c r="L97" i="6"/>
  <c r="O97" i="6"/>
  <c r="O126" i="6"/>
  <c r="R127" i="6"/>
  <c r="N126" i="6"/>
  <c r="Q126" i="6"/>
  <c r="M126" i="6"/>
  <c r="P126" i="6"/>
  <c r="L126" i="6"/>
  <c r="AE68" i="6" l="1"/>
  <c r="O127" i="6"/>
  <c r="R128" i="6"/>
  <c r="N127" i="6"/>
  <c r="Q127" i="6"/>
  <c r="M127" i="6"/>
  <c r="P127" i="6"/>
  <c r="L127" i="6"/>
  <c r="Q98" i="6"/>
  <c r="O98" i="6"/>
  <c r="N98" i="6"/>
  <c r="M98" i="6"/>
  <c r="L98" i="6"/>
  <c r="P98" i="6"/>
  <c r="R99" i="6"/>
  <c r="AD69" i="6"/>
  <c r="AF69" i="6" s="1"/>
  <c r="AE69" i="6" l="1"/>
  <c r="Q99" i="6"/>
  <c r="M99" i="6"/>
  <c r="P99" i="6"/>
  <c r="O99" i="6"/>
  <c r="N99" i="6"/>
  <c r="L99" i="6"/>
  <c r="R100" i="6"/>
  <c r="O128" i="6"/>
  <c r="R129" i="6"/>
  <c r="N128" i="6"/>
  <c r="Q128" i="6"/>
  <c r="M128" i="6"/>
  <c r="P128" i="6"/>
  <c r="L128" i="6"/>
  <c r="Q100" i="6" l="1"/>
  <c r="M100" i="6"/>
  <c r="P100" i="6"/>
  <c r="L100" i="6"/>
  <c r="O100" i="6"/>
  <c r="N100" i="6"/>
  <c r="R101" i="6"/>
  <c r="O129" i="6"/>
  <c r="R130" i="6"/>
  <c r="N129" i="6"/>
  <c r="Q129" i="6"/>
  <c r="M129" i="6"/>
  <c r="P129" i="6"/>
  <c r="L129" i="6"/>
  <c r="AD70" i="6"/>
  <c r="AF70" i="6" s="1"/>
  <c r="Q101" i="6" l="1"/>
  <c r="M101" i="6"/>
  <c r="P101" i="6"/>
  <c r="L101" i="6"/>
  <c r="O101" i="6"/>
  <c r="N101" i="6"/>
  <c r="R102" i="6"/>
  <c r="AE70" i="6"/>
  <c r="O130" i="6"/>
  <c r="R131" i="6"/>
  <c r="N130" i="6"/>
  <c r="Q130" i="6"/>
  <c r="M130" i="6"/>
  <c r="P130" i="6"/>
  <c r="L130" i="6"/>
  <c r="R103" i="6" l="1"/>
  <c r="Q102" i="6"/>
  <c r="M102" i="6"/>
  <c r="P102" i="6"/>
  <c r="L102" i="6"/>
  <c r="O102" i="6"/>
  <c r="N102" i="6"/>
  <c r="AD71" i="6"/>
  <c r="AF71" i="6" s="1"/>
  <c r="O131" i="6"/>
  <c r="N131" i="6"/>
  <c r="R132" i="6"/>
  <c r="Q131" i="6"/>
  <c r="M131" i="6"/>
  <c r="P131" i="6"/>
  <c r="L131" i="6"/>
  <c r="AE71" i="6" l="1"/>
  <c r="P132" i="6"/>
  <c r="L132" i="6"/>
  <c r="O132" i="6"/>
  <c r="N132" i="6"/>
  <c r="R133" i="6"/>
  <c r="Q132" i="6"/>
  <c r="M132" i="6"/>
  <c r="N103" i="6"/>
  <c r="R104" i="6"/>
  <c r="Q103" i="6"/>
  <c r="M103" i="6"/>
  <c r="P103" i="6"/>
  <c r="L103" i="6"/>
  <c r="O103" i="6"/>
  <c r="O104" i="6" l="1"/>
  <c r="N104" i="6"/>
  <c r="R105" i="6"/>
  <c r="Q104" i="6"/>
  <c r="M104" i="6"/>
  <c r="P104" i="6"/>
  <c r="L104" i="6"/>
  <c r="R134" i="6"/>
  <c r="Q133" i="6"/>
  <c r="M133" i="6"/>
  <c r="P133" i="6"/>
  <c r="L133" i="6"/>
  <c r="O133" i="6"/>
  <c r="N133" i="6"/>
  <c r="N134" i="6" l="1"/>
  <c r="R135" i="6"/>
  <c r="Q134" i="6"/>
  <c r="M134" i="6"/>
  <c r="P134" i="6"/>
  <c r="L134" i="6"/>
  <c r="O134" i="6"/>
  <c r="P105" i="6"/>
  <c r="L105" i="6"/>
  <c r="O105" i="6"/>
  <c r="N105" i="6"/>
  <c r="R106" i="6"/>
  <c r="Q105" i="6"/>
  <c r="M105" i="6"/>
  <c r="R107" i="6" l="1"/>
  <c r="Q106" i="6"/>
  <c r="M106" i="6"/>
  <c r="P106" i="6"/>
  <c r="L106" i="6"/>
  <c r="O106" i="6"/>
  <c r="N106" i="6"/>
  <c r="O135" i="6"/>
  <c r="N135" i="6"/>
  <c r="R136" i="6"/>
  <c r="Q135" i="6"/>
  <c r="M135" i="6"/>
  <c r="L135" i="6"/>
  <c r="P135" i="6"/>
  <c r="P136" i="6" l="1"/>
  <c r="L136" i="6"/>
  <c r="O136" i="6"/>
  <c r="N136" i="6"/>
  <c r="M136" i="6"/>
  <c r="R137" i="6"/>
  <c r="Q136" i="6"/>
  <c r="N107" i="6"/>
  <c r="R108" i="6"/>
  <c r="Q107" i="6"/>
  <c r="M107" i="6"/>
  <c r="P107" i="6"/>
  <c r="L107" i="6"/>
  <c r="O107" i="6"/>
  <c r="R138" i="6" l="1"/>
  <c r="Q137" i="6"/>
  <c r="M137" i="6"/>
  <c r="P137" i="6"/>
  <c r="L137" i="6"/>
  <c r="O137" i="6"/>
  <c r="N137" i="6"/>
  <c r="O108" i="6"/>
  <c r="N108" i="6"/>
  <c r="R109" i="6"/>
  <c r="Q108" i="6"/>
  <c r="M108" i="6"/>
  <c r="P108" i="6"/>
  <c r="L108" i="6"/>
  <c r="P109" i="6" l="1"/>
  <c r="L109" i="6"/>
  <c r="O109" i="6"/>
  <c r="N109" i="6"/>
  <c r="R110" i="6"/>
  <c r="Q109" i="6"/>
  <c r="M109" i="6"/>
  <c r="P138" i="6"/>
  <c r="L138" i="6"/>
  <c r="N138" i="6"/>
  <c r="Q138" i="6"/>
  <c r="R139" i="6"/>
  <c r="O138" i="6"/>
  <c r="M138" i="6"/>
  <c r="R140" i="6" l="1"/>
  <c r="Q139" i="6"/>
  <c r="M139" i="6"/>
  <c r="P139" i="6"/>
  <c r="O139" i="6"/>
  <c r="N139" i="6"/>
  <c r="L139" i="6"/>
  <c r="R111" i="6"/>
  <c r="Q110" i="6"/>
  <c r="M110" i="6"/>
  <c r="P110" i="6"/>
  <c r="L110" i="6"/>
  <c r="O110" i="6"/>
  <c r="N110" i="6"/>
  <c r="N111" i="6" l="1"/>
  <c r="R112" i="6"/>
  <c r="Q111" i="6"/>
  <c r="M111" i="6"/>
  <c r="P111" i="6"/>
  <c r="L111" i="6"/>
  <c r="O111" i="6"/>
  <c r="N140" i="6"/>
  <c r="R141" i="6"/>
  <c r="Q140" i="6"/>
  <c r="M140" i="6"/>
  <c r="P140" i="6"/>
  <c r="L140" i="6"/>
  <c r="O140" i="6"/>
  <c r="O112" i="6" l="1"/>
  <c r="N112" i="6"/>
  <c r="R113" i="6"/>
  <c r="Q112" i="6"/>
  <c r="M112" i="6"/>
  <c r="P112" i="6"/>
  <c r="L112" i="6"/>
  <c r="O141" i="6"/>
  <c r="N141" i="6"/>
  <c r="R142" i="6"/>
  <c r="Q141" i="6"/>
  <c r="M141" i="6"/>
  <c r="P141" i="6"/>
  <c r="L141" i="6"/>
  <c r="P113" i="6" l="1"/>
  <c r="L113" i="6"/>
  <c r="O113" i="6"/>
  <c r="N113" i="6"/>
  <c r="R114" i="6"/>
  <c r="Q113" i="6"/>
  <c r="M113" i="6"/>
  <c r="P142" i="6"/>
  <c r="L142" i="6"/>
  <c r="O142" i="6"/>
  <c r="N142" i="6"/>
  <c r="R143" i="6"/>
  <c r="Q142" i="6"/>
  <c r="M142" i="6"/>
  <c r="Q143" i="6" l="1"/>
  <c r="M143" i="6"/>
  <c r="P143" i="6"/>
  <c r="L143" i="6"/>
  <c r="O143" i="6"/>
  <c r="N143" i="6"/>
  <c r="Q114" i="6"/>
  <c r="M114" i="6"/>
  <c r="P114" i="6"/>
  <c r="L114" i="6"/>
  <c r="O114" i="6"/>
  <c r="N114" i="6"/>
</calcChain>
</file>

<file path=xl/comments1.xml><?xml version="1.0" encoding="utf-8"?>
<comments xmlns="http://schemas.openxmlformats.org/spreadsheetml/2006/main">
  <authors>
    <author>LC</author>
  </authors>
  <commentList>
    <comment ref="BA1" authorId="0" shape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W2" authorId="0" shape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 ref="BB9"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shapeId="0">
      <text>
        <r>
          <rPr>
            <sz val="10"/>
            <rFont val="Arial"/>
            <family val="2"/>
            <charset val="1"/>
          </rPr>
          <t xml:space="preserve">Leonardo Calcagno:
C'est la TVA nette des remboursements de TVA et du 11% qui va au système de sécurité sociale. 
Soit 89% de la TVA nette de remboursements. </t>
        </r>
      </text>
    </comment>
    <comment ref="AB26"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shape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BB27" authorId="0" shapeId="0">
      <text>
        <r>
          <rPr>
            <sz val="10"/>
            <rFont val="Arial"/>
            <family val="2"/>
            <charset val="1"/>
          </rPr>
          <t>Leonardo Calcagno:
Au 31 décembre 2012, c'est 64% de l'impôt net des soustractions annuelles pour la sécurité sociale et autres. A priori ce pourcentage est valable pour la période 1997-2012.</t>
        </r>
      </text>
    </comment>
    <comment ref="BB43" authorId="0" shapeId="0">
      <text>
        <r>
          <rPr>
            <sz val="10"/>
            <rFont val="Arial"/>
            <family val="2"/>
            <charset val="1"/>
          </rPr>
          <t xml:space="preserve">Leonardo Calcagno:
Coparticipable à 100%. </t>
        </r>
      </text>
    </comment>
    <comment ref="BB44" authorId="0" shapeId="0">
      <text>
        <r>
          <rPr>
            <sz val="10"/>
            <rFont val="Arial"/>
            <family val="2"/>
            <charset val="1"/>
          </rPr>
          <t xml:space="preserve">Leonardo Calcagno:
Coparticipable à 100%. </t>
        </r>
      </text>
    </comment>
    <comment ref="AB60"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shape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shapeId="0">
      <text>
        <r>
          <rPr>
            <sz val="10"/>
            <rFont val="Arial"/>
            <family val="2"/>
            <charset val="1"/>
          </rPr>
          <t>Leonardo Calcagno:
C'est 20% de l'impôt net sur les revenus + 120 millions de pesos déduits de l'impôt brut sur les revenus.</t>
        </r>
      </text>
    </comment>
    <comment ref="BB79" authorId="0" shapeId="0">
      <text>
        <r>
          <rPr>
            <sz val="10"/>
            <rFont val="Arial"/>
            <family val="2"/>
            <charset val="1"/>
          </rPr>
          <t>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AB95" authorId="0" shapeId="0">
      <text>
        <r>
          <rPr>
            <sz val="10"/>
            <rFont val="Arial"/>
            <family val="2"/>
            <charset val="1"/>
          </rPr>
          <t>Leonardo Calcagno:
Destinée intégralement au SUSS</t>
        </r>
      </text>
    </comment>
    <comment ref="BB96" authorId="0" shapeId="0">
      <text>
        <r>
          <rPr>
            <sz val="10"/>
            <rFont val="Arial"/>
            <family val="2"/>
            <charset val="1"/>
          </rPr>
          <t xml:space="preserve">Leonardo Calcagno:
Depuis février 1999, 100% coparticipé. 
</t>
        </r>
      </text>
    </comment>
    <comment ref="AB112" authorId="0" shapeId="0">
      <text>
        <r>
          <rPr>
            <sz val="10"/>
            <rFont val="Arial"/>
            <family val="2"/>
            <charset val="1"/>
          </rPr>
          <t xml:space="preserve">Leonardo Calcagno:
Dédié entièrement au financement du SUSS. 
</t>
        </r>
      </text>
    </comment>
    <comment ref="BB130" authorId="0" shape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AB146" authorId="0" shapeId="0">
      <text>
        <r>
          <rPr>
            <sz val="10"/>
            <rFont val="Arial"/>
            <family val="2"/>
            <charset val="1"/>
          </rPr>
          <t xml:space="preserve">Leonardo Calcagno:
21% de cette taxe va au SIPA. </t>
        </r>
      </text>
    </comment>
    <comment ref="BB147" authorId="0" shape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AB163" authorId="0" shapeId="0">
      <text>
        <r>
          <rPr>
            <sz val="10"/>
            <rFont val="Arial"/>
            <family val="2"/>
            <charset val="1"/>
          </rPr>
          <t>Leonardo Calcagno:
Destinée entièrement au SUSS. N'existe que depuis octobre 1998.</t>
        </r>
      </text>
    </comment>
    <comment ref="AB180" authorId="0" shapeId="0">
      <text>
        <r>
          <rPr>
            <sz val="10"/>
            <rFont val="Arial"/>
            <family val="2"/>
            <charset val="1"/>
          </rPr>
          <t xml:space="preserve">Leonardo Calcagno:
Jusqu'en 2009, ne finance pas la sécurité sociale. À partir de 2010, la finance à hauteur de 70%. </t>
        </r>
      </text>
    </comment>
    <comment ref="AB200" authorId="0" shapeId="0">
      <text>
        <r>
          <rPr>
            <sz val="10"/>
            <rFont val="Arial"/>
            <family val="2"/>
            <charset val="1"/>
          </rPr>
          <t>Leonardo Calcagno:
Destiné entièrement au SIPA</t>
        </r>
      </text>
    </comment>
  </commentList>
</comments>
</file>

<file path=xl/comments2.xml><?xml version="1.0" encoding="utf-8"?>
<comments xmlns="http://schemas.openxmlformats.org/spreadsheetml/2006/main">
  <authors>
    <author>LC</author>
    <author>AG6</author>
  </authors>
  <commentList>
    <comment ref="BR7" authorId="0" shapeId="0">
      <text>
        <r>
          <rPr>
            <sz val="10"/>
            <rFont val="Arial"/>
            <family val="2"/>
            <charset val="1"/>
          </rPr>
          <t>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X7" authorId="0" shapeId="0">
      <text>
        <r>
          <rPr>
            <sz val="10"/>
            <rFont val="Arial"/>
            <family val="2"/>
            <charset val="1"/>
          </rPr>
          <t>Esto es casi igual a la suma de las tranferencias de salud, promoción social y al sector público o externo , exactamente igual en el 1998</t>
        </r>
      </text>
    </comment>
    <comment ref="CJ7" authorId="0" shapeId="0">
      <text>
        <r>
          <rPr>
            <b/>
            <sz val="9"/>
            <color rgb="FF000000"/>
            <rFont val="Tahoma"/>
            <family val="2"/>
            <charset val="1"/>
          </rPr>
          <t xml:space="preserve">AG6:
</t>
        </r>
        <r>
          <rPr>
            <sz val="9"/>
            <color rgb="FF000000"/>
            <rFont val="Tahoma"/>
            <family val="2"/>
            <charset val="1"/>
          </rPr>
          <t>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BU30" authorId="0" shapeId="0">
      <text>
        <r>
          <rPr>
            <sz val="10"/>
            <rFont val="Arial"/>
            <family val="2"/>
            <charset val="1"/>
          </rPr>
          <t>Cifra proveniente del seguimiento físico financiero, mezclada en transferencias de seguridad social. En el 2016, cifra que aparece separada en la cuenta de inversión</t>
        </r>
      </text>
    </comment>
    <comment ref="BN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BQ32" authorId="0" shapeId="0">
      <text>
        <r>
          <rPr>
            <b/>
            <sz val="9"/>
            <color rgb="FF000000"/>
            <rFont val="Tahoma"/>
            <family val="2"/>
            <charset val="1"/>
          </rPr>
          <t xml:space="preserve">Windows User:
</t>
        </r>
        <r>
          <rPr>
            <sz val="9"/>
            <color rgb="FF000000"/>
            <rFont val="Tahoma"/>
            <family val="2"/>
            <charset val="1"/>
          </rPr>
          <t>Se resta el total de los gasots por transferencias del RENATRE, disponible en le Anexo 3.10. Se puede ver que así la suma es igual a las transferencias corrientes de ANSES</t>
        </r>
      </text>
    </comment>
    <comment ref="DF32" authorId="0" shapeId="0">
      <text>
        <r>
          <rPr>
            <b/>
            <sz val="9"/>
            <color rgb="FF000000"/>
            <rFont val="Tahoma"/>
            <family val="2"/>
          </rPr>
          <t xml:space="preserve">Windows User:
</t>
        </r>
        <r>
          <rPr>
            <sz val="9"/>
            <color rgb="FF000000"/>
            <rFont val="Tahoma"/>
            <family val="2"/>
          </rPr>
          <t>Datos provisorios</t>
        </r>
      </text>
    </comment>
    <comment ref="BO33" authorId="0" shapeId="0">
      <text>
        <r>
          <rPr>
            <b/>
            <sz val="9"/>
            <color rgb="FF000000"/>
            <rFont val="Tahoma"/>
            <family val="2"/>
            <charset val="1"/>
          </rPr>
          <t xml:space="preserve">Windows User:
</t>
        </r>
        <r>
          <rPr>
            <sz val="9"/>
            <color rgb="FF000000"/>
            <rFont val="Tahoma"/>
            <family val="2"/>
            <charset val="1"/>
          </rPr>
          <t>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DF33" authorId="0" shapeId="0">
      <text>
        <r>
          <rPr>
            <b/>
            <sz val="9"/>
            <color rgb="FF000000"/>
            <rFont val="Tahoma"/>
            <family val="2"/>
          </rPr>
          <t xml:space="preserve">Windows User:
</t>
        </r>
        <r>
          <rPr>
            <sz val="9"/>
            <color rgb="FF000000"/>
            <rFont val="Tahoma"/>
            <family val="2"/>
          </rPr>
          <t>Datos prelliminares</t>
        </r>
      </text>
    </comment>
    <comment ref="W34" authorId="0" shapeId="0">
      <text>
        <r>
          <rPr>
            <b/>
            <sz val="9"/>
            <color rgb="FF000000"/>
            <rFont val="Tahoma"/>
            <family val="2"/>
            <charset val="1"/>
          </rPr>
          <t xml:space="preserve">Windows User:
</t>
        </r>
        <r>
          <rPr>
            <sz val="9"/>
            <color rgb="FF000000"/>
            <rFont val="Tahoma"/>
            <family val="2"/>
            <charset val="1"/>
          </rPr>
          <t>No olvidar que cuando se use el AIF base caja sector público nacional, se deberá incluir todos los ítems excluidos por el resumen AIF base caja del inciso rentas de la propiedad de inst. de seg. Soc.</t>
        </r>
      </text>
    </comment>
    <comment ref="AI35" authorId="1" shapeId="0">
      <text>
        <r>
          <rPr>
            <b/>
            <sz val="9"/>
            <color indexed="81"/>
            <rFont val="Tahoma"/>
            <family val="2"/>
          </rPr>
          <t>AG6:</t>
        </r>
        <r>
          <rPr>
            <sz val="9"/>
            <color indexed="81"/>
            <rFont val="Tahoma"/>
            <family val="2"/>
          </rPr>
          <t xml:space="preserve">
Se toma el acumulado al tercer trimestre 2019 de pago PUAM y se lo multiplica por 4/3. Estimación provisoria y sobre todo a título indicativo</t>
        </r>
      </text>
    </comment>
    <comment ref="AK35" authorId="1" shapeId="0">
      <text>
        <r>
          <rPr>
            <b/>
            <sz val="9"/>
            <color indexed="81"/>
            <rFont val="Tahoma"/>
            <family val="2"/>
          </rPr>
          <t>AG6:</t>
        </r>
        <r>
          <rPr>
            <sz val="9"/>
            <color indexed="81"/>
            <rFont val="Tahoma"/>
            <family val="2"/>
          </rPr>
          <t xml:space="preserve">
Se toma el acumulado al tercer trimestre 2019 de pago AA.FF. Sector público nacional y se lo multiplica por 4/3. Estimación provisoria y sobre todo a título indicativo</t>
        </r>
      </text>
    </comment>
    <comment ref="BG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BK35" authorId="1" shapeId="0">
      <text>
        <r>
          <rPr>
            <b/>
            <sz val="9"/>
            <color indexed="81"/>
            <rFont val="Tahoma"/>
            <family val="2"/>
          </rPr>
          <t>AG6:</t>
        </r>
        <r>
          <rPr>
            <sz val="9"/>
            <color indexed="81"/>
            <rFont val="Tahoma"/>
            <family val="2"/>
          </rPr>
          <t xml:space="preserve">
Estimación provisoria, indicativa, en base a seguimiento físico financiero acumulado a tercer trimestre 2019</t>
        </r>
      </text>
    </comment>
    <comment ref="CI35" authorId="1" shapeId="0">
      <text>
        <r>
          <rPr>
            <b/>
            <sz val="9"/>
            <color indexed="81"/>
            <rFont val="Tahoma"/>
            <family val="2"/>
          </rPr>
          <t>AG6:</t>
        </r>
        <r>
          <rPr>
            <sz val="9"/>
            <color indexed="81"/>
            <rFont val="Tahoma"/>
            <family val="2"/>
          </rPr>
          <t xml:space="preserve">
Son las contribuciones figurativas a ISS, de ISS: es ANSES que hace transferencias a cajas de fuerzas de seguridad y militares (IAF)</t>
        </r>
      </text>
    </comment>
    <comment ref="CL35" authorId="1" shapeId="0">
      <text>
        <r>
          <rPr>
            <b/>
            <sz val="9"/>
            <color indexed="81"/>
            <rFont val="Tahoma"/>
            <family val="2"/>
          </rPr>
          <t>AG6:</t>
        </r>
        <r>
          <rPr>
            <sz val="9"/>
            <color indexed="81"/>
            <rFont val="Tahoma"/>
            <family val="2"/>
          </rPr>
          <t xml:space="preserve">
Aplicaciones financieras, disminución de deudas y otros pasivos de ISS. Puede corresponder al pago de sentencias o ser algo superior (en 2017 correspondió, en 2018 fue superior)</t>
        </r>
      </text>
    </comment>
    <comment ref="BN37" authorId="0" shapeId="0">
      <text>
        <r>
          <rPr>
            <sz val="11"/>
            <color rgb="FF000000"/>
            <rFont val="Calibri"/>
            <family val="2"/>
            <charset val="1"/>
          </rPr>
          <t xml:space="preserve">Transferencias corrientes al sector privado: asignaciones familiares + subsidios + progresar+fondo nacional de empleo 
</t>
        </r>
      </text>
    </comment>
    <comment ref="BR37" authorId="0" shapeId="0">
      <text>
        <r>
          <rPr>
            <b/>
            <sz val="9"/>
            <color rgb="FF000000"/>
            <rFont val="Tahoma"/>
            <family val="2"/>
            <charset val="1"/>
          </rPr>
          <t xml:space="preserve">Windows User:
</t>
        </r>
        <r>
          <rPr>
            <sz val="9"/>
            <color rgb="FF000000"/>
            <rFont val="Tahoma"/>
            <family val="2"/>
            <charset val="1"/>
          </rPr>
          <t>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S65" authorId="0" shapeId="0">
      <text>
        <r>
          <rPr>
            <b/>
            <sz val="9"/>
            <color rgb="FF000000"/>
            <rFont val="Tahoma"/>
            <family val="2"/>
            <charset val="1"/>
          </rPr>
          <t xml:space="preserve">Windows User:
</t>
        </r>
        <r>
          <rPr>
            <sz val="9"/>
            <color rgb="FF000000"/>
            <rFont val="Tahoma"/>
            <family val="2"/>
            <charset val="1"/>
          </rPr>
          <t>Fuente: p 38 del informe del auditor independiente cuenta inversión 2016 relevamiento y análisis de las normas presupuestarias modificatorias de la ley 27.198 Oficina Nacional de Presupuesto</t>
        </r>
      </text>
    </comment>
  </commentList>
</comments>
</file>

<file path=xl/comments3.xml><?xml version="1.0" encoding="utf-8"?>
<comments xmlns="http://schemas.openxmlformats.org/spreadsheetml/2006/main">
  <authors>
    <author>LC</author>
  </authors>
  <commentList>
    <comment ref="T30" authorId="0" shapeId="0">
      <text>
        <r>
          <rPr>
            <sz val="11"/>
            <color rgb="FF000000"/>
            <rFont val="Calibri"/>
            <family val="2"/>
            <charset val="1"/>
          </rPr>
          <t>Source: AFIP (recaudación serie anual)</t>
        </r>
      </text>
    </comment>
    <comment ref="V30" authorId="0" shapeId="0">
      <text>
        <r>
          <rPr>
            <sz val="11"/>
            <color rgb="FF000000"/>
            <rFont val="Calibri"/>
            <family val="2"/>
            <charset val="1"/>
          </rPr>
          <t>Source: AFIP recaudación anual. Esquema AIF ANSES de datos abiertos para 2018</t>
        </r>
      </text>
    </comment>
  </commentList>
</comments>
</file>

<file path=xl/comments4.xml><?xml version="1.0" encoding="utf-8"?>
<comments xmlns="http://schemas.openxmlformats.org/spreadsheetml/2006/main">
  <authors>
    <author>LC</author>
  </authors>
  <commentList>
    <comment ref="J56" authorId="0" shapeId="0">
      <text>
        <r>
          <rPr>
            <b/>
            <sz val="9"/>
            <color rgb="FF000000"/>
            <rFont val="Tahoma"/>
            <family val="2"/>
            <charset val="1"/>
          </rPr>
          <t xml:space="preserve">Windows User:
</t>
        </r>
        <r>
          <rPr>
            <sz val="9"/>
            <color rgb="FF000000"/>
            <rFont val="Tahoma"/>
            <family val="2"/>
            <charset val="1"/>
          </rPr>
          <t>Promedio de enero a junio 2018</t>
        </r>
      </text>
    </comment>
  </commentList>
</comments>
</file>

<file path=xl/comments5.xml><?xml version="1.0" encoding="utf-8"?>
<comments xmlns="http://schemas.openxmlformats.org/spreadsheetml/2006/main">
  <authors>
    <author>LC</author>
  </authors>
  <commentList>
    <comment ref="B3"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 ref="B68"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comments6.xml><?xml version="1.0" encoding="utf-8"?>
<comments xmlns="http://schemas.openxmlformats.org/spreadsheetml/2006/main">
  <authors>
    <author>LC</author>
  </authors>
  <commentList>
    <comment ref="P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shapeId="0">
      <text>
        <r>
          <rPr>
            <b/>
            <sz val="9"/>
            <color rgb="FF000000"/>
            <rFont val="Tahoma"/>
            <family val="2"/>
            <charset val="1"/>
          </rPr>
          <t xml:space="preserve">AG6:
</t>
        </r>
        <r>
          <rPr>
            <sz val="9"/>
            <color rgb="FF000000"/>
            <rFont val="Tahoma"/>
            <family val="2"/>
            <charset val="1"/>
          </rPr>
          <t>Todas las jubilaciones y PUAM hacen aportes al PAMI, y no se distingue en la cuenta de inversión cuáles de esos aportes son hechos por jubilaciones contributivas y cuáles por no contributivas. Presentamos por ello el dato aparte.</t>
        </r>
      </text>
    </comment>
    <comment ref="K6" authorId="0" shapeId="0">
      <text>
        <r>
          <rPr>
            <b/>
            <sz val="9"/>
            <color rgb="FF000000"/>
            <rFont val="Tahoma"/>
            <family val="2"/>
            <charset val="1"/>
          </rPr>
          <t>AG6: 
Para 1993, no hay seguimiento físico financiero, no sabemos cuánto se gastó en PNC</t>
        </r>
      </text>
    </comment>
    <comment ref="K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R17" authorId="0" shapeId="0">
      <text>
        <r>
          <rPr>
            <b/>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 ref="K34" authorId="0" shapeId="0">
      <text>
        <r>
          <rPr>
            <b/>
            <sz val="9"/>
            <color rgb="FF000000"/>
            <rFont val="Tahoma"/>
            <family val="2"/>
            <charset val="1"/>
          </rPr>
          <t xml:space="preserve">AG6:
</t>
        </r>
        <r>
          <rPr>
            <sz val="9"/>
            <color rgb="FF000000"/>
            <rFont val="Tahoma"/>
            <family val="2"/>
            <charset val="1"/>
          </rPr>
          <t>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J36" authorId="0" shapeId="0">
      <text>
        <r>
          <rPr>
            <b/>
            <sz val="9"/>
            <color rgb="FF000000"/>
            <rFont val="Tahoma"/>
            <family val="2"/>
            <charset val="1"/>
          </rPr>
          <t>AG6: 
Para 1993, no hay seguimiento físico financiero, no sabemos cuánto se gastó en PNC</t>
        </r>
      </text>
    </comment>
    <comment ref="J37" authorId="0" shapeId="0">
      <text>
        <r>
          <rPr>
            <b/>
            <sz val="9"/>
            <color rgb="FF000000"/>
            <rFont val="Tahoma"/>
            <family val="2"/>
            <charset val="1"/>
          </rPr>
          <t xml:space="preserve">AG6:
</t>
        </r>
        <r>
          <rPr>
            <sz val="9"/>
            <color rgb="FF000000"/>
            <rFont val="Tahoma"/>
            <family val="2"/>
            <charset val="1"/>
          </rPr>
          <t>Suponemos que los PNC eran computados en transferencias corrientes, y no en prestaciones a la seguridad social. Puede ser un error, pero no importa para el análisis de gastos contributivos / no contributivos</t>
        </r>
      </text>
    </comment>
    <comment ref="D64" authorId="0" shapeId="0">
      <text>
        <r>
          <rPr>
            <b/>
            <sz val="9"/>
            <color rgb="FF000000"/>
            <rFont val="Tahoma"/>
            <family val="2"/>
            <charset val="1"/>
          </rPr>
          <t xml:space="preserve">Windows User:
</t>
        </r>
        <r>
          <rPr>
            <sz val="9"/>
            <color rgb="FF000000"/>
            <rFont val="Tahoma"/>
            <family val="2"/>
            <charset val="1"/>
          </rPr>
          <t>Excluye las del PAMI, que entre 1993 y 2002 (capaz parcialmente 2003) figuraban en otras contribuciones</t>
        </r>
      </text>
    </comment>
  </commentList>
</comments>
</file>

<file path=xl/sharedStrings.xml><?xml version="1.0" encoding="utf-8"?>
<sst xmlns="http://schemas.openxmlformats.org/spreadsheetml/2006/main" count="1984" uniqueCount="1138">
  <si>
    <t>Recaudación mensual por impuestos, recursos de la seguridad social y aduaneros</t>
  </si>
  <si>
    <t xml:space="preserve">Masse d'impôts coparticipables. </t>
  </si>
  <si>
    <t>SECTOR PUBLICO BASE CAJA-AÑOS (1993-2012)</t>
  </si>
  <si>
    <t>Reference date (as of 1 July)</t>
  </si>
  <si>
    <t>Retirees: '60+ for women, 65+ for men.</t>
  </si>
  <si>
    <t>65+.</t>
  </si>
  <si>
    <t xml:space="preserve">Recettes trimestrielles et annuelles en pourcentage du PIB. </t>
  </si>
  <si>
    <t xml:space="preserve">PIB à prix de marché, en milliers de pesos courants. </t>
  </si>
  <si>
    <t>ESQUEMA AHORRO - INVERSION - FINANCIAMIENTO</t>
  </si>
  <si>
    <t xml:space="preserve">                                                         ADMINISTRACION NACIONAL</t>
  </si>
  <si>
    <t xml:space="preserve">I. </t>
  </si>
  <si>
    <t xml:space="preserve">II. </t>
  </si>
  <si>
    <t xml:space="preserve">III. </t>
  </si>
  <si>
    <t xml:space="preserve">IV. </t>
  </si>
  <si>
    <t>Year</t>
  </si>
  <si>
    <t>En miles de pesos</t>
  </si>
  <si>
    <t>(miles de pesos corrientes)</t>
  </si>
  <si>
    <t>1.1.3.</t>
  </si>
  <si>
    <t>(milliers de pesos courants)</t>
  </si>
  <si>
    <t xml:space="preserve">DÉPENSES. </t>
  </si>
  <si>
    <t xml:space="preserve">Ça inclut d'autres dépenses sociales qui ne sont pas faites par ANSES, voir sheet 3. </t>
  </si>
  <si>
    <t>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</si>
  <si>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</si>
  <si>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ADMINISTRACION NACIONAL</t>
  </si>
  <si>
    <t xml:space="preserve">EX CAJAS </t>
  </si>
  <si>
    <t>EMPRESAS</t>
  </si>
  <si>
    <t>PORCENTAJE PRESTACIONES</t>
  </si>
  <si>
    <t>Capítulo I</t>
  </si>
  <si>
    <t>SISTEMA INTEGRADO PREVISIONAL ARGENTINo (SIPA)</t>
  </si>
  <si>
    <t xml:space="preserve">Tout est en milliers de pesos courants. </t>
  </si>
  <si>
    <t>Prestaciones Previsionales presupuestadas</t>
  </si>
  <si>
    <t>CONCEPTO</t>
  </si>
  <si>
    <t>AÑO</t>
  </si>
  <si>
    <t>TESORO</t>
  </si>
  <si>
    <t>REC.</t>
  </si>
  <si>
    <t>ORG.</t>
  </si>
  <si>
    <t xml:space="preserve"> INSTIT. DE</t>
  </si>
  <si>
    <t>TOTAL</t>
  </si>
  <si>
    <t>PROVINCIALES.</t>
  </si>
  <si>
    <t>PUBLICAS Y OTROS</t>
  </si>
  <si>
    <t>DE SEGURIDAD SOCIAL ANSES</t>
  </si>
  <si>
    <t xml:space="preserve">                                           ESTADO DE EJECUCION PRESUPUESTARIA</t>
  </si>
  <si>
    <t>1.3 Beneficios del SIPA</t>
  </si>
  <si>
    <t>ENERO</t>
  </si>
  <si>
    <t>FEBRERO</t>
  </si>
  <si>
    <t>MARZO</t>
  </si>
  <si>
    <t>ABRIL</t>
  </si>
  <si>
    <t>MAYO</t>
  </si>
  <si>
    <t>JUNIO</t>
  </si>
  <si>
    <t>JULIO</t>
  </si>
  <si>
    <t>AGOSTO</t>
  </si>
  <si>
    <t>SETIEMBRE</t>
  </si>
  <si>
    <t>OCTUBRE</t>
  </si>
  <si>
    <t>NOVIEMBRE</t>
  </si>
  <si>
    <t>DICIEMBRE</t>
  </si>
  <si>
    <t>ii.</t>
  </si>
  <si>
    <t>III.</t>
  </si>
  <si>
    <t>IV.</t>
  </si>
  <si>
    <t>I., % PIB.</t>
  </si>
  <si>
    <t>II., % PIB</t>
  </si>
  <si>
    <t>III., % PIB.</t>
  </si>
  <si>
    <t xml:space="preserve">IV., % PIB. </t>
  </si>
  <si>
    <t xml:space="preserve">Annuel, % PIB. </t>
  </si>
  <si>
    <t>Année.</t>
  </si>
  <si>
    <t>Prestaciones Previsionales presupuestadas (tercer trimestre).</t>
  </si>
  <si>
    <t>NACIONAL</t>
  </si>
  <si>
    <t>AFECT.</t>
  </si>
  <si>
    <t>DESCENT.</t>
  </si>
  <si>
    <t xml:space="preserve"> SEG.SOCIAL</t>
  </si>
  <si>
    <t>/TOTAL</t>
  </si>
  <si>
    <t>1.2 Beneficiarios del SIPA</t>
  </si>
  <si>
    <t>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</si>
  <si>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</si>
  <si>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</si>
  <si>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</si>
  <si>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</si>
  <si>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cuadro 1.2.1 BENEFICIARIOS DEL REGIMEN PREVISIONAL PuBLICO(1) SEGuN SEXO. DICIEMBRE 1995 - diciembre 2011 y junio 2012</t>
  </si>
  <si>
    <t>Haber (En pesos)</t>
  </si>
  <si>
    <t xml:space="preserve">Dépenses prestations </t>
  </si>
  <si>
    <t>TVA nette de dévolutions</t>
  </si>
  <si>
    <t>TVA coparticipable.</t>
  </si>
  <si>
    <t xml:space="preserve">DÉPENSES COURANTES. </t>
  </si>
  <si>
    <t xml:space="preserve">DÉPENSES DE CAPITAL. </t>
  </si>
  <si>
    <t xml:space="preserve">DÉPENSES TOTALES. </t>
  </si>
  <si>
    <t xml:space="preserve">Prestaciones Previsionales presupuestadas (crédito final).  </t>
  </si>
  <si>
    <t>En Miles de Pesos</t>
  </si>
  <si>
    <t>Período</t>
  </si>
  <si>
    <t>Total</t>
  </si>
  <si>
    <t>Varones</t>
  </si>
  <si>
    <t>Mujeres</t>
  </si>
  <si>
    <t>No informado</t>
  </si>
  <si>
    <t>Mínimo (2)</t>
  </si>
  <si>
    <t>Medio</t>
  </si>
  <si>
    <t>prévisionelles SIPA</t>
  </si>
  <si>
    <t xml:space="preserve">DÉPENSES DE CONSOMMATION. </t>
  </si>
  <si>
    <t>Rentes</t>
  </si>
  <si>
    <t>Prestations</t>
  </si>
  <si>
    <t>Impôts</t>
  </si>
  <si>
    <t>Transferts</t>
  </si>
  <si>
    <t>Investissements</t>
  </si>
  <si>
    <t>Transferts de</t>
  </si>
  <si>
    <t xml:space="preserve">TOTAL. </t>
  </si>
  <si>
    <t>Prestaciones Previsionales ejecutadas</t>
  </si>
  <si>
    <t>Dic-95</t>
  </si>
  <si>
    <t>2.239.894</t>
  </si>
  <si>
    <t>1.280.140</t>
  </si>
  <si>
    <t>Jubilaciones</t>
  </si>
  <si>
    <t>Pensiones</t>
  </si>
  <si>
    <t xml:space="preserve">milliers pesos courants. </t>
  </si>
  <si>
    <t xml:space="preserve">% PIB courant. </t>
  </si>
  <si>
    <t xml:space="preserve">Propriété. </t>
  </si>
  <si>
    <t>Sécurité</t>
  </si>
  <si>
    <t xml:space="preserve">Directs. </t>
  </si>
  <si>
    <t xml:space="preserve">Courants. </t>
  </si>
  <si>
    <t>Réels</t>
  </si>
  <si>
    <t xml:space="preserve">Capitaux. </t>
  </si>
  <si>
    <t xml:space="preserve">Financiers. </t>
  </si>
  <si>
    <t xml:space="preserve">  INSTITUCION -</t>
  </si>
  <si>
    <t>CREDITO</t>
  </si>
  <si>
    <t>MODIFICACIONES</t>
  </si>
  <si>
    <t>COMPROMISO</t>
  </si>
  <si>
    <t>DEVENGADO</t>
  </si>
  <si>
    <t>PAGADO</t>
  </si>
  <si>
    <t>Dic-96</t>
  </si>
  <si>
    <t>2.460.379</t>
  </si>
  <si>
    <t>1.031.344</t>
  </si>
  <si>
    <t>1.406.721</t>
  </si>
  <si>
    <t>326,04</t>
  </si>
  <si>
    <t>242,28</t>
  </si>
  <si>
    <t>294,61</t>
  </si>
  <si>
    <t xml:space="preserve">Rémunérations. </t>
  </si>
  <si>
    <t xml:space="preserve">Autres. </t>
  </si>
  <si>
    <t xml:space="preserve">Total. </t>
  </si>
  <si>
    <t xml:space="preserve">Sociale. </t>
  </si>
  <si>
    <t>NIVEL</t>
  </si>
  <si>
    <t>ORIGINAL</t>
  </si>
  <si>
    <t>VIGENTE</t>
  </si>
  <si>
    <t>NO EJECUTADO</t>
  </si>
  <si>
    <t>Dic-97</t>
  </si>
  <si>
    <t>3.213.069</t>
  </si>
  <si>
    <t>1.258.785</t>
  </si>
  <si>
    <t>1.836.826</t>
  </si>
  <si>
    <t>337,41</t>
  </si>
  <si>
    <t>246,40</t>
  </si>
  <si>
    <t>302,82</t>
  </si>
  <si>
    <t>INSTITUCIONAL</t>
  </si>
  <si>
    <t>Dic-98</t>
  </si>
  <si>
    <t>3.151.345</t>
  </si>
  <si>
    <t>1.238.695</t>
  </si>
  <si>
    <t>1.850.241</t>
  </si>
  <si>
    <t>369,07</t>
  </si>
  <si>
    <t>257,93</t>
  </si>
  <si>
    <t>326,88</t>
  </si>
  <si>
    <t xml:space="preserve">ANNÉE.  </t>
  </si>
  <si>
    <t xml:space="preserve">JURISDICCIÓN. </t>
  </si>
  <si>
    <t>Dic-99</t>
  </si>
  <si>
    <t>3.092.666</t>
  </si>
  <si>
    <t>1.201.657</t>
  </si>
  <si>
    <t>1.833.032</t>
  </si>
  <si>
    <t>375,86</t>
  </si>
  <si>
    <t>260,44</t>
  </si>
  <si>
    <t>331,23</t>
  </si>
  <si>
    <t>Administración Nacional de la Seguridad Social</t>
  </si>
  <si>
    <t>MINISTERIO DE TRABAJO Y SEGURIDAD SOCIAL</t>
  </si>
  <si>
    <t>Dic-00</t>
  </si>
  <si>
    <t>3.048.367</t>
  </si>
  <si>
    <t>1.175.017</t>
  </si>
  <si>
    <t>1.818.267</t>
  </si>
  <si>
    <t>398,32</t>
  </si>
  <si>
    <t>276,38</t>
  </si>
  <si>
    <t>350,38</t>
  </si>
  <si>
    <t>Actividades Centrales</t>
  </si>
  <si>
    <t>1 - ADMINISTRACION CENTRAL</t>
  </si>
  <si>
    <t>Dic-01</t>
  </si>
  <si>
    <t>3.019.990</t>
  </si>
  <si>
    <t>1.165.354</t>
  </si>
  <si>
    <t>1.803.164</t>
  </si>
  <si>
    <t>405,88</t>
  </si>
  <si>
    <t>278,95</t>
  </si>
  <si>
    <t>355,23</t>
  </si>
  <si>
    <t>Prestaciones Previsionales</t>
  </si>
  <si>
    <t>2 - ORGANISMOS DESCENTRALIZADOS</t>
  </si>
  <si>
    <t>Dic-02</t>
  </si>
  <si>
    <t>2.976.605</t>
  </si>
  <si>
    <t>1.146.385</t>
  </si>
  <si>
    <t>1.781.914</t>
  </si>
  <si>
    <t>411,66</t>
  </si>
  <si>
    <t>280,82</t>
  </si>
  <si>
    <t>358,97</t>
  </si>
  <si>
    <t>PIB pesos de 1993</t>
  </si>
  <si>
    <t>Complementos a las Prestaciones Previsionales</t>
  </si>
  <si>
    <t>3 - INSTITUCIONES DE SEGURIDAD SOCIAL</t>
  </si>
  <si>
    <t>Dic-03</t>
  </si>
  <si>
    <t>2.933.262</t>
  </si>
  <si>
    <t>1.128.680</t>
  </si>
  <si>
    <t>1.759.431</t>
  </si>
  <si>
    <t>Dic-02 (3)</t>
  </si>
  <si>
    <t>421,26</t>
  </si>
  <si>
    <t>292,85</t>
  </si>
  <si>
    <t>369,08</t>
  </si>
  <si>
    <t>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</si>
  <si>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</si>
  <si>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</si>
  <si>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</si>
  <si>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</si>
  <si>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</si>
  <si>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</si>
  <si>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</si>
  <si>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Dic-04</t>
  </si>
  <si>
    <t>2.881.458</t>
  </si>
  <si>
    <t>1.101.381</t>
  </si>
  <si>
    <t>1.737.483</t>
  </si>
  <si>
    <t>438,52</t>
  </si>
  <si>
    <t>312,95</t>
  </si>
  <si>
    <t>387,01</t>
  </si>
  <si>
    <t>Asignaciones Familiares</t>
  </si>
  <si>
    <t>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</si>
  <si>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</si>
  <si>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</si>
  <si>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</si>
  <si>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</si>
  <si>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</si>
  <si>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</si>
  <si>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</si>
  <si>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Dic-05</t>
  </si>
  <si>
    <t>2.880.177</t>
  </si>
  <si>
    <t>1.098.717</t>
  </si>
  <si>
    <t>1.741.403</t>
  </si>
  <si>
    <t>511,68</t>
  </si>
  <si>
    <t>395,45</t>
  </si>
  <si>
    <t>463,59</t>
  </si>
  <si>
    <t>(En attente données PIB quatrième trimestre 2012)</t>
  </si>
  <si>
    <t>Atención Ex-Cajas Provinciales</t>
  </si>
  <si>
    <t>3 - ORGANISMOS DESCENTRALIZADOS</t>
  </si>
  <si>
    <t xml:space="preserve">1,777,986.00 </t>
  </si>
  <si>
    <t>(206,154.20)</t>
  </si>
  <si>
    <t xml:space="preserve">1,571,831.80 </t>
  </si>
  <si>
    <t xml:space="preserve">1,385,856.95 </t>
  </si>
  <si>
    <t xml:space="preserve">1,303,895.96 </t>
  </si>
  <si>
    <t xml:space="preserve">185,974.85 </t>
  </si>
  <si>
    <t>Dic-06</t>
  </si>
  <si>
    <t>3.312.942</t>
  </si>
  <si>
    <t>1.141.224</t>
  </si>
  <si>
    <t>2.134.336</t>
  </si>
  <si>
    <t>562,30</t>
  </si>
  <si>
    <t>465,16</t>
  </si>
  <si>
    <t>522,38</t>
  </si>
  <si>
    <t>Atención Pensiones Ex-Combatientes</t>
  </si>
  <si>
    <t>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</si>
  <si>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</si>
  <si>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</si>
  <si>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</si>
  <si>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</si>
  <si>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</si>
  <si>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</si>
  <si>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Dic-07</t>
  </si>
  <si>
    <t>4.106.924</t>
  </si>
  <si>
    <t>1.314.912</t>
  </si>
  <si>
    <t>2.757.579</t>
  </si>
  <si>
    <t>613,34</t>
  </si>
  <si>
    <t>560,63</t>
  </si>
  <si>
    <t>595,31</t>
  </si>
  <si>
    <t>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</si>
  <si>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</si>
  <si>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</si>
  <si>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</si>
  <si>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</si>
  <si>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</si>
  <si>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</si>
  <si>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</si>
  <si>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Dic-08</t>
  </si>
  <si>
    <t>4.280.073</t>
  </si>
  <si>
    <t>1.395.808</t>
  </si>
  <si>
    <t>2.851.891</t>
  </si>
  <si>
    <t>596,20</t>
  </si>
  <si>
    <t>741,32</t>
  </si>
  <si>
    <t>713,26</t>
  </si>
  <si>
    <t>733,71</t>
  </si>
  <si>
    <t>Transferencias y Contribuciones a la Seguridad Social y Organismos Descentralizados</t>
  </si>
  <si>
    <t>3 - ADMINISTRACION CENTRAL</t>
  </si>
  <si>
    <t xml:space="preserve">71,697,387.00 </t>
  </si>
  <si>
    <t>(7,944,882.00)</t>
  </si>
  <si>
    <t xml:space="preserve">63,752,505.00 </t>
  </si>
  <si>
    <t xml:space="preserve">62,643,937.93 </t>
  </si>
  <si>
    <t xml:space="preserve">61,008,921.63 </t>
  </si>
  <si>
    <t xml:space="preserve">55,905,082.07 </t>
  </si>
  <si>
    <t xml:space="preserve">2,743,583.37 </t>
  </si>
  <si>
    <t>Dic-09</t>
  </si>
  <si>
    <t>4.497.027</t>
  </si>
  <si>
    <t>1.487.118</t>
  </si>
  <si>
    <t>2.979.571</t>
  </si>
  <si>
    <t>690,00</t>
  </si>
  <si>
    <t>867,64</t>
  </si>
  <si>
    <t>840,02</t>
  </si>
  <si>
    <t>860,37</t>
  </si>
  <si>
    <t xml:space="preserve">Ressources affectées à ANSES venant d'apports, contributions et impôts d'assignation spécifique, % du PIB. </t>
  </si>
  <si>
    <t>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</si>
  <si>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</si>
  <si>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</si>
  <si>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</si>
  <si>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</si>
  <si>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</si>
  <si>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</si>
  <si>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</si>
  <si>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Dic-10</t>
  </si>
  <si>
    <t>4.599.985</t>
  </si>
  <si>
    <t>1.552.560</t>
  </si>
  <si>
    <t>3.020.023</t>
  </si>
  <si>
    <t>827,23</t>
  </si>
  <si>
    <t>1.077,84</t>
  </si>
  <si>
    <t>1.025,77</t>
  </si>
  <si>
    <t>1.064,38</t>
  </si>
  <si>
    <t>TVA destinée au SUSS</t>
  </si>
  <si>
    <t>"Ganancias" coparticipable.</t>
  </si>
  <si>
    <t>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</si>
  <si>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</si>
  <si>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</si>
  <si>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</si>
  <si>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</si>
  <si>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</si>
  <si>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</si>
  <si>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Dic-11</t>
  </si>
  <si>
    <t>4.621.184</t>
  </si>
  <si>
    <t>1.594.226</t>
  </si>
  <si>
    <t>3.001.617</t>
  </si>
  <si>
    <t>1.046,43</t>
  </si>
  <si>
    <t>1.378,71</t>
  </si>
  <si>
    <t>1.302,95</t>
  </si>
  <si>
    <t>1.359,27</t>
  </si>
  <si>
    <t>15,057,742,484.00</t>
  </si>
  <si>
    <t xml:space="preserve">1,945,418,082.00 </t>
  </si>
  <si>
    <t>17,003,160,566.00</t>
  </si>
  <si>
    <t>16,752,309,419.50</t>
  </si>
  <si>
    <t>16,747,499,648.75</t>
  </si>
  <si>
    <t>15,139,525,624.28</t>
  </si>
  <si>
    <t xml:space="preserve">255,660,917.25 </t>
  </si>
  <si>
    <t>Jun-12</t>
  </si>
  <si>
    <t>4.628.786</t>
  </si>
  <si>
    <t>1.611.985</t>
  </si>
  <si>
    <t>2.992.352</t>
  </si>
  <si>
    <t>1.434,29</t>
  </si>
  <si>
    <t>1.915,81</t>
  </si>
  <si>
    <t>1.789,96</t>
  </si>
  <si>
    <t>1.883,52</t>
  </si>
  <si>
    <t>4 - ADMINISTRACION CENTRAL</t>
  </si>
  <si>
    <t>115,209,709.00</t>
  </si>
  <si>
    <t xml:space="preserve">67,767,659.00 </t>
  </si>
  <si>
    <t>182,977,368.00</t>
  </si>
  <si>
    <t>172,411,165.83</t>
  </si>
  <si>
    <t>167,601,395.08</t>
  </si>
  <si>
    <t>159,835,307.56</t>
  </si>
  <si>
    <t xml:space="preserve">15,375,972.92 </t>
  </si>
  <si>
    <t>1.687,01</t>
  </si>
  <si>
    <t>2.269,60</t>
  </si>
  <si>
    <t>2.111,74</t>
  </si>
  <si>
    <t>2.229,09</t>
  </si>
  <si>
    <t>5 - ORGANISMOS DESCENTRALIZADOS</t>
  </si>
  <si>
    <t>2,053,760.00</t>
  </si>
  <si>
    <t>9,487,681.00</t>
  </si>
  <si>
    <t>11,541,441.00</t>
  </si>
  <si>
    <t>5,312,934.79</t>
  </si>
  <si>
    <t>4,723,430.21</t>
  </si>
  <si>
    <t>6,228,506.21</t>
  </si>
  <si>
    <t>BENEFICIARIOS DEL REGIMEN PREVISIONAL PuBLICO(1) SEGuN SEXO. DICIEMBRE 1995 - diciembre 2011 y junio 2012</t>
  </si>
  <si>
    <t>6 - INSTITUCIONES DE SEGURIDAD SOCIAL</t>
  </si>
  <si>
    <t>14,940,479,015.00</t>
  </si>
  <si>
    <t xml:space="preserve">1,868,162,742.00 </t>
  </si>
  <si>
    <t>16,808,641,757.00</t>
  </si>
  <si>
    <t>16,574,585,318.88</t>
  </si>
  <si>
    <t>14,974,966,886.51</t>
  </si>
  <si>
    <t>234,056,438.12</t>
  </si>
  <si>
    <t xml:space="preserve">Couverture, sur population en âge de retraite. </t>
  </si>
  <si>
    <t>Couverture, sur population 65+</t>
  </si>
  <si>
    <t>5 - ADMINISTRACION CENTRAL</t>
  </si>
  <si>
    <t>cuadro 1.4.2 GASTO DEVENGADO ESTIMADO ANUAL POR PAGO DE PRESTACIONES EN PORCENTAJE DEL PIB, SEGUN SISTEMA. 1995 - 2011</t>
  </si>
  <si>
    <t>6 - ORGANISMOS DESCENTRALIZADOS</t>
  </si>
  <si>
    <t>Prestaciones</t>
  </si>
  <si>
    <t>7 - INSTITUCIONES DE SEGURIDAD SOCIAL</t>
  </si>
  <si>
    <t>Asignaciones</t>
  </si>
  <si>
    <t>Desempleo</t>
  </si>
  <si>
    <t>y pensiones</t>
  </si>
  <si>
    <t>familiares (1) (2)</t>
  </si>
  <si>
    <t>6 - ADMINISTRACION CENTRAL</t>
  </si>
  <si>
    <t>5,11</t>
  </si>
  <si>
    <t>0,75</t>
  </si>
  <si>
    <t>s/i</t>
  </si>
  <si>
    <t>5,86</t>
  </si>
  <si>
    <t>7 - ORGANISMOS DESCENTRALIZADOS</t>
  </si>
  <si>
    <t>5,04</t>
  </si>
  <si>
    <t>0,72</t>
  </si>
  <si>
    <t>5,76</t>
  </si>
  <si>
    <t>8 - INSTITUCIONES DE SEGURIDAD SOCIAL</t>
  </si>
  <si>
    <t>5,19</t>
  </si>
  <si>
    <t>0,67</t>
  </si>
  <si>
    <t>5,07</t>
  </si>
  <si>
    <t>0,69</t>
  </si>
  <si>
    <t>0,08</t>
  </si>
  <si>
    <t>5,84</t>
  </si>
  <si>
    <t>7 - ADMINISTRACION CENTRAL</t>
  </si>
  <si>
    <t>5,49</t>
  </si>
  <si>
    <t>0,71</t>
  </si>
  <si>
    <t>0,10</t>
  </si>
  <si>
    <t>6,30</t>
  </si>
  <si>
    <t>8 - ORGANISMOS DESCENTRALIZADOS</t>
  </si>
  <si>
    <t>0,82</t>
  </si>
  <si>
    <t>0,11</t>
  </si>
  <si>
    <t>6,42</t>
  </si>
  <si>
    <t>9 - INSTITUCIONES DE SEGURIDAD SOCIAL</t>
  </si>
  <si>
    <t>5,75</t>
  </si>
  <si>
    <t>0,81</t>
  </si>
  <si>
    <t>0,13</t>
  </si>
  <si>
    <t>6,69</t>
  </si>
  <si>
    <t xml:space="preserve">"Ganancias" brutes. </t>
  </si>
  <si>
    <t xml:space="preserve">Impôts internes coparticipables: Tabac. </t>
  </si>
  <si>
    <t>5,01</t>
  </si>
  <si>
    <t>0,60</t>
  </si>
  <si>
    <t>0,15</t>
  </si>
  <si>
    <t>8 - ADMINISTRACION CENTRAL</t>
  </si>
  <si>
    <t>4,35</t>
  </si>
  <si>
    <t>0,57</t>
  </si>
  <si>
    <t>0,06</t>
  </si>
  <si>
    <t>4,98</t>
  </si>
  <si>
    <t>9 - ORGANISMOS DESCENTRALIZADOS</t>
  </si>
  <si>
    <t>4,09</t>
  </si>
  <si>
    <t>0,54</t>
  </si>
  <si>
    <t>0,04</t>
  </si>
  <si>
    <t>4,67</t>
  </si>
  <si>
    <t>Actividades Centrales ANSES.</t>
  </si>
  <si>
    <t>10 - INSTITUCIONES DE SEGURIDAD SOCIAL</t>
  </si>
  <si>
    <t>3,91</t>
  </si>
  <si>
    <t>0,64</t>
  </si>
  <si>
    <t>0,03</t>
  </si>
  <si>
    <t>4,58</t>
  </si>
  <si>
    <t>MINISTERIO DE TRABAJO, EMPLEO Y FORMACION DE RECURSOS HUMANOS</t>
  </si>
  <si>
    <t>4,00</t>
  </si>
  <si>
    <t>0,05</t>
  </si>
  <si>
    <t>4,62</t>
  </si>
  <si>
    <t>9 - ADMINISTRACION CENTRAL</t>
  </si>
  <si>
    <t>5,13</t>
  </si>
  <si>
    <t>0,68</t>
  </si>
  <si>
    <t xml:space="preserve">Ressources affectées au SIPA venant de la masse d'impôts coparticipables, % du PIB. </t>
  </si>
  <si>
    <t>10 - ORGANISMOS DESCENTRALIZADOS</t>
  </si>
  <si>
    <t>5,48</t>
  </si>
  <si>
    <t>0,65</t>
  </si>
  <si>
    <t>6,17</t>
  </si>
  <si>
    <t>11 - INSTITUCIONES DE SEGURIDAD SOCIAL</t>
  </si>
  <si>
    <t>6,79</t>
  </si>
  <si>
    <t>0,95</t>
  </si>
  <si>
    <t>7,79</t>
  </si>
  <si>
    <t>6,35</t>
  </si>
  <si>
    <t>1,20</t>
  </si>
  <si>
    <t>7,59</t>
  </si>
  <si>
    <t>10 - ADMINISTRACION CENTRAL</t>
  </si>
  <si>
    <t>7,54</t>
  </si>
  <si>
    <t>1,23</t>
  </si>
  <si>
    <t>0,02</t>
  </si>
  <si>
    <t>8,80</t>
  </si>
  <si>
    <t>Pensiones no contributivas.</t>
  </si>
  <si>
    <t>11 - ORGANISMOS DESCENTRALIZADOS</t>
  </si>
  <si>
    <t>Transferencias de impuestos a las provincias</t>
  </si>
  <si>
    <t>12 - INSTITUCIONES DE SEGURIDAD SOCIAL</t>
  </si>
  <si>
    <t>cuadro 1.3.7 BENEFICIOS DEL SISTEMA INTEGRADO PREVISIONAL ARGENTINO. DICIEMBRE 2001 - DICIEMBRE 2011 Y junio 2012</t>
  </si>
  <si>
    <t>Tipo de beneficio</t>
  </si>
  <si>
    <t>Ex régimen de capitalización (1)</t>
  </si>
  <si>
    <t>11 - ADMINISTRACION CENTRAL</t>
  </si>
  <si>
    <t>12 - ORGANISMOS DESCENTRALIZADOS</t>
  </si>
  <si>
    <t>Retiros por</t>
  </si>
  <si>
    <t>13 - INSTITUCIONES DE SEGURIDAD SOCIAL</t>
  </si>
  <si>
    <t>Jubilaciones   Pensiones</t>
  </si>
  <si>
    <t>ordinarias</t>
  </si>
  <si>
    <t>invalidez</t>
  </si>
  <si>
    <t>por fallecimiento</t>
  </si>
  <si>
    <t>3.348.379</t>
  </si>
  <si>
    <t>3.301.442</t>
  </si>
  <si>
    <t>1.972.090</t>
  </si>
  <si>
    <t>1.329.352</t>
  </si>
  <si>
    <t xml:space="preserve">"Ganancias" net des soustractions annuelles. </t>
  </si>
  <si>
    <t>Impôts internes coparticipables: Assurances</t>
  </si>
  <si>
    <t>12 - ADMINISTRACION CENTRAL</t>
  </si>
  <si>
    <t>3.337.200</t>
  </si>
  <si>
    <t>3.268.102</t>
  </si>
  <si>
    <t>1.940.126</t>
  </si>
  <si>
    <t>1.327.976</t>
  </si>
  <si>
    <t>13 - ORGANISMOS DESCENTRALIZADOS</t>
  </si>
  <si>
    <t>3.337.927</t>
  </si>
  <si>
    <t>3.231.051</t>
  </si>
  <si>
    <t>1.905.613</t>
  </si>
  <si>
    <t>1.325.438</t>
  </si>
  <si>
    <t>14 - INSTITUCIONES DE SEGURIDAD SOCIAL</t>
  </si>
  <si>
    <t>3.317.528</t>
  </si>
  <si>
    <t>3.176.546</t>
  </si>
  <si>
    <t>1.862.297</t>
  </si>
  <si>
    <t>1.314.249</t>
  </si>
  <si>
    <t>3.356.358</t>
  </si>
  <si>
    <t>3.179.212</t>
  </si>
  <si>
    <t>1.872.824</t>
  </si>
  <si>
    <t>1.306.388</t>
  </si>
  <si>
    <t>13 - ADMINISTRACION CENTRAL</t>
  </si>
  <si>
    <t>4.016.125</t>
  </si>
  <si>
    <t>3.789.042</t>
  </si>
  <si>
    <t>2.492.848</t>
  </si>
  <si>
    <t>1.296.194</t>
  </si>
  <si>
    <t>14 - ORGANISMOS DESCENTRALIZADOS</t>
  </si>
  <si>
    <t>5.127.424</t>
  </si>
  <si>
    <t>4.784.022</t>
  </si>
  <si>
    <t>3.485.871</t>
  </si>
  <si>
    <t>1.298.151</t>
  </si>
  <si>
    <t>15 - INSTITUCIONES DE SEGURIDAD SOCIAL</t>
  </si>
  <si>
    <t>Dic-08 (2)</t>
  </si>
  <si>
    <t>5.301.692</t>
  </si>
  <si>
    <t>4.974.505</t>
  </si>
  <si>
    <t>3.664.916</t>
  </si>
  <si>
    <t>1.309.589</t>
  </si>
  <si>
    <t>MINISTERIO DE TRABAJO, EMPLEO Y SEGURIDAD SOCIAL</t>
  </si>
  <si>
    <t>5.587.767</t>
  </si>
  <si>
    <t>5.231.576</t>
  </si>
  <si>
    <t>3.878.956</t>
  </si>
  <si>
    <t>1.352.620</t>
  </si>
  <si>
    <t>14 - ADMINISTRACION CENTRAL</t>
  </si>
  <si>
    <t>5.732.284</t>
  </si>
  <si>
    <t>5.386.445</t>
  </si>
  <si>
    <t>4.004.256</t>
  </si>
  <si>
    <t>1.382.189</t>
  </si>
  <si>
    <t>impôts internes coparticipables : Automobiles et moteurs au gasoil</t>
  </si>
  <si>
    <t>15 - ORGANISMOS DESCENTRALIZADOS</t>
  </si>
  <si>
    <t>5.770.665</t>
  </si>
  <si>
    <t>5.432.130</t>
  </si>
  <si>
    <t>4.038.388</t>
  </si>
  <si>
    <t>1.393.742</t>
  </si>
  <si>
    <t>16 - INSTITUCIONES DE SEGURIDAD SOCIAL</t>
  </si>
  <si>
    <t>5.787.210</t>
  </si>
  <si>
    <t>5.450.994</t>
  </si>
  <si>
    <t>4.052.269</t>
  </si>
  <si>
    <t>1.398.725</t>
  </si>
  <si>
    <t>15 - ADMINISTRACION CENTRAL</t>
  </si>
  <si>
    <t xml:space="preserve">Ressources affectées au SIPA hors transferts du Trésor, % du PIB. </t>
  </si>
  <si>
    <t>16 - ORGANISMOS DESCENTRALIZADOS</t>
  </si>
  <si>
    <t>17 - INSTITUCIONES DE SEGURIDAD SOCIAL</t>
  </si>
  <si>
    <t>16 - ADMINISTRACION CENTRAL</t>
  </si>
  <si>
    <t>"Ganancias" destiné au SUSS</t>
  </si>
  <si>
    <t>17 - ORGANISMOS DESCENTRALIZADOS</t>
  </si>
  <si>
    <t xml:space="preserve">Impôts internes coparticipables: autres. </t>
  </si>
  <si>
    <t>18 - INSTITUCIONES DE SEGURIDAD SOCIAL</t>
  </si>
  <si>
    <t>17 - ADMINISTRACION CENTRAL</t>
  </si>
  <si>
    <t>18 - ORGANISMOS DESCENTRALIZADOS</t>
  </si>
  <si>
    <t>19 - INSTITUCIONES DE SEGURIDAD SOCIAL</t>
  </si>
  <si>
    <t>18 - ADMINISTRACION CENTRAL</t>
  </si>
  <si>
    <t>19 - ORGANISMOS DESCENTRALIZADOS</t>
  </si>
  <si>
    <t>20 - INSTITUCIONES DE SEGURIDAD SOCIAL</t>
  </si>
  <si>
    <t>19 - ADMINISTRACION CENTRAL</t>
  </si>
  <si>
    <t>20 - ORGANISMOS DESCENTRALIZADOS</t>
  </si>
  <si>
    <t>21 - INSTITUCIONES DE SEGURIDAD SOCIAL</t>
  </si>
  <si>
    <t>20 - ADMINISTRACION CENTRAL</t>
  </si>
  <si>
    <t>21 - ORGANISMOS DESCENTRALIZADOS</t>
  </si>
  <si>
    <t xml:space="preserve">Adicional de emergencia sobre cigarrillos </t>
  </si>
  <si>
    <t>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</si>
  <si>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</si>
  <si>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</si>
  <si>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</si>
  <si>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</si>
  <si>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</si>
  <si>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</si>
  <si>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</si>
  <si>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</si>
  <si>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</si>
  <si>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</si>
  <si>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</si>
  <si>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Autres combustibles liquides.</t>
  </si>
  <si>
    <t>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</si>
  <si>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</si>
  <si>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</si>
  <si>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</si>
  <si>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</si>
  <si>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</si>
  <si>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</si>
  <si>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</si>
  <si>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</si>
  <si>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</si>
  <si>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</si>
  <si>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</si>
  <si>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Contributions.</t>
  </si>
  <si>
    <t>–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</si>
  <si>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</si>
  <si>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Facilités de paiement.</t>
  </si>
  <si>
    <t>225.110</t>
  </si>
  <si>
    <t xml:space="preserve">Agents de rétention. </t>
  </si>
  <si>
    <t xml:space="preserve">Contributions + facilités de paiement + agents de rétention. </t>
  </si>
  <si>
    <t xml:space="preserve">Contributions + apports, totaux. </t>
  </si>
  <si>
    <t>Apports</t>
  </si>
  <si>
    <t>PIB à prix de marché, millions de Pesos.</t>
  </si>
  <si>
    <t>CUADRO 1.6.1</t>
  </si>
  <si>
    <t xml:space="preserve">Producto Interno Bruto a precios de mercado </t>
  </si>
  <si>
    <t>Millones de pesos</t>
  </si>
  <si>
    <t xml:space="preserve">Series </t>
  </si>
  <si>
    <t>Anual</t>
  </si>
  <si>
    <t>Trimestral</t>
  </si>
  <si>
    <t>A.  Agricultura, ganadería, caza y silvicultura</t>
  </si>
  <si>
    <t>B.  Pesca</t>
  </si>
  <si>
    <t>C.  Explotación de minas y canteras</t>
  </si>
  <si>
    <t xml:space="preserve"> D.  Industria manufacturera</t>
  </si>
  <si>
    <t>E.  Suministro de electricidad, gas y agua</t>
  </si>
  <si>
    <t>F.  Construcción</t>
  </si>
  <si>
    <t>SECTORES PRODUCTORES DE BIENES</t>
  </si>
  <si>
    <t>G.  Comercio mayorista y minorista y reparaciones</t>
  </si>
  <si>
    <t>H.  Hoteles y restaurantes</t>
  </si>
  <si>
    <t>I.  Transporte, almacenamiento y comunicaciones</t>
  </si>
  <si>
    <t>J.  Intermediación financiera</t>
  </si>
  <si>
    <t>K.  Actividades inmobiliarias, empresariales y de alquiler</t>
  </si>
  <si>
    <t>L. Administración Pública y Defensa; Planes de Seguridad Social de Afiliación Obligatoria</t>
  </si>
  <si>
    <t>M.  Enseñanza</t>
  </si>
  <si>
    <t>N.                       Servicios Sociales y de Salud</t>
  </si>
  <si>
    <t xml:space="preserve">O.  Otras actividades de servicios comunitarias sociales, personales </t>
  </si>
  <si>
    <t>P.          Hogares Privados con Servicios Domésticos</t>
  </si>
  <si>
    <t>SECTORES PRODUCTORES DE SERVICIOS</t>
  </si>
  <si>
    <t>VALOR AGREGADO BRUTO a precios básicos</t>
  </si>
  <si>
    <t>Impuesto al Valor Agregado</t>
  </si>
  <si>
    <t>Derechos de Importación</t>
  </si>
  <si>
    <t>Impuestos a los productos netos de subsidios</t>
  </si>
  <si>
    <t>PRODUCTO INTERNO BRUTO a precios de mercado</t>
  </si>
  <si>
    <t>I 04</t>
  </si>
  <si>
    <t>II 04</t>
  </si>
  <si>
    <t>III 04</t>
  </si>
  <si>
    <t>IV 04</t>
  </si>
  <si>
    <t>I 05</t>
  </si>
  <si>
    <t>II 05</t>
  </si>
  <si>
    <t>III 05</t>
  </si>
  <si>
    <t>IV 05</t>
  </si>
  <si>
    <t>I 06</t>
  </si>
  <si>
    <t>II 06</t>
  </si>
  <si>
    <t>III 06</t>
  </si>
  <si>
    <t>IV 06</t>
  </si>
  <si>
    <t>I 07</t>
  </si>
  <si>
    <t>II 07</t>
  </si>
  <si>
    <t>III 07</t>
  </si>
  <si>
    <t>IV 07</t>
  </si>
  <si>
    <t>I 08</t>
  </si>
  <si>
    <t>II 08</t>
  </si>
  <si>
    <t>III 08</t>
  </si>
  <si>
    <t>IV 08</t>
  </si>
  <si>
    <t>I 09</t>
  </si>
  <si>
    <t>II 09</t>
  </si>
  <si>
    <t>III 09</t>
  </si>
  <si>
    <t>IV 09</t>
  </si>
  <si>
    <t>I 10</t>
  </si>
  <si>
    <t>II 10</t>
  </si>
  <si>
    <t>III 10</t>
  </si>
  <si>
    <t>IV 10</t>
  </si>
  <si>
    <t>I 11</t>
  </si>
  <si>
    <t>II 11</t>
  </si>
  <si>
    <t>III 11</t>
  </si>
  <si>
    <t>IV 11</t>
  </si>
  <si>
    <t>I 12</t>
  </si>
  <si>
    <t>II 12</t>
  </si>
  <si>
    <t>III 12</t>
  </si>
  <si>
    <t>IV 12</t>
  </si>
  <si>
    <t>I 13</t>
  </si>
  <si>
    <t>II 13</t>
  </si>
  <si>
    <t>III 13</t>
  </si>
  <si>
    <t>IV 13</t>
  </si>
  <si>
    <t>I 14</t>
  </si>
  <si>
    <t>II 14</t>
  </si>
  <si>
    <t>III 14</t>
  </si>
  <si>
    <t>IV 14</t>
  </si>
  <si>
    <t>I 15</t>
  </si>
  <si>
    <t>II 15</t>
  </si>
  <si>
    <t>III 15</t>
  </si>
  <si>
    <t>IV 15</t>
  </si>
  <si>
    <t>I 16</t>
  </si>
  <si>
    <t>II 16</t>
  </si>
  <si>
    <t>III 16</t>
  </si>
  <si>
    <t>IV 16</t>
  </si>
  <si>
    <t>I 17</t>
  </si>
  <si>
    <t>II 17</t>
  </si>
  <si>
    <t>III 17</t>
  </si>
  <si>
    <t>CUADRO 1.6</t>
  </si>
  <si>
    <t>Índice</t>
  </si>
  <si>
    <t>Producto Interno Bruto a precios de mercado - Valor Agregado Bruto a precios de productor</t>
  </si>
  <si>
    <t>Millones de pesos corrientes</t>
  </si>
  <si>
    <t>L y Q.  Administración pública y defensa</t>
  </si>
  <si>
    <t>M y N.  Enseñanza, servicios sociales y de salud</t>
  </si>
  <si>
    <t>O y P.  Otras actividades de servicios comunitarias sociales, personales y servicio domestico</t>
  </si>
  <si>
    <t xml:space="preserve"> Servicios de Intermediación Financiera Medidos Indirectamente</t>
  </si>
  <si>
    <t>VALOR AGREGADO BRUTO a precios de productor (1)</t>
  </si>
  <si>
    <t xml:space="preserve"> Impuesto a las importaciones</t>
  </si>
  <si>
    <t>I 93</t>
  </si>
  <si>
    <t>II 93</t>
  </si>
  <si>
    <t>III 93</t>
  </si>
  <si>
    <t>IV 93</t>
  </si>
  <si>
    <t>I 94</t>
  </si>
  <si>
    <t>II 94</t>
  </si>
  <si>
    <t>III 94</t>
  </si>
  <si>
    <t>IV 94</t>
  </si>
  <si>
    <t>I 95</t>
  </si>
  <si>
    <t>II 95</t>
  </si>
  <si>
    <t>III 95</t>
  </si>
  <si>
    <t>IV 95</t>
  </si>
  <si>
    <t>I 96</t>
  </si>
  <si>
    <t>II 96</t>
  </si>
  <si>
    <t>III 96</t>
  </si>
  <si>
    <t>IV 96</t>
  </si>
  <si>
    <t>I 97</t>
  </si>
  <si>
    <t>II 97</t>
  </si>
  <si>
    <t>III 97</t>
  </si>
  <si>
    <t>IV 97</t>
  </si>
  <si>
    <t>I 98</t>
  </si>
  <si>
    <t>II 98</t>
  </si>
  <si>
    <t>III 98</t>
  </si>
  <si>
    <t>IV 98</t>
  </si>
  <si>
    <t>I 99</t>
  </si>
  <si>
    <t>II 99</t>
  </si>
  <si>
    <t>III 99</t>
  </si>
  <si>
    <t>IV 99</t>
  </si>
  <si>
    <t>I 00</t>
  </si>
  <si>
    <t>II 00</t>
  </si>
  <si>
    <t>III 00</t>
  </si>
  <si>
    <t>IV 00</t>
  </si>
  <si>
    <t>I 01</t>
  </si>
  <si>
    <t>II 01</t>
  </si>
  <si>
    <t>III 01</t>
  </si>
  <si>
    <t>IV 01</t>
  </si>
  <si>
    <t>I 02</t>
  </si>
  <si>
    <t>II 02</t>
  </si>
  <si>
    <t>III 02</t>
  </si>
  <si>
    <t>IV 02</t>
  </si>
  <si>
    <t>I 03</t>
  </si>
  <si>
    <t>II 03</t>
  </si>
  <si>
    <t>III 03</t>
  </si>
  <si>
    <t>IV 03</t>
  </si>
  <si>
    <t>(*) Estimaciones provisorias</t>
  </si>
  <si>
    <t>(1).- Excluye IVA e impuestos a la importación</t>
  </si>
  <si>
    <r>
      <rPr>
        <b/>
        <i/>
        <sz val="8"/>
        <rFont val="Arial"/>
        <family val="2"/>
        <charset val="204"/>
      </rPr>
      <t>Fuente</t>
    </r>
    <r>
      <rPr>
        <i/>
        <sz val="8"/>
        <rFont val="Arial"/>
        <family val="2"/>
        <charset val="204"/>
      </rPr>
      <t>: Dirección Nacional de Cuentas Nacionales - INDEC</t>
    </r>
  </si>
  <si>
    <t>millones de pesos</t>
  </si>
  <si>
    <t>Coparticipación ley 23548 a Provincias</t>
  </si>
  <si>
    <t>Financiamiento educativo</t>
  </si>
  <si>
    <t>Masa coparticipable que se deduce</t>
  </si>
  <si>
    <t>15 % que va a ANSES (miles de pesos)</t>
  </si>
  <si>
    <t>Coparticipación federal y modificatorias a Provincias</t>
  </si>
  <si>
    <t>Coparticipación federal neta</t>
  </si>
  <si>
    <t>Cláusula de garantía</t>
  </si>
  <si>
    <t>Financiamiento educativo Ley 26075</t>
  </si>
  <si>
    <t>Transferencia de servicios</t>
  </si>
  <si>
    <t>Fondo Compensador de Desequilibrios Provinciales</t>
  </si>
  <si>
    <t>Suma Fija Ley 24621</t>
  </si>
  <si>
    <t>Masa coparticipable total, calculada</t>
  </si>
  <si>
    <t>Masa coparticipable total, medida</t>
  </si>
  <si>
    <t>Transferencias a ANSES, calculadas</t>
  </si>
  <si>
    <t>Transferencias a ANSES, medidas</t>
  </si>
  <si>
    <t>Compensación Estado por devolución coparticipación a provincias</t>
  </si>
  <si>
    <t>Total contribuciones figurativas por coparticipación</t>
  </si>
  <si>
    <t>Contribuciones figurativas totales</t>
  </si>
  <si>
    <t>Para 2012 mezclamos coparticipación y ley de financiamiento educativo</t>
  </si>
  <si>
    <t xml:space="preserve">CONTRIBUCIONES FIGURATIVAS : </t>
  </si>
  <si>
    <t>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</si>
  <si>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Para gastos corrientes</t>
  </si>
  <si>
    <t>(*)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</si>
  <si>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</si>
  <si>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PIB precios corrientes, miles de pesos</t>
  </si>
  <si>
    <t>URL: http://www.economia.gob.ar/secretarias/politica-economica/programacion-macroeconomica/</t>
  </si>
  <si>
    <t>RECURSOS ANSES. Cuenta Ahorro Inversión Financiamiento para los niveles agregados, composición de los recursos por institución, entidad y rubro</t>
  </si>
  <si>
    <t xml:space="preserve"> </t>
  </si>
  <si>
    <t>Para gastos de capital</t>
  </si>
  <si>
    <t>(**) Corresponde a las transferencias para financiar los gastos de capital relacionados con el Programa Conectar Igualdad.</t>
  </si>
  <si>
    <t>Los datos vienen (casi) todos de las cuentas de inversión entre 1993 y 2015, cuyo link es http://www.mecon.gov.ar/hacienda/cgn/cuenta/</t>
  </si>
  <si>
    <t>A partir del 2003, discrepancia entre gastos de consumo anexo 14 y anexo 3.10</t>
  </si>
  <si>
    <t>Precios de mercado productor</t>
  </si>
  <si>
    <t>2007, la discrepancia es de unos 50 mil pesos nomás, 2008, 8 mil pesos, 2009 40 millones de pesos</t>
  </si>
  <si>
    <t>Base 1993</t>
  </si>
  <si>
    <t>Base 2004</t>
  </si>
  <si>
    <t xml:space="preserve"> Parece que el rubro « otras contribuciones » son las del PAMI, corroborado por el hecho que en las cuentas AIF del PAMI 1995 1996 1997 casi no figuran recursos</t>
  </si>
  <si>
    <t>ESTÁ incluida la PUAM . Desde octubre 2017 también están las Pensiones No Contributivas Decreto 746/2017</t>
  </si>
  <si>
    <t>CUADRO 22 CUENTA DE INVERSIÓN</t>
  </si>
  <si>
    <t>Esto se obtiene en gastos figurativos, cuadro 22 gastos figurativos de ANSES</t>
  </si>
  <si>
    <t>Esto se obtiene en contribuciones figurativas, cuadro 23 contribuciones figurativas del ministerio de desarrollo social</t>
  </si>
  <si>
    <t xml:space="preserve">Ésta es la diferencia </t>
  </si>
  <si>
    <t>FGS, activos y rentabilidad</t>
  </si>
  <si>
    <t>Miles de pesos corrientes</t>
  </si>
  <si>
    <t>Ingresos corrientes</t>
  </si>
  <si>
    <t>Ingresos tributarios</t>
  </si>
  <si>
    <t>Imp. sobre los ingresos (ganancias)</t>
  </si>
  <si>
    <t>Imp. sobre el patrimonio</t>
  </si>
  <si>
    <t>Imp. indirectos</t>
  </si>
  <si>
    <t>IVA(0,11*0,9373 %)</t>
  </si>
  <si>
    <t>Impuestos internos unificados</t>
  </si>
  <si>
    <t>GNC, gasoil, dieseloil y kerosene (100%)</t>
  </si>
  <si>
    <t>Otros combustibles líquidos (21%)</t>
  </si>
  <si>
    <t>Otros tributarios</t>
  </si>
  <si>
    <t>Adicional cigarrillos (100%?) (parece que 0 % antes de 1998)</t>
  </si>
  <si>
    <t xml:space="preserve">Monotributo ( 70 % impositivo) </t>
  </si>
  <si>
    <t>Ingresos no tributarios</t>
  </si>
  <si>
    <t>Contribuciones a la seguridad social</t>
  </si>
  <si>
    <t xml:space="preserve">Contrib. s. s. </t>
  </si>
  <si>
    <t>Otras contribuciones</t>
  </si>
  <si>
    <t>Contrib. Ex-cajas provinciales</t>
  </si>
  <si>
    <t>Rentas de la propiedad</t>
  </si>
  <si>
    <t>Intereses por depósitos</t>
  </si>
  <si>
    <t>Intereses por préstamos, títulos y valores</t>
  </si>
  <si>
    <t xml:space="preserve">Transferencias corrientes </t>
  </si>
  <si>
    <t>Del sector privado</t>
  </si>
  <si>
    <t>Del sector externo</t>
  </si>
  <si>
    <t>Recursos de capital</t>
  </si>
  <si>
    <t>Disminución de la inversión financiera</t>
  </si>
  <si>
    <t>Recursos propios de capital / venta de tierras y terrenos</t>
  </si>
  <si>
    <t>Total recursos</t>
  </si>
  <si>
    <t>Contribuciones figurativas</t>
  </si>
  <si>
    <t xml:space="preserve">Por detracción de masa de impuestos coparticipables </t>
  </si>
  <si>
    <t>Por Prestación Universal al Adulto Mayor</t>
  </si>
  <si>
    <t>Por gastos plan conectar igualdad (capital)</t>
  </si>
  <si>
    <t>Por asignaciones familiares sector público nacional</t>
  </si>
  <si>
    <t>Por PROGRESAR</t>
  </si>
  <si>
    <t>Cont. Fig-(Coparticipables + Conectar + Familiares SPN + PROGRESAR)</t>
  </si>
  <si>
    <t>Coparticipación menos gastos figurativos + gastos figurativos financiados por Tesoro</t>
  </si>
  <si>
    <t xml:space="preserve">Impacto de coparticipación en cuentas de jubilaciones </t>
  </si>
  <si>
    <t>FUENTES</t>
  </si>
  <si>
    <t>Gastos corrientes</t>
  </si>
  <si>
    <t>Gastos de Consumo</t>
  </si>
  <si>
    <t>Remuneraciones</t>
  </si>
  <si>
    <t>Bienes y servicios</t>
  </si>
  <si>
    <t>Gastos de consumo de ex-cajas provinciales</t>
  </si>
  <si>
    <t>Intereses</t>
  </si>
  <si>
    <t>Otras rentas</t>
  </si>
  <si>
    <t>Prestaciones de la seguridad social</t>
  </si>
  <si>
    <t>PUAM</t>
  </si>
  <si>
    <t>PNC</t>
  </si>
  <si>
    <t>Jubilaciones normales ley 24241</t>
  </si>
  <si>
    <t>Jubilaciones por moratoria</t>
  </si>
  <si>
    <t>Ex-cajas provinciales</t>
  </si>
  <si>
    <t>Ex-combatientes Malvinas (financiados por rentas generales)</t>
  </si>
  <si>
    <t>Otros gastos corrientes</t>
  </si>
  <si>
    <t>Transferencias corrientes</t>
  </si>
  <si>
    <t>Al sector privado</t>
  </si>
  <si>
    <t>Al sector público</t>
  </si>
  <si>
    <t>Al sector externo</t>
  </si>
  <si>
    <t>Transferencias de seguridad social</t>
  </si>
  <si>
    <t>Transferencias de salud (PAMI)</t>
  </si>
  <si>
    <t>Transferencias de trabajo</t>
  </si>
  <si>
    <t>Transferencias de promoción social (Min. Des. Soc.)</t>
  </si>
  <si>
    <t>Transferencias de educación y cultura</t>
  </si>
  <si>
    <t>Asignaciones familiares sector público nacional (cubiertas por Estado Nacional)</t>
  </si>
  <si>
    <t>Transferencias corrientes pagadas por ANSES</t>
  </si>
  <si>
    <t>Para Info. Contr. Cajas Militares, INSSJYP, a DGI, Transf. Empleo y Des. Soc.</t>
  </si>
  <si>
    <t>Gastos de capital</t>
  </si>
  <si>
    <t>Inversión real directa</t>
  </si>
  <si>
    <t>Transferencias de capital</t>
  </si>
  <si>
    <t>Inversión financiera</t>
  </si>
  <si>
    <t>Total gastos</t>
  </si>
  <si>
    <t>Gastos figurativos</t>
  </si>
  <si>
    <t>Gastos figurativos de todas las ISS</t>
  </si>
  <si>
    <t>A instituciones de seguridad social</t>
  </si>
  <si>
    <t>Al ministerio de desarrollo social/ PNC (gastos corrientes)</t>
  </si>
  <si>
    <t>Gastos de capital y otras dependencias</t>
  </si>
  <si>
    <t>Cancelación deuda previsional sin RH</t>
  </si>
  <si>
    <t>Retroactivos RH</t>
  </si>
  <si>
    <t>Result. Econ.: Ahorro-Desahorro (Ingresos- Gastos corrientes)</t>
  </si>
  <si>
    <t>Result. Financiero antes de contribuciones</t>
  </si>
  <si>
    <t>Resultado bismarckiano : contribuciones a la seguridad social menos prestaciones de seguridad social y transferencias corrientes</t>
  </si>
  <si>
    <t>Resultado financiero excluyendo rentas de propiedad y transferencias corrientes de PAMI</t>
  </si>
  <si>
    <t>Devolución Coparticipación Provincias</t>
  </si>
  <si>
    <t>I</t>
  </si>
  <si>
    <t>II</t>
  </si>
  <si>
    <t>III</t>
  </si>
  <si>
    <t>IV</t>
  </si>
  <si>
    <t>ANUAL</t>
  </si>
  <si>
    <t>Impuesto al cheque</t>
  </si>
  <si>
    <t>Porcentaje del PIB</t>
  </si>
  <si>
    <t>Activos</t>
  </si>
  <si>
    <t>Rentabilidad</t>
  </si>
  <si>
    <t>Rentabilidad, porcentaje del valor del fondo del año pasado</t>
  </si>
  <si>
    <t xml:space="preserve">Cuadro 71 composición de los recursos por rubro </t>
  </si>
  <si>
    <t>Para las contribuciones figurativas: esquema ahorra inversión financiamiento base caja sector público http://www.mecon.gov.ar/onp/html/resultado/caja/c1993/1993.htm</t>
  </si>
  <si>
    <t>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</si>
  <si>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Cuadro 72 composición de los recursos por institución, entidad y rubro Anexo 11 contribuciones figurativas</t>
  </si>
  <si>
    <t>Cuadro 68 detalles gastos de consumo, cuadro 64 detalles gastos de capital, anexo 11 gastos corrientes y figurativos, cuadro 63 muestra que transferencias corrientes van a seguridad social</t>
  </si>
  <si>
    <t>En verdad, basta con Anexo 11</t>
  </si>
  <si>
    <t>Cuadro 72 composición de los recursos por institución, entidad y rubro Anexo 15 contribuciones figurativas</t>
  </si>
  <si>
    <t>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</si>
  <si>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Anexo 15 para todo</t>
  </si>
  <si>
    <t>Anexo 17 para todo. No hay datos para los detalles de las transferencias corrientes</t>
  </si>
  <si>
    <t>Cuadro 72 para todos los recursos, anexo 17 para las contribuciones figurativas</t>
  </si>
  <si>
    <t>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</si>
  <si>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Anexo 5.2.1. para los recursos, anexo 6.2.3. para las contribuciones figurativas,</t>
  </si>
  <si>
    <t>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</si>
  <si>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Anexo 3.14 para los recursos anexo 13 para las contribuciones figurativas</t>
  </si>
  <si>
    <t>Anexo 13 para los gastos, salvo anexo 3.10 para detalle gastos consumo. Anexo 3.5. transferencias corrientes por objeto, 3.6. por naturaleza económica cuadro 7 para comprobar el monto de transferencias a PAMI y otros</t>
  </si>
  <si>
    <t>Anexo 3.14. para los recursos anexo 15 para las contribuciones figurativas</t>
  </si>
  <si>
    <t>Anexo 15 para los gastos, salvo anexo 3.10 para detalle gastos consumo  Anexo 3.5. transferencias corrientes por objeto, 3.6. por naturaleza económica cuadro 7 para comprobar el monto de transferencias a PAMI y otros</t>
  </si>
  <si>
    <t>Anexo 3.14 para los recursos anexo 14 para las contribuciones figurativas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</si>
  <si>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</si>
  <si>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</si>
  <si>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14 para los gastos, salvo anexo 3.10. para el detalle de gastos de consumo   Anexo 3.5. transferencias corrientes por objeto, 3.6. por naturaleza económica cuadro 7 para comprobar el monto de transferencias a PAMI y otros</t>
  </si>
  <si>
    <t>Anexo 3.14 para los recursos anexo 16 para las contribuciones figurativas</t>
  </si>
  <si>
    <t>Anexo 16 para los gastos, salvo anexo 3.10. para el detalle de gastos de consumo Anexo 3.5. transferencias corrientes por objeto, 3.6. por naturaleza económica cuadro 7 para comprobar el monto de transferencias a PAMI y otros</t>
  </si>
  <si>
    <t>Anexo 3.14 para los recursos anexo 18 para las contribuciones figurativas</t>
  </si>
  <si>
    <t>Anexo 18 para los gastos, salvo anexo 3.10. para el detalle de gastos de consumo Anexo 3.5. transferencias corrientes por objeto, 3.6. por naturaleza económica cuadro 7 para comprobar el monto de transferencias a PAMI y otros</t>
  </si>
  <si>
    <t>Anexo 3.14 para los recursos anexo 19 para las contribuciones figurativas</t>
  </si>
  <si>
    <t>Anexo 19 para los gastos, salvo anexo 3.10. para el detalle de gastos de consumo Anexo 3.5. transferencias corrientes por objeto, 3.6. por naturaleza económica cuadro 7 para comprobar el monto de transferencias a PAMI y otros</t>
  </si>
  <si>
    <t>Anexo 3.14 para los recursos anexo 20 para las contribuciones figurativas</t>
  </si>
  <si>
    <t>Anexo 20 para los gastos, salvo anexo 3.10. para el detalle de gastos de consumo Anexo 3.5. transferencias corrientes por objeto, 3.6. por naturaleza económica cuadro 7 para comprobar el monto de transferencias a PAMI y otros</t>
  </si>
  <si>
    <t>Anexo 20 para los gastos, salvo anexo 3.10. para el detalle de gastos de consumo</t>
  </si>
  <si>
    <t>2013</t>
  </si>
  <si>
    <t>Anexo 19 para los gastos, salvo anexo 3.10. para el detalle de gastos de consumo</t>
  </si>
  <si>
    <t>2014</t>
  </si>
  <si>
    <t>2015</t>
  </si>
  <si>
    <t>2016</t>
  </si>
  <si>
    <t>Anexo 3.14 para los recursos anexo 23 para las contribuciones figurativas</t>
  </si>
  <si>
    <t>Anexo 23 para los gastos, salvo anexo 3.10. para el detalle de gastos de consumo</t>
  </si>
  <si>
    <t>https://tn.com.ar/economia/vivo-el-blanqueo-de-capitales-alcanzo-los-116800-millones-de-dolares_783926</t>
  </si>
  <si>
    <t>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</si>
  <si>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</si>
  <si>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2018</t>
  </si>
  <si>
    <t>Anexo 3.14 para los recursos anexo 24 para las contribuciones figurativas</t>
  </si>
  <si>
    <t>Oct</t>
  </si>
  <si>
    <t>Jun</t>
  </si>
  <si>
    <t>Cuenta AIF base caja sector público nacional salvo contribuciones (boletín mensual de seguridad social AFIP)</t>
  </si>
  <si>
    <t>SEGUIR CON GASTOS 2018</t>
  </si>
  <si>
    <r>
      <rPr>
        <sz val="12"/>
        <rFont val="Times New Roman"/>
        <family val="1"/>
        <charset val="1"/>
      </rPr>
      <t xml:space="preserve">El </t>
    </r>
    <r>
      <rPr>
        <b/>
        <sz val="12"/>
        <rFont val="Times New Roman"/>
        <family val="1"/>
        <charset val="1"/>
      </rPr>
      <t>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</si>
  <si>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Dev. Copart. Y armonizacion</t>
  </si>
  <si>
    <t>Cuenta AIF para gastos de consumo y transferencias, más gastos de capital y otros gastos, seguimiento físico financiero para prestaciones  de seguridad social y transferencias que no paga ANSES</t>
  </si>
  <si>
    <t>Trim 1</t>
  </si>
  <si>
    <t>abr</t>
  </si>
  <si>
    <t>Trim 3</t>
  </si>
  <si>
    <t>May</t>
  </si>
  <si>
    <t>Ingresos corrientes, sin el PAMI % PIB</t>
  </si>
  <si>
    <t>Ingresos corrientes sin el PAMI, simulados (% PIB)</t>
  </si>
  <si>
    <t>Ingresos extraordinarios de blanqueo de capitales,  (% PIB)</t>
  </si>
  <si>
    <t>Contribuciones figurativas por coparticipación, PROGRESAR, conectar igualdad y AAFF trabajadores SPN</t>
  </si>
  <si>
    <t>Gastos corrientes a cargo de ANSES, % PIB (sin reparación histórica)</t>
  </si>
  <si>
    <t>Gastos corrientes a cargo de ANSES, simulados % PIB</t>
  </si>
  <si>
    <t>Gastos corrientes pagados por ANSES, sin el PAMI ni reparación histórica, % PIB</t>
  </si>
  <si>
    <t>Gastos figurativos (incluyendo gastos de capital por conectar igualdad) + sentencias, % PIB</t>
  </si>
  <si>
    <t>Déficit simulado: contribuciones - prestaciones de seguridad social - transferencias corrientes (sin reparación histórica)</t>
  </si>
  <si>
    <t>Déficit ANSES sin contribuciones ni gastos figurativos ni reparación histórica</t>
  </si>
  <si>
    <t>Déficit ANSES con coparticipación y gastos figurativos no financiados por rentas generales, sin reparación histórica</t>
  </si>
  <si>
    <t>Déficit ANSES con coparticipación y gastos figurativos sin rentas de capital (FGS)</t>
  </si>
  <si>
    <t>Cuenta AIF 2017 baje caja sector público nacional</t>
  </si>
  <si>
    <t>(suma cuadro 8 del boletín mensual de seguridad social, AFIP)</t>
  </si>
  <si>
    <t>Nov</t>
  </si>
  <si>
    <t>Dic</t>
  </si>
  <si>
    <t>INCLUYE EL 15 % DE COPARTICIPACIÓN !</t>
  </si>
  <si>
    <t>cancelación deuda previsional, fuentes : ISS 2017 ANSES (2010-2016), aplicaciones financiers de disminución de otros pasivos (2017)</t>
  </si>
  <si>
    <t>Contribuciones a la seguridad social excluyendo al PAMI, % PIB</t>
  </si>
  <si>
    <t>Ingresos tributarios y no tributarios, % PIB</t>
  </si>
  <si>
    <t>Rentas de la propiedad, % PIB</t>
  </si>
  <si>
    <t>Ingresos corrientes sin el PAMI, % PIB</t>
  </si>
  <si>
    <t>Ingresos corrientes, % PIB</t>
  </si>
  <si>
    <t>Contribuciones a la seguridad social, % PIB</t>
  </si>
  <si>
    <t>Contribuciones figurativas por coparticipación y programas financiados por rentas generales, % PIB</t>
  </si>
  <si>
    <t>Resto de coparticipación después de gastos figurativos, % PIB</t>
  </si>
  <si>
    <t>Ingresos totales, % PIB</t>
  </si>
  <si>
    <t>Ingresos totales incluyendo coparticipación, % PIB</t>
  </si>
  <si>
    <t>Prestaciones de la seguridad social, % PIB</t>
  </si>
  <si>
    <t>Prestaciones de la seguridad social, excluyendo reparación histórica % PIB</t>
  </si>
  <si>
    <t>Transferencias corrientes sin las del PAMI, % PIB</t>
  </si>
  <si>
    <t>Gastos corrientes sin el PAMI, % PIB</t>
  </si>
  <si>
    <t>Transferencias corrientes, % PIB</t>
  </si>
  <si>
    <t>Gastos corrientes, % PIB</t>
  </si>
  <si>
    <t>Gastos corrientes sin reparación histórica, % PIB</t>
  </si>
  <si>
    <t>Sentencias ANSES, % PIB</t>
  </si>
  <si>
    <t>Gastos totales, % PIB</t>
  </si>
  <si>
    <t>Gastos totales (excluyendo consumo), % PIB</t>
  </si>
  <si>
    <t>Resultado económico ahorro-desahorro, % PIB sin coparticipación</t>
  </si>
  <si>
    <t>Contribuciones – prestaciones, seguridad social, % PIB</t>
  </si>
  <si>
    <t>Ingresos extra FGS – gastos excluyendo PAMI, % PIB, sin coparticipación</t>
  </si>
  <si>
    <t>Resultado económico ahorro-desahorro corregido PAMI, % PIB sin coparticipación</t>
  </si>
  <si>
    <t>Resultado económico ahorro-desahorro corregido PAMI, % PIB con coparticipación</t>
  </si>
  <si>
    <t>Déficit simulado: contribuciones – prestaciones de seguridad social – transferencias corrientes</t>
  </si>
  <si>
    <t>Resultado económico ahorro-desahorro corregido PAMI, sin rentas FGS, % PIB con coparticipación</t>
  </si>
  <si>
    <t>Ingresos extra FGS – gastos excluyendo PAMI, % PIB</t>
  </si>
  <si>
    <t>Resultado económico ahorro-desahorro corregido PAMI, % PIB</t>
  </si>
  <si>
    <t>! DATOS 2015 INCLUYEN LAS PRESTACIONES DADAS PARA POLICÍA Y MILICOS, EN FUERTE DÉFICIT.  (te empeora el resultado de unos 0,5 puntos del producto)</t>
  </si>
  <si>
    <t>El problema también es que las contribuciones de la seguridad social seguramente incluyen también las contribuciones a milicos y policías. Los datos del 2015 son empero ilustrativos, mientras se espera la cuenta de inversión 2015</t>
  </si>
  <si>
    <t>Este problema está sólo cuando se toma la Cuenta AIF base caja como fuente</t>
  </si>
  <si>
    <t>La suma de transferencias corrientes de seguridad social es igual a la de asignaciones familiares según el IMIG 2017</t>
  </si>
  <si>
    <t>No parecen incluir los complementos a las prestaciones previsionales ni la prestación por desempleo</t>
  </si>
  <si>
    <t>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</si>
  <si>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</si>
  <si>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Prestaciones de la seguridad social ANSES: pensiones ex-combatientes Malvinas + jubilaciones ley 24241 + jubilaciones leyes 24476 y 25994 + jubilaciones ex-cajas provinciales</t>
  </si>
  <si>
    <t>TRANSFERENCIAS CORRIENTES = asignaciones familiares + complementos a jubilaciones + desempleo + transferencias corrientes a salud (anexo 3.05) + transferencias corrientes a sector público y externo (anexo 3.06)</t>
  </si>
  <si>
    <t>Las transferencias corrientes a la seguridad social del anexo 3.05 son iguales a las transferencias corrientes – las con finalidad económica de salud</t>
  </si>
  <si>
    <t>1993-2003 : PIB base 1993. 2004-2015 : PIB base 2004</t>
  </si>
  <si>
    <t>Se puede verificar en las cuentas AIF que ni el instituto de seguridad social del ministerio del interior ni el de defensa tienen como gastos transferencias corrientes , por lo cual todas las transferencias corrientes en los anexos 3.05 y 3.06 le corresponden a ANSES</t>
  </si>
  <si>
    <t>Se confirma asimismo en el seguimiento físico financiero que las transferencias corrientes de seguridad social excluyen a los gastos por Conecta Igualdad y Progresar. Por ende, éstos están incluídos en los figurativos</t>
  </si>
  <si>
    <t>Por ello, en el estudio de las cuentas de seguridad social estimo que se pueden sacar las transferencias corrientes con destino salud</t>
  </si>
  <si>
    <t>Fuente : ofinica nacional del presupuesto, http://www.mecon.gov.ar/onp/html/series/Serie1961-2004.pdf</t>
  </si>
  <si>
    <t xml:space="preserve">Sin embargo, el RENATEA a partir de 2016 también tiene pagos de transferencias corrientes (iguales a 215,229,504.63  pesos según el anexo 23). </t>
  </si>
  <si>
    <t>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</si>
  <si>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Por ello, la suma de transferencias al sector privado, público y externo (por ejemplo) no es más igual a las transferencias corrientes</t>
  </si>
  <si>
    <t>Egresos</t>
  </si>
  <si>
    <t>REPA Pagado 2016</t>
  </si>
  <si>
    <t>REPA Pagado 2017</t>
  </si>
  <si>
    <t>Se le agrega la suma de jubilaciones del cuarto trimestre según IMIG 2017 (que incluye las de militares y policías)</t>
  </si>
  <si>
    <t>Balance de Cuenta Corriente</t>
  </si>
  <si>
    <t>Resultado económico de ANSES</t>
  </si>
  <si>
    <t>Resultado económico excluyendo rentabilidad del FGS</t>
  </si>
  <si>
    <t>Resultado económico excluyendo rentabilidad FGS y asistencia financiera Ley 27.260</t>
  </si>
  <si>
    <t>% PIB</t>
  </si>
  <si>
    <t>Rentabilité du FGS exclue</t>
  </si>
  <si>
    <t>Rentabilité du FGS inclue</t>
  </si>
  <si>
    <t>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</si>
  <si>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</si>
  <si>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Ingresos fiscales y coparticipación</t>
  </si>
  <si>
    <t>Gastos figurativos + sentencias</t>
  </si>
  <si>
    <t>FGS</t>
  </si>
  <si>
    <t>Ganancias ANSES</t>
  </si>
  <si>
    <t>Componente impositivo del monotributo a ANSES</t>
  </si>
  <si>
    <t>IVA ANSES</t>
  </si>
  <si>
    <t>Líquidos totales</t>
  </si>
  <si>
    <t>Adicional cigarrillos</t>
  </si>
  <si>
    <t>Cheque</t>
  </si>
  <si>
    <t>15 % coparticipación</t>
  </si>
  <si>
    <t>Líquidos que van a ANSES</t>
  </si>
  <si>
    <t>Gastos operativos</t>
  </si>
  <si>
    <t>Comisiones por recaudación (fuente: ANSES transparencia ISSFinanciero)</t>
  </si>
  <si>
    <t>ISS</t>
  </si>
  <si>
    <t>Otras dependencias (Min. Desarrollo social) no financiados por rentas generales + gastos capital</t>
  </si>
  <si>
    <t>Sentencias ANSES</t>
  </si>
  <si>
    <t>Transferencias a gobiernos provinciales</t>
  </si>
  <si>
    <t>Devolución coparticipación a provincias</t>
  </si>
  <si>
    <t>Renta FGS</t>
  </si>
  <si>
    <t>Tamaño FGS</t>
  </si>
  <si>
    <t>Ganancias</t>
  </si>
  <si>
    <t>IVA neto</t>
  </si>
  <si>
    <t xml:space="preserve">Adicional cigarrillos </t>
  </si>
  <si>
    <t>Monotributo, componente fiscal</t>
  </si>
  <si>
    <t>Otras dependencias (Min. Desarrollo social) no financiados por rentas generales</t>
  </si>
  <si>
    <t>Non-simulated income</t>
  </si>
  <si>
    <t>Non-simulated expenses</t>
  </si>
  <si>
    <t>Noviembre</t>
  </si>
  <si>
    <t>Diciembre</t>
  </si>
  <si>
    <t>Hay que agregar otros tributarios menos adicional cigarrillos como fuente no calculada de ingresos de ANSES</t>
  </si>
  <si>
    <t>Son tipo 0,1% del PBI</t>
  </si>
  <si>
    <t>Y parece haber demasiados gastos exógenos tomados en cuenta</t>
  </si>
  <si>
    <t>Resultado proyectado debería ser levemente superior</t>
  </si>
  <si>
    <t>No hay razón que diferencia sea mayor que con el bismarckiano</t>
  </si>
  <si>
    <t>New fuel tax ANSES share</t>
  </si>
  <si>
    <t xml:space="preserve">Resultado económico menos resultado Bismarckiano </t>
  </si>
  <si>
    <t>Ingresos menos gastos exógenos tomados en cuenta en este cuadro</t>
  </si>
  <si>
    <t>Diferencia</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</si>
  <si>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</si>
  <si>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</si>
  <si>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Bismarckian: historic</t>
  </si>
  <si>
    <t>Economic result: historic</t>
  </si>
  <si>
    <t>Bismarckiano</t>
  </si>
  <si>
    <t>Resultado financiero</t>
  </si>
  <si>
    <t>Decreto 409/2018</t>
  </si>
  <si>
    <t>a partir de mayo, 33 % va a ganancias</t>
  </si>
  <si>
    <t>Bajo</t>
  </si>
  <si>
    <t>Bajo con PUAM</t>
  </si>
  <si>
    <t>Central</t>
  </si>
  <si>
    <t>central con PUAM</t>
  </si>
  <si>
    <t>Alto</t>
  </si>
  <si>
    <t>Alto con PUAM</t>
  </si>
  <si>
    <t>Bajo con pUAM</t>
  </si>
  <si>
    <t>Central con PUAM</t>
  </si>
  <si>
    <t>Legislación 10/12/2019</t>
  </si>
  <si>
    <t>Assume on left is new fuel tax</t>
  </si>
  <si>
    <t>Legislación 2018</t>
  </si>
  <si>
    <t>Legislación 2017</t>
  </si>
  <si>
    <t>Acceso a una jubilación (población en edad jubilatoria)</t>
  </si>
  <si>
    <t>Proporción de población en edad de trabajar que contribuye</t>
  </si>
  <si>
    <t>Contribuyentes por jubilado, pilar de reparto (eje derecho)</t>
  </si>
  <si>
    <t>Contribuyentes por jubilado, SIJP/SIPA (eje derecho)</t>
  </si>
  <si>
    <t>Contribuyentes autónomos y asalariados excl. casas particulares por jubilado, SIJP/SIPA (eje derecho)</t>
  </si>
  <si>
    <t>Menores con acceso a una asignación contributiva de ANSES</t>
  </si>
  <si>
    <t>Menores con acceso a la AUH</t>
  </si>
  <si>
    <t>Menores con acceso a una asignación  de ANSES, total</t>
  </si>
  <si>
    <t>2008-Sept</t>
  </si>
  <si>
    <t>2008- Dic</t>
  </si>
  <si>
    <t>Fuente: población, Naciones Unidas 2017. Asignaciones, seguimiento físico financiero y ANSES transparencia</t>
  </si>
  <si>
    <t>Fuente:</t>
  </si>
  <si>
    <t>Beneficios, seguimiento físico financiero. Población, proyecciones Naciones Unidas 2017</t>
  </si>
  <si>
    <t>Contribuyentes:  Boletín Estadístico de la Seguridad social, segundo trimestre 2018. Población: proyecciones Naciones Unidas 2017</t>
  </si>
  <si>
    <t>Contribuyentes pilar público, Arza (2009). Jubilados, seguimiento físico financiero</t>
  </si>
  <si>
    <t>Contribuyentes pilar privado, Arza (2009). Jubilados, seguimiento físico financiero</t>
  </si>
  <si>
    <t>Contribuyentes, BESS segundo trimestre, 2018. Jubilados, seguimiento físico financiero</t>
  </si>
  <si>
    <t>Pilar privado</t>
  </si>
  <si>
    <t>Fuente: Boletín Estadistico de la Seguridad Social, segundo trimestre de 2018. Para aportantes al pilar privado, Arza (2009)</t>
  </si>
  <si>
    <t>(1): hay aportantes que aportan a más de un régimen al mismo tiempo, por lo que el total de aportantes es menor a la suma de las columnas L a O</t>
  </si>
  <si>
    <t>Ingresos</t>
  </si>
  <si>
    <t>Gastos</t>
  </si>
  <si>
    <t>Ingresos tributarios no extraordinarios</t>
  </si>
  <si>
    <t>Contribuciones figurativas por coparticipación, tras detracción acuerdo provincias % PIB</t>
  </si>
  <si>
    <t>Contribuciones figurativas por programas financiados por el Tesoro extra PUAM, % PIB</t>
  </si>
  <si>
    <t>Contribuciones figurativas para compensar devolución de coparticipación y PUAM</t>
  </si>
  <si>
    <t>Contribuciones figurativas para tapar déficit,  % PIB</t>
  </si>
  <si>
    <t>Ingreso extraordinario del blanqueo</t>
  </si>
  <si>
    <t>Ingresos corrientes incluyendo rentas FGS, total</t>
  </si>
  <si>
    <t>Transferencias corrientes menos al PAMI</t>
  </si>
  <si>
    <t>Transferencias al PAMI</t>
  </si>
  <si>
    <t>Gastos de consumo y rentas de la propiedad</t>
  </si>
  <si>
    <t>Gastos figurativos pagados por ANSES, sin sentencias</t>
  </si>
  <si>
    <t>Sentencias judiciales sin Reparación Histórica</t>
  </si>
  <si>
    <t>Sentencias judiciales con Reparación Histórica</t>
  </si>
  <si>
    <t>Transferencias corrientes (salvo las atribuibles al PAMI)</t>
  </si>
  <si>
    <t>Gastos corrientes pagados por ANSES</t>
  </si>
  <si>
    <t>Resultado económico con sentencias</t>
  </si>
  <si>
    <t>… sin rentabilidad FGS</t>
  </si>
  <si>
    <t>... ni financiamiento del Tesoro</t>
  </si>
  <si>
    <t>Gastos no contributivos pagados por ANSES</t>
  </si>
  <si>
    <t>Gastos contributivos pagados por ANSES</t>
  </si>
  <si>
    <t>Resultado contributivo: prestaciones de la seguridad social menos gastos contributivos (con sentencias)</t>
  </si>
  <si>
    <t>Jubilaciones y pensiones con contribuciones al PAMI, sin reparación histórica</t>
  </si>
  <si>
    <t>Asignaciones familiares. Desde 2017, también pensiones no contributivas.</t>
  </si>
  <si>
    <t>Cajas de fuerzas de seguridad, Pensiones No Contributivas (hasta 2017) e invalidez</t>
  </si>
  <si>
    <t>Gastos de consumo de ANSES</t>
  </si>
  <si>
    <t>Pago de sentencias</t>
  </si>
  <si>
    <t>Gastos totales de ANSES, sin Reparación Histórica</t>
  </si>
  <si>
    <t>Gastos Reparación Histórica</t>
  </si>
  <si>
    <t>Coparticipación que va a ANSES</t>
  </si>
  <si>
    <t>Financiamiento del Tesoro de Asignaciones Familiares Sector público, Conectar Igualdad, Progresar…</t>
  </si>
  <si>
    <t>Ingresos genuinos de ANSES</t>
  </si>
  <si>
    <t>Rentas de la propiedad (FGS a partir de 2008)</t>
  </si>
  <si>
    <t>Asistencia del Tesoro por coparticipación y PUAM</t>
  </si>
  <si>
    <t>Blanqueo de capitales</t>
  </si>
  <si>
    <t>Jubilaciones contributivas</t>
  </si>
  <si>
    <t>Sentencias</t>
  </si>
  <si>
    <t>Gastos figurativos: inst. seg. Soc. y admin. Central</t>
  </si>
  <si>
    <t>Gastos de consumo y rentas de propiedad</t>
  </si>
  <si>
    <t>Transferencias corrientes contributivas</t>
  </si>
  <si>
    <t>Jubilaciones por moratoria y PUAM</t>
  </si>
  <si>
    <t>Transferencias corrientes no contributivas (AUH y PROGRESAR)</t>
  </si>
  <si>
    <t>Gastos figurativos: PNC</t>
  </si>
  <si>
    <t>Transferencias a PAMI</t>
  </si>
  <si>
    <t>PNRH</t>
  </si>
  <si>
    <t>Gasto no contributivo</t>
  </si>
  <si>
    <t>Gasto contributivo</t>
  </si>
  <si>
    <t>Jubilaciones contributivas + sentencias</t>
  </si>
  <si>
    <t>Gastos figurativos (ISS y Admin. Cent), de consumo y rentas de la propiedad</t>
  </si>
  <si>
    <t>Transferencias corrientes contributivas (asignaciones familiares)</t>
  </si>
  <si>
    <t>Gastos contributivos</t>
  </si>
  <si>
    <t>Gasto total de ANSES, sin PNRH</t>
  </si>
  <si>
    <t>Contribuciones figurativas por programas financiados por el Tesoro extra PUAM, y rentas de la propiedad pre FGS % PIB</t>
  </si>
  <si>
    <t>Resultado contributivo</t>
  </si>
  <si>
    <t>Resultado no contributivo</t>
  </si>
  <si>
    <t>Resultado de ANSES</t>
  </si>
  <si>
    <t>REPA Pagado 2018 (estimado en base a cuenta inversión ANSES 2018)</t>
  </si>
  <si>
    <t>REPA de haberes</t>
  </si>
  <si>
    <t>Gastos PNRH, % PIB, sin sentencias PNRH</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</si>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</sst>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164" formatCode="#,##0.00\ ;\-#,##0.00\ ;&quot; -&quot;#\ ;@\ "/>
    <numFmt numFmtId="165" formatCode="_-* #,##0\ _p_t_a_-;\-* #,##0\ _p_t_a_-;_-* &quot;- &quot;_p_t_a_-;_-@_-"/>
    <numFmt numFmtId="166" formatCode="#,##0.00\ ;&quot; -&quot;#,##0.00\ ;&quot; -&quot;#\ ;@\ "/>
    <numFmt numFmtId="167" formatCode="[$-409]m/d/yyyy"/>
    <numFmt numFmtId="168" formatCode="#,##0\ ;\-#,##0\ ;&quot; -&quot;#\ ;@\ "/>
    <numFmt numFmtId="169" formatCode="0.0&quot;  &quot;"/>
    <numFmt numFmtId="170" formatCode="#,##0;\-#,##0"/>
    <numFmt numFmtId="171" formatCode="#,##0&quot;  &quot;"/>
    <numFmt numFmtId="172" formatCode="0.000%"/>
    <numFmt numFmtId="173" formatCode="0,000"/>
    <numFmt numFmtId="174" formatCode="#,##0.00;\-#,##0.00"/>
    <numFmt numFmtId="175" formatCode="0.0"/>
    <numFmt numFmtId="176" formatCode="#,##0.0000"/>
    <numFmt numFmtId="177" formatCode="#,##0.0"/>
    <numFmt numFmtId="178" formatCode="_-* #,##0.00\ _€_-;\-* #,##0.00\ _€_-;_-* \-??\ _€_-;_-@_-"/>
    <numFmt numFmtId="179" formatCode="#,##0__"/>
    <numFmt numFmtId="180" formatCode="_-* #,##0\ _€_-;\-* #,##0\ _€_-;_-* \-??\ _€_-;_-@_-"/>
    <numFmt numFmtId="181" formatCode="#,##0.0__"/>
    <numFmt numFmtId="182" formatCode="_-* #,##0.0\ _P_t_s_-;\-* #,##0.0\ _P_t_s_-;_-* \-??\ _P_t_s_-;_-@_-"/>
    <numFmt numFmtId="183" formatCode="#,##0.00\ "/>
    <numFmt numFmtId="184" formatCode="0.0%"/>
    <numFmt numFmtId="185" formatCode="_-* #,##0.000\ _€_-;\-* #,##0.000\ _€_-;_-* \-??\ _€_-;_-@_-"/>
  </numFmts>
  <fonts count="108">
    <font>
      <sz val="11"/>
      <color rgb="FF000000"/>
      <name val="Calibri"/>
      <family val="2"/>
      <charset val="1"/>
    </font>
    <font>
      <sz val="10"/>
      <name val="Arial"/>
      <family val="2"/>
      <charset val="1"/>
    </font>
    <font>
      <sz val="1"/>
      <color rgb="FF000000"/>
      <name val="Courier New"/>
      <family val="3"/>
      <charset val="1"/>
    </font>
    <font>
      <sz val="1"/>
      <color rgb="FF000000"/>
      <name val="Courier New"/>
      <family val="3"/>
    </font>
    <font>
      <i/>
      <sz val="1"/>
      <color rgb="FF000000"/>
      <name val="Courier New"/>
      <family val="3"/>
      <charset val="1"/>
    </font>
    <font>
      <i/>
      <sz val="1"/>
      <color rgb="FF000000"/>
      <name val="Courier New"/>
      <family val="3"/>
    </font>
    <font>
      <sz val="10"/>
      <name val="Mangal"/>
      <family val="2"/>
      <charset val="1"/>
    </font>
    <font>
      <sz val="12"/>
      <name val="Courier New"/>
      <family val="3"/>
      <charset val="1"/>
    </font>
    <font>
      <sz val="12"/>
      <name val="Courier New"/>
      <family val="3"/>
    </font>
    <font>
      <sz val="8"/>
      <name val="Verdana"/>
      <family val="2"/>
      <charset val="1"/>
    </font>
    <font>
      <sz val="10"/>
      <name val="Book Antiqua"/>
      <family val="1"/>
      <charset val="1"/>
    </font>
    <font>
      <sz val="10"/>
      <name val="MS Sans Serif"/>
      <family val="2"/>
      <charset val="1"/>
    </font>
    <font>
      <b/>
      <sz val="12"/>
      <name val="Arial"/>
      <family val="2"/>
      <charset val="204"/>
    </font>
    <font>
      <sz val="12"/>
      <color rgb="FF000000"/>
      <name val="Calibri"/>
      <family val="2"/>
      <charset val="1"/>
    </font>
    <font>
      <b/>
      <sz val="12"/>
      <color rgb="FF000000"/>
      <name val="Calibri"/>
      <family val="2"/>
      <charset val="1"/>
    </font>
    <font>
      <b/>
      <sz val="9"/>
      <name val="Arial"/>
      <family val="2"/>
      <charset val="204"/>
    </font>
    <font>
      <sz val="9"/>
      <color rgb="FF000000"/>
      <name val="Arial"/>
      <family val="2"/>
      <charset val="204"/>
    </font>
    <font>
      <b/>
      <sz val="10"/>
      <color rgb="FF000000"/>
      <name val="Arial"/>
      <family val="2"/>
      <charset val="204"/>
    </font>
    <font>
      <sz val="9"/>
      <name val="Arial"/>
      <family val="2"/>
      <charset val="204"/>
    </font>
    <font>
      <b/>
      <sz val="8"/>
      <name val="Arial"/>
      <family val="2"/>
      <charset val="204"/>
    </font>
    <font>
      <b/>
      <sz val="10"/>
      <name val="Arial"/>
      <family val="2"/>
      <charset val="1"/>
    </font>
    <font>
      <b/>
      <sz val="20"/>
      <color rgb="FF000000"/>
      <name val="Calibri"/>
      <family val="2"/>
      <charset val="1"/>
    </font>
    <font>
      <sz val="12"/>
      <name val="Arial"/>
      <family val="2"/>
      <charset val="204"/>
    </font>
    <font>
      <sz val="8.5"/>
      <name val="Arial"/>
      <family val="2"/>
      <charset val="204"/>
    </font>
    <font>
      <b/>
      <sz val="16.2"/>
      <name val="Times New Roman"/>
      <family val="1"/>
      <charset val="1"/>
    </font>
    <font>
      <sz val="11.75"/>
      <name val="Times New Roman"/>
      <family val="1"/>
      <charset val="1"/>
    </font>
    <font>
      <sz val="12.6"/>
      <name val="Times New Roman"/>
      <family val="1"/>
      <charset val="1"/>
    </font>
    <font>
      <sz val="9.5"/>
      <name val="Times New Roman"/>
      <family val="1"/>
      <charset val="1"/>
    </font>
    <font>
      <b/>
      <sz val="8.5"/>
      <name val="Arial"/>
      <family val="2"/>
      <charset val="204"/>
    </font>
    <font>
      <sz val="10"/>
      <name val="Times New Roman"/>
      <family val="1"/>
      <charset val="1"/>
    </font>
    <font>
      <sz val="11"/>
      <name val="Times New Roman"/>
      <family val="1"/>
      <charset val="1"/>
    </font>
    <font>
      <b/>
      <sz val="16"/>
      <color rgb="FF000000"/>
      <name val="Calibri"/>
      <family val="2"/>
      <charset val="1"/>
    </font>
    <font>
      <b/>
      <sz val="12"/>
      <color rgb="FFFF0000"/>
      <name val="Calibri"/>
      <family val="2"/>
      <charset val="1"/>
    </font>
    <font>
      <b/>
      <sz val="12"/>
      <color rgb="FF0066CC"/>
      <name val="Calibri"/>
      <family val="2"/>
      <charset val="1"/>
    </font>
    <font>
      <sz val="10"/>
      <color rgb="FF000000"/>
      <name val="Arial"/>
      <family val="2"/>
      <charset val="204"/>
    </font>
    <font>
      <sz val="8"/>
      <name val="Arial"/>
      <family val="2"/>
      <charset val="204"/>
    </font>
    <font>
      <sz val="10"/>
      <color rgb="FF000000"/>
      <name val="Myriad"/>
      <charset val="1"/>
    </font>
    <font>
      <b/>
      <sz val="9"/>
      <color rgb="FF000000"/>
      <name val="Arial"/>
      <family val="2"/>
      <charset val="204"/>
    </font>
    <font>
      <b/>
      <sz val="12"/>
      <name val="Calibri"/>
      <family val="2"/>
      <charset val="1"/>
    </font>
    <font>
      <sz val="9"/>
      <name val="Times New Roman"/>
      <family val="1"/>
      <charset val="1"/>
    </font>
    <font>
      <b/>
      <sz val="8"/>
      <color rgb="FF000000"/>
      <name val="Arial"/>
      <family val="2"/>
      <charset val="204"/>
    </font>
    <font>
      <sz val="11"/>
      <color rgb="FF000000"/>
      <name val="Arial"/>
      <family val="2"/>
      <charset val="204"/>
    </font>
    <font>
      <b/>
      <sz val="6"/>
      <color rgb="FF333300"/>
      <name val="Arial"/>
      <family val="2"/>
      <charset val="204"/>
    </font>
    <font>
      <sz val="8"/>
      <color rgb="FFFFFFFF"/>
      <name val="Arial"/>
      <family val="2"/>
      <charset val="204"/>
    </font>
    <font>
      <b/>
      <sz val="9"/>
      <color rgb="FFFFFFFF"/>
      <name val="Arial"/>
      <family val="2"/>
      <charset val="204"/>
    </font>
    <font>
      <sz val="8"/>
      <color rgb="FF000000"/>
      <name val="Arial"/>
      <family val="2"/>
      <charset val="204"/>
    </font>
    <font>
      <b/>
      <sz val="8"/>
      <name val="Calibri"/>
      <family val="2"/>
      <charset val="1"/>
    </font>
    <font>
      <sz val="8"/>
      <name val="Calibri"/>
      <family val="2"/>
      <charset val="1"/>
    </font>
    <font>
      <u/>
      <sz val="10"/>
      <color rgb="FF0000FF"/>
      <name val="Arial"/>
      <family val="2"/>
      <charset val="204"/>
    </font>
    <font>
      <b/>
      <u/>
      <sz val="9"/>
      <color rgb="FFFFFFFF"/>
      <name val="Arial"/>
      <family val="2"/>
      <charset val="204"/>
    </font>
    <font>
      <i/>
      <sz val="8"/>
      <name val="Arial"/>
      <family val="2"/>
      <charset val="204"/>
    </font>
    <font>
      <b/>
      <i/>
      <sz val="8"/>
      <name val="Arial"/>
      <family val="2"/>
      <charset val="204"/>
    </font>
    <font>
      <b/>
      <u/>
      <sz val="10"/>
      <name val="Arial"/>
      <family val="2"/>
      <charset val="204"/>
    </font>
    <font>
      <u/>
      <sz val="10"/>
      <name val="Arial"/>
      <family val="2"/>
      <charset val="204"/>
    </font>
    <font>
      <sz val="9"/>
      <color rgb="FF000000"/>
      <name val="Verdana"/>
      <family val="2"/>
      <charset val="1"/>
    </font>
    <font>
      <sz val="8"/>
      <color rgb="FF333300"/>
      <name val="Arial"/>
      <family val="2"/>
      <charset val="204"/>
    </font>
    <font>
      <b/>
      <sz val="12"/>
      <color rgb="FF000000"/>
      <name val="Arial"/>
      <family val="2"/>
      <charset val="204"/>
    </font>
    <font>
      <sz val="13"/>
      <color rgb="FF000000"/>
      <name val="Calibri Light"/>
      <family val="2"/>
      <charset val="1"/>
    </font>
    <font>
      <sz val="11"/>
      <color rgb="FF000000"/>
      <name val="Calibri  "/>
      <family val="2"/>
      <charset val="1"/>
    </font>
    <font>
      <b/>
      <sz val="13"/>
      <color rgb="FF000000"/>
      <name val="Calibri  "/>
      <charset val="1"/>
    </font>
    <font>
      <sz val="7"/>
      <color rgb="FF000000"/>
      <name val="Arial"/>
      <family val="2"/>
      <charset val="204"/>
    </font>
    <font>
      <sz val="10"/>
      <color rgb="FF0000FF"/>
      <name val="Arial"/>
      <family val="2"/>
      <charset val="204"/>
    </font>
    <font>
      <sz val="10"/>
      <color rgb="FF000000"/>
      <name val="Arial"/>
      <family val="2"/>
      <charset val="1"/>
    </font>
    <font>
      <i/>
      <sz val="11"/>
      <color rgb="FF7F7F7F"/>
      <name val="Calibri"/>
      <family val="2"/>
      <charset val="1"/>
    </font>
    <font>
      <i/>
      <sz val="10"/>
      <name val="Arial"/>
      <family val="2"/>
      <charset val="204"/>
    </font>
    <font>
      <u/>
      <sz val="12"/>
      <name val="Calibri"/>
      <family val="2"/>
      <charset val="1"/>
    </font>
    <font>
      <sz val="12"/>
      <name val="Calibri"/>
      <family val="2"/>
      <charset val="1"/>
    </font>
    <font>
      <i/>
      <sz val="12"/>
      <name val="Calibri"/>
      <family val="2"/>
      <charset val="1"/>
    </font>
    <font>
      <sz val="12"/>
      <color rgb="FF0000FF"/>
      <name val="Calibri"/>
      <family val="2"/>
      <charset val="1"/>
    </font>
    <font>
      <sz val="12"/>
      <name val="Arial"/>
      <family val="2"/>
      <charset val="1"/>
    </font>
    <font>
      <i/>
      <sz val="12"/>
      <color rgb="FF000000"/>
      <name val="Calibri"/>
      <family val="2"/>
      <charset val="1"/>
    </font>
    <font>
      <u/>
      <sz val="12"/>
      <color rgb="FF000000"/>
      <name val="Calibri"/>
      <family val="2"/>
      <charset val="1"/>
    </font>
    <font>
      <b/>
      <i/>
      <sz val="10"/>
      <color rgb="FF000000"/>
      <name val="Arial"/>
      <family val="2"/>
      <charset val="204"/>
    </font>
    <font>
      <b/>
      <sz val="12"/>
      <name val="Arial"/>
      <family val="2"/>
      <charset val="1"/>
    </font>
    <font>
      <b/>
      <i/>
      <sz val="12"/>
      <name val="Calibri"/>
      <family val="2"/>
      <charset val="1"/>
    </font>
    <font>
      <i/>
      <sz val="12"/>
      <name val="Arial"/>
      <family val="2"/>
      <charset val="204"/>
    </font>
    <font>
      <i/>
      <sz val="10"/>
      <name val="Mangal"/>
      <family val="2"/>
      <charset val="1"/>
    </font>
    <font>
      <b/>
      <i/>
      <sz val="12"/>
      <color rgb="FF000000"/>
      <name val="Calibri"/>
      <family val="2"/>
      <charset val="1"/>
    </font>
    <font>
      <i/>
      <sz val="10"/>
      <name val="Arial"/>
      <family val="2"/>
      <charset val="1"/>
    </font>
    <font>
      <sz val="10"/>
      <color rgb="FF000000"/>
      <name val="Book Antiqua"/>
      <family val="1"/>
      <charset val="1"/>
    </font>
    <font>
      <sz val="12"/>
      <name val="Times New Roman"/>
      <family val="1"/>
      <charset val="1"/>
    </font>
    <font>
      <b/>
      <sz val="12"/>
      <name val="Times New Roman"/>
      <family val="1"/>
      <charset val="1"/>
    </font>
    <font>
      <sz val="8"/>
      <name val="Arial"/>
      <family val="2"/>
      <charset val="1"/>
    </font>
    <font>
      <sz val="11"/>
      <color rgb="FF000000"/>
      <name val="Calibri  "/>
      <charset val="1"/>
    </font>
    <font>
      <b/>
      <sz val="10"/>
      <color rgb="FF000000"/>
      <name val="Arial"/>
      <family val="2"/>
      <charset val="1"/>
    </font>
    <font>
      <sz val="12"/>
      <name val="Mangal"/>
      <family val="2"/>
      <charset val="1"/>
    </font>
    <font>
      <sz val="9"/>
      <color rgb="FF000000"/>
      <name val="Book Antiqua"/>
      <family val="1"/>
      <charset val="1"/>
    </font>
    <font>
      <sz val="12"/>
      <color rgb="FF000000"/>
      <name val="Arial"/>
      <family val="2"/>
      <charset val="204"/>
    </font>
    <font>
      <b/>
      <i/>
      <sz val="12"/>
      <name val="Arial"/>
      <family val="2"/>
      <charset val="1"/>
    </font>
    <font>
      <sz val="17"/>
      <color rgb="FF000000"/>
      <name val="Arial"/>
      <family val="2"/>
      <charset val="204"/>
    </font>
    <font>
      <i/>
      <sz val="12"/>
      <name val="Arial"/>
      <family val="2"/>
      <charset val="1"/>
    </font>
    <font>
      <b/>
      <i/>
      <sz val="9"/>
      <name val="Arial"/>
      <family val="2"/>
      <charset val="204"/>
    </font>
    <font>
      <b/>
      <i/>
      <sz val="10"/>
      <name val="Arial"/>
      <family val="2"/>
      <charset val="204"/>
    </font>
    <font>
      <b/>
      <sz val="9"/>
      <color rgb="FF000000"/>
      <name val="Tahoma"/>
      <family val="2"/>
      <charset val="1"/>
    </font>
    <font>
      <sz val="9"/>
      <color rgb="FF000000"/>
      <name val="Tahoma"/>
      <family val="2"/>
      <charset val="1"/>
    </font>
    <font>
      <b/>
      <sz val="9"/>
      <color rgb="FF000000"/>
      <name val="Tahoma"/>
      <family val="2"/>
    </font>
    <font>
      <sz val="9"/>
      <color rgb="FF000000"/>
      <name val="Tahoma"/>
      <family val="2"/>
    </font>
    <font>
      <b/>
      <sz val="10"/>
      <color rgb="FF000000"/>
      <name val="Arial"/>
      <family val="2"/>
    </font>
    <font>
      <sz val="10"/>
      <color rgb="FF000000"/>
      <name val="Arial"/>
      <family val="2"/>
    </font>
    <font>
      <b/>
      <u/>
      <sz val="8"/>
      <name val="Arial"/>
      <family val="2"/>
      <charset val="204"/>
    </font>
    <font>
      <u/>
      <sz val="10"/>
      <name val="Arial"/>
      <family val="2"/>
      <charset val="1"/>
    </font>
    <font>
      <b/>
      <sz val="10"/>
      <name val="Mangal"/>
      <family val="2"/>
      <charset val="1"/>
    </font>
    <font>
      <sz val="11"/>
      <color rgb="FF000000"/>
      <name val="Calibri"/>
      <family val="2"/>
      <charset val="1"/>
    </font>
    <font>
      <sz val="10"/>
      <name val="Arial"/>
      <family val="2"/>
    </font>
    <font>
      <sz val="9"/>
      <color indexed="81"/>
      <name val="Tahoma"/>
      <family val="2"/>
    </font>
    <font>
      <b/>
      <sz val="9"/>
      <color indexed="81"/>
      <name val="Tahoma"/>
      <family val="2"/>
    </font>
    <font>
      <sz val="12"/>
      <name val="Calibri"/>
      <family val="2"/>
    </font>
    <font>
      <sz val="10"/>
      <color indexed="8"/>
      <name val="SansSerif"/>
    </font>
  </fonts>
  <fills count="54">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18028"/>
      </patternFill>
    </fill>
    <fill>
      <patternFill patternType="solid">
        <fgColor rgb="FFFFFFFF"/>
        <bgColor rgb="FFFFFFCC"/>
      </patternFill>
    </fill>
    <fill>
      <patternFill patternType="solid">
        <fgColor rgb="FF99CCFF"/>
        <bgColor rgb="FFB4C7E7"/>
      </patternFill>
    </fill>
    <fill>
      <patternFill patternType="solid">
        <fgColor rgb="FF99CC00"/>
        <bgColor rgb="FF70A43F"/>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18028"/>
      </patternFill>
    </fill>
    <fill>
      <patternFill patternType="solid">
        <fgColor rgb="FF993300"/>
        <bgColor rgb="FF993366"/>
      </patternFill>
    </fill>
    <fill>
      <patternFill patternType="solid">
        <fgColor rgb="FF800000"/>
        <bgColor rgb="FF660066"/>
      </patternFill>
    </fill>
    <fill>
      <patternFill patternType="solid">
        <fgColor rgb="FF808000"/>
        <bgColor rgb="FF70A43F"/>
      </patternFill>
    </fill>
    <fill>
      <patternFill patternType="solid">
        <fgColor rgb="FF363608"/>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ECC"/>
        <bgColor rgb="FF3E556F"/>
      </patternFill>
    </fill>
    <fill>
      <patternFill patternType="darkGray">
        <fgColor rgb="FF487EE6"/>
        <bgColor rgb="FF3366FF"/>
      </patternFill>
    </fill>
    <fill>
      <patternFill patternType="solid">
        <fgColor rgb="FF003366"/>
        <bgColor rgb="FF003300"/>
      </patternFill>
    </fill>
    <fill>
      <patternFill patternType="solid">
        <fgColor rgb="FF0000B3"/>
        <bgColor rgb="FF0000FF"/>
      </patternFill>
    </fill>
    <fill>
      <patternFill patternType="solid">
        <fgColor rgb="FF00CCFF"/>
        <bgColor rgb="FF33CCCC"/>
      </patternFill>
    </fill>
    <fill>
      <patternFill patternType="solid">
        <fgColor rgb="FFC5CAC3"/>
        <bgColor rgb="FFB4C7E7"/>
      </patternFill>
    </fill>
    <fill>
      <patternFill patternType="solid">
        <fgColor rgb="FF00FFFF"/>
        <bgColor rgb="FF00CCFF"/>
      </patternFill>
    </fill>
    <fill>
      <patternFill patternType="solid">
        <fgColor rgb="FFE6F0EA"/>
        <bgColor rgb="FFE2F0D9"/>
      </patternFill>
    </fill>
    <fill>
      <patternFill patternType="solid">
        <fgColor rgb="FF70A43F"/>
        <bgColor rgb="FF808000"/>
      </patternFill>
    </fill>
    <fill>
      <patternFill patternType="solid">
        <fgColor rgb="FFFF99CC"/>
        <bgColor rgb="FFFF8080"/>
      </patternFill>
    </fill>
    <fill>
      <patternFill patternType="darkGray">
        <fgColor rgb="FF353ECC"/>
        <bgColor rgb="FF3366FF"/>
      </patternFill>
    </fill>
    <fill>
      <patternFill patternType="solid">
        <fgColor rgb="FF66CCFF"/>
        <bgColor rgb="FF99CCFF"/>
      </patternFill>
    </fill>
    <fill>
      <patternFill patternType="darkGray">
        <fgColor rgb="FF0000B3"/>
        <bgColor rgb="FF0000FF"/>
      </patternFill>
    </fill>
    <fill>
      <patternFill patternType="solid">
        <fgColor rgb="FF003300"/>
        <bgColor rgb="FF363608"/>
      </patternFill>
    </fill>
    <fill>
      <patternFill patternType="solid">
        <fgColor rgb="FF33CCCC"/>
        <bgColor rgb="FF66CCFF"/>
      </patternFill>
    </fill>
    <fill>
      <patternFill patternType="solid">
        <fgColor rgb="FF3366FF"/>
        <bgColor rgb="FF487EE6"/>
      </patternFill>
    </fill>
    <fill>
      <patternFill patternType="solid">
        <fgColor rgb="FFD9D9D9"/>
        <bgColor rgb="FFD6D8D7"/>
      </patternFill>
    </fill>
    <fill>
      <patternFill patternType="solid">
        <fgColor rgb="FFFFFF97"/>
        <bgColor rgb="FFFFFFCC"/>
      </patternFill>
    </fill>
    <fill>
      <patternFill patternType="solid">
        <fgColor rgb="FFBDD7EE"/>
        <bgColor rgb="FFCCCCFF"/>
      </patternFill>
    </fill>
    <fill>
      <patternFill patternType="solid">
        <fgColor rgb="FFD6D8D7"/>
        <bgColor rgb="FFD9D9D9"/>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
      <patternFill patternType="solid">
        <fgColor theme="0"/>
        <bgColor indexed="64"/>
      </patternFill>
    </fill>
    <fill>
      <patternFill patternType="solid">
        <fgColor rgb="FF92D050"/>
        <bgColor rgb="FF363608"/>
      </patternFill>
    </fill>
  </fills>
  <borders count="64">
    <border>
      <left/>
      <right/>
      <top/>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thin">
        <color auto="1"/>
      </right>
      <top/>
      <bottom style="thin">
        <color auto="1"/>
      </bottom>
      <diagonal/>
    </border>
    <border>
      <left style="medium">
        <color auto="1"/>
      </left>
      <right/>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double">
        <color auto="1"/>
      </left>
      <right/>
      <top style="double">
        <color auto="1"/>
      </top>
      <bottom/>
      <diagonal/>
    </border>
    <border>
      <left/>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
      <left style="double">
        <color auto="1"/>
      </left>
      <right/>
      <top/>
      <bottom/>
      <diagonal/>
    </border>
    <border>
      <left style="thin">
        <color auto="1"/>
      </left>
      <right style="double">
        <color auto="1"/>
      </right>
      <top/>
      <bottom/>
      <diagonal/>
    </border>
    <border>
      <left style="medium">
        <color auto="1"/>
      </left>
      <right style="thin">
        <color auto="1"/>
      </right>
      <top/>
      <bottom style="thin">
        <color auto="1"/>
      </bottom>
      <diagonal/>
    </border>
    <border>
      <left style="double">
        <color auto="1"/>
      </left>
      <right/>
      <top/>
      <bottom style="thin">
        <color auto="1"/>
      </bottom>
      <diagonal/>
    </border>
    <border>
      <left style="thin">
        <color auto="1"/>
      </left>
      <right/>
      <top/>
      <bottom style="thin">
        <color auto="1"/>
      </bottom>
      <diagonal/>
    </border>
    <border>
      <left style="thin">
        <color auto="1"/>
      </left>
      <right style="double">
        <color auto="1"/>
      </right>
      <top/>
      <bottom style="thin">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top/>
      <bottom style="thin">
        <color rgb="FFFFFFFF"/>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style="thin">
        <color auto="1"/>
      </top>
      <bottom/>
      <diagonal/>
    </border>
  </borders>
  <cellStyleXfs count="33">
    <xf numFmtId="0" fontId="0" fillId="0" borderId="0"/>
    <xf numFmtId="178" fontId="102" fillId="0" borderId="0" applyBorder="0" applyProtection="0"/>
    <xf numFmtId="9" fontId="102" fillId="0" borderId="0" applyBorder="0" applyProtection="0"/>
    <xf numFmtId="0" fontId="48" fillId="0" borderId="0" applyBorder="0" applyProtection="0"/>
    <xf numFmtId="0" fontId="1" fillId="0" borderId="0" applyBorder="0" applyProtection="0"/>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2" fillId="0" borderId="0">
      <protection locked="0"/>
    </xf>
    <xf numFmtId="0" fontId="3" fillId="0" borderId="0">
      <protection locked="0"/>
    </xf>
    <xf numFmtId="0" fontId="4" fillId="0" borderId="0">
      <protection locked="0"/>
    </xf>
    <xf numFmtId="0" fontId="5" fillId="0" borderId="0">
      <protection locked="0"/>
    </xf>
    <xf numFmtId="164" fontId="6" fillId="0" borderId="0" applyBorder="0" applyProtection="0"/>
    <xf numFmtId="165" fontId="102" fillId="0" borderId="0" applyBorder="0" applyProtection="0"/>
    <xf numFmtId="166" fontId="6" fillId="0" borderId="0" applyBorder="0" applyProtection="0"/>
    <xf numFmtId="0" fontId="1" fillId="0" borderId="0"/>
    <xf numFmtId="0" fontId="7" fillId="0" borderId="0"/>
    <xf numFmtId="0" fontId="8" fillId="0" borderId="0"/>
    <xf numFmtId="0" fontId="1" fillId="0" borderId="0" applyBorder="0" applyProtection="0"/>
    <xf numFmtId="0" fontId="8" fillId="0" borderId="0"/>
    <xf numFmtId="0" fontId="1" fillId="0" borderId="0"/>
    <xf numFmtId="0" fontId="9" fillId="0" borderId="0"/>
    <xf numFmtId="0" fontId="10" fillId="0" borderId="0"/>
    <xf numFmtId="0" fontId="11" fillId="0" borderId="0"/>
    <xf numFmtId="9" fontId="6" fillId="0" borderId="0" applyBorder="0" applyProtection="0"/>
    <xf numFmtId="0" fontId="63" fillId="0" borderId="0" applyBorder="0" applyProtection="0"/>
  </cellStyleXfs>
  <cellXfs count="853">
    <xf numFmtId="0" fontId="0" fillId="0" borderId="0" xfId="0"/>
    <xf numFmtId="0" fontId="1" fillId="0" borderId="0" xfId="22"/>
    <xf numFmtId="167" fontId="12" fillId="2" borderId="0" xfId="22" applyNumberFormat="1" applyFont="1" applyFill="1" applyAlignment="1">
      <alignment horizontal="left"/>
    </xf>
    <xf numFmtId="0" fontId="11" fillId="2" borderId="0" xfId="30" applyFill="1"/>
    <xf numFmtId="0" fontId="11" fillId="2" borderId="0" xfId="30" applyFill="1" applyBorder="1"/>
    <xf numFmtId="0" fontId="11" fillId="2" borderId="0" xfId="22" applyFont="1" applyFill="1"/>
    <xf numFmtId="0" fontId="11" fillId="2" borderId="0" xfId="30" applyFont="1" applyFill="1" applyBorder="1"/>
    <xf numFmtId="0" fontId="1" fillId="3" borderId="0" xfId="22" applyFill="1"/>
    <xf numFmtId="167" fontId="12" fillId="4" borderId="0" xfId="22" applyNumberFormat="1" applyFont="1" applyFill="1" applyAlignment="1">
      <alignment horizontal="left"/>
    </xf>
    <xf numFmtId="0" fontId="11" fillId="4" borderId="0" xfId="30" applyFill="1"/>
    <xf numFmtId="0" fontId="11" fillId="4" borderId="0" xfId="30" applyFill="1" applyBorder="1"/>
    <xf numFmtId="0" fontId="11" fillId="4" borderId="0" xfId="30" applyFont="1" applyFill="1" applyBorder="1"/>
    <xf numFmtId="0" fontId="13" fillId="5" borderId="0" xfId="22" applyFont="1" applyFill="1"/>
    <xf numFmtId="0" fontId="1" fillId="0" borderId="1" xfId="22" applyBorder="1"/>
    <xf numFmtId="0" fontId="1" fillId="6" borderId="2" xfId="22" applyFill="1" applyBorder="1"/>
    <xf numFmtId="0" fontId="1" fillId="6" borderId="3" xfId="22" applyFill="1" applyBorder="1"/>
    <xf numFmtId="0" fontId="1" fillId="6" borderId="4" xfId="22" applyFill="1" applyBorder="1"/>
    <xf numFmtId="0" fontId="1" fillId="7" borderId="0" xfId="22" applyFill="1"/>
    <xf numFmtId="0" fontId="14" fillId="7" borderId="0" xfId="22" applyFont="1" applyFill="1"/>
    <xf numFmtId="0" fontId="15" fillId="8" borderId="5" xfId="22" applyFont="1" applyFill="1" applyBorder="1" applyAlignment="1">
      <alignment horizontal="center" vertical="center" wrapText="1"/>
    </xf>
    <xf numFmtId="0" fontId="15" fillId="8" borderId="5" xfId="22" applyFont="1" applyFill="1" applyBorder="1" applyAlignment="1">
      <alignment horizontal="left" vertical="top" wrapText="1"/>
    </xf>
    <xf numFmtId="0" fontId="15" fillId="8" borderId="5" xfId="22" applyFont="1" applyFill="1" applyBorder="1" applyAlignment="1">
      <alignment horizontal="left"/>
    </xf>
    <xf numFmtId="0" fontId="12" fillId="3" borderId="0" xfId="30" applyFont="1" applyFill="1" applyBorder="1"/>
    <xf numFmtId="0" fontId="11" fillId="3" borderId="0" xfId="30" applyFill="1" applyBorder="1"/>
    <xf numFmtId="0" fontId="12" fillId="5" borderId="0" xfId="22" applyFont="1" applyFill="1"/>
    <xf numFmtId="0" fontId="14" fillId="6" borderId="6" xfId="22" applyFont="1" applyFill="1" applyBorder="1"/>
    <xf numFmtId="0" fontId="1" fillId="6" borderId="0" xfId="22" applyFill="1" applyBorder="1"/>
    <xf numFmtId="0" fontId="1" fillId="6" borderId="1" xfId="22" applyFill="1" applyBorder="1"/>
    <xf numFmtId="3" fontId="1" fillId="0" borderId="0" xfId="22" applyNumberFormat="1"/>
    <xf numFmtId="3" fontId="16" fillId="0" borderId="0" xfId="22" applyNumberFormat="1" applyFont="1" applyAlignment="1">
      <alignment vertical="center"/>
    </xf>
    <xf numFmtId="0" fontId="17" fillId="0" borderId="0" xfId="22" applyFont="1" applyBorder="1" applyAlignment="1" applyProtection="1">
      <alignment horizontal="center"/>
    </xf>
    <xf numFmtId="0" fontId="18" fillId="0" borderId="0" xfId="22" applyFont="1" applyAlignment="1">
      <alignment horizontal="center"/>
    </xf>
    <xf numFmtId="1" fontId="13" fillId="0" borderId="0" xfId="22" applyNumberFormat="1" applyFont="1"/>
    <xf numFmtId="1" fontId="1" fillId="0" borderId="0" xfId="22" applyNumberFormat="1"/>
    <xf numFmtId="10" fontId="13" fillId="0" borderId="0" xfId="31" applyNumberFormat="1" applyFont="1" applyBorder="1" applyAlignment="1" applyProtection="1"/>
    <xf numFmtId="0" fontId="11" fillId="2" borderId="0" xfId="30" applyFont="1" applyFill="1"/>
    <xf numFmtId="0" fontId="12" fillId="2" borderId="0" xfId="30" applyFont="1" applyFill="1" applyBorder="1" applyAlignment="1">
      <alignment horizontal="center"/>
    </xf>
    <xf numFmtId="0" fontId="12" fillId="3" borderId="0" xfId="30" applyFont="1" applyFill="1" applyBorder="1" applyAlignment="1">
      <alignment horizontal="center"/>
    </xf>
    <xf numFmtId="0" fontId="11" fillId="4" borderId="0" xfId="30" applyFont="1" applyFill="1"/>
    <xf numFmtId="0" fontId="12" fillId="4" borderId="0" xfId="30" applyFont="1" applyFill="1" applyBorder="1" applyAlignment="1">
      <alignment horizontal="center"/>
    </xf>
    <xf numFmtId="0" fontId="12" fillId="5" borderId="0" xfId="22" applyFont="1" applyFill="1" applyAlignment="1">
      <alignment horizontal="center"/>
    </xf>
    <xf numFmtId="0" fontId="1" fillId="0" borderId="7" xfId="22" applyBorder="1"/>
    <xf numFmtId="0" fontId="19" fillId="9" borderId="8" xfId="30" applyFont="1" applyFill="1" applyBorder="1" applyAlignment="1">
      <alignment horizontal="center" vertical="center"/>
    </xf>
    <xf numFmtId="0" fontId="19" fillId="9" borderId="9" xfId="30" applyFont="1" applyFill="1" applyBorder="1" applyAlignment="1">
      <alignment horizontal="center" vertical="center"/>
    </xf>
    <xf numFmtId="0" fontId="19" fillId="9" borderId="10" xfId="30" applyFont="1" applyFill="1" applyBorder="1" applyAlignment="1">
      <alignment horizontal="center" vertical="center"/>
    </xf>
    <xf numFmtId="0" fontId="17" fillId="0" borderId="0" xfId="22" applyFont="1"/>
    <xf numFmtId="0" fontId="1" fillId="0" borderId="0" xfId="22" applyFont="1"/>
    <xf numFmtId="167" fontId="1" fillId="2" borderId="0" xfId="22" applyNumberFormat="1" applyFont="1" applyFill="1" applyAlignment="1">
      <alignment horizontal="left"/>
    </xf>
    <xf numFmtId="0" fontId="20" fillId="2" borderId="0" xfId="30" applyFont="1" applyFill="1" applyBorder="1" applyAlignment="1">
      <alignment horizontal="right"/>
    </xf>
    <xf numFmtId="0" fontId="20" fillId="3" borderId="0" xfId="30" applyFont="1" applyFill="1" applyBorder="1" applyAlignment="1">
      <alignment horizontal="right"/>
    </xf>
    <xf numFmtId="167" fontId="1" fillId="4" borderId="0" xfId="22" applyNumberFormat="1" applyFont="1" applyFill="1" applyAlignment="1">
      <alignment horizontal="left"/>
    </xf>
    <xf numFmtId="0" fontId="20" fillId="4" borderId="0" xfId="30" applyFont="1" applyFill="1" applyBorder="1" applyAlignment="1">
      <alignment horizontal="right"/>
    </xf>
    <xf numFmtId="0" fontId="20" fillId="5" borderId="0" xfId="22" applyFont="1" applyFill="1" applyAlignment="1">
      <alignment horizontal="right"/>
    </xf>
    <xf numFmtId="0" fontId="15" fillId="10" borderId="6" xfId="30" applyFont="1" applyFill="1" applyBorder="1" applyAlignment="1">
      <alignment horizontal="left"/>
    </xf>
    <xf numFmtId="168" fontId="13" fillId="0" borderId="0" xfId="19" applyNumberFormat="1" applyFont="1" applyBorder="1" applyAlignment="1" applyProtection="1"/>
    <xf numFmtId="168" fontId="13" fillId="0" borderId="1" xfId="19" applyNumberFormat="1" applyFont="1" applyBorder="1" applyAlignment="1" applyProtection="1"/>
    <xf numFmtId="0" fontId="21" fillId="0" borderId="0" xfId="22" applyFont="1"/>
    <xf numFmtId="0" fontId="17" fillId="0" borderId="0" xfId="22" applyFont="1" applyAlignment="1" applyProtection="1">
      <alignment horizontal="center"/>
    </xf>
    <xf numFmtId="0" fontId="22" fillId="2" borderId="0" xfId="30" applyFont="1" applyFill="1"/>
    <xf numFmtId="0" fontId="22" fillId="2" borderId="0" xfId="22" applyFont="1" applyFill="1"/>
    <xf numFmtId="0" fontId="22" fillId="3" borderId="0" xfId="30" applyFont="1" applyFill="1"/>
    <xf numFmtId="0" fontId="22" fillId="4" borderId="0" xfId="30" applyFont="1" applyFill="1"/>
    <xf numFmtId="0" fontId="22" fillId="5" borderId="0" xfId="22" applyFont="1" applyFill="1"/>
    <xf numFmtId="0" fontId="1" fillId="0" borderId="0" xfId="22" applyBorder="1"/>
    <xf numFmtId="0" fontId="1" fillId="0" borderId="11" xfId="22" applyBorder="1"/>
    <xf numFmtId="0" fontId="23" fillId="7" borderId="12" xfId="22" applyFont="1" applyFill="1" applyBorder="1"/>
    <xf numFmtId="0" fontId="23" fillId="7" borderId="13" xfId="22" applyFont="1" applyFill="1" applyBorder="1"/>
    <xf numFmtId="0" fontId="23" fillId="7" borderId="13" xfId="22" applyFont="1" applyFill="1" applyBorder="1" applyAlignment="1" applyProtection="1">
      <alignment horizontal="center"/>
    </xf>
    <xf numFmtId="169" fontId="23" fillId="7" borderId="15" xfId="22" applyNumberFormat="1" applyFont="1" applyFill="1" applyBorder="1"/>
    <xf numFmtId="169" fontId="23" fillId="7" borderId="0" xfId="22" applyNumberFormat="1" applyFont="1" applyFill="1" applyBorder="1"/>
    <xf numFmtId="0" fontId="24" fillId="0" borderId="0" xfId="22" applyFont="1" applyProtection="1">
      <protection locked="0"/>
    </xf>
    <xf numFmtId="0" fontId="25" fillId="0" borderId="0" xfId="22" applyFont="1" applyProtection="1">
      <protection locked="0"/>
    </xf>
    <xf numFmtId="0" fontId="12" fillId="7" borderId="12" xfId="30" applyFont="1" applyFill="1" applyBorder="1"/>
    <xf numFmtId="0" fontId="1" fillId="7" borderId="13" xfId="22" applyFill="1" applyBorder="1"/>
    <xf numFmtId="170" fontId="15" fillId="7" borderId="16" xfId="30" applyNumberFormat="1" applyFont="1" applyFill="1" applyBorder="1" applyAlignment="1" applyProtection="1">
      <alignment horizontal="center"/>
    </xf>
    <xf numFmtId="0" fontId="13" fillId="7" borderId="13" xfId="22" applyFont="1" applyFill="1" applyBorder="1"/>
    <xf numFmtId="170" fontId="15" fillId="7" borderId="17" xfId="30" applyNumberFormat="1" applyFont="1" applyFill="1" applyBorder="1" applyAlignment="1" applyProtection="1">
      <alignment horizontal="center"/>
    </xf>
    <xf numFmtId="170" fontId="15" fillId="7" borderId="18" xfId="30" applyNumberFormat="1" applyFont="1" applyFill="1" applyBorder="1" applyAlignment="1" applyProtection="1">
      <alignment horizontal="center"/>
    </xf>
    <xf numFmtId="170" fontId="15" fillId="7" borderId="13" xfId="30" applyNumberFormat="1" applyFont="1" applyFill="1" applyBorder="1" applyAlignment="1" applyProtection="1">
      <alignment horizontal="center"/>
    </xf>
    <xf numFmtId="170" fontId="15" fillId="7" borderId="17" xfId="22" applyNumberFormat="1" applyFont="1" applyFill="1" applyBorder="1" applyAlignment="1">
      <alignment horizontal="center"/>
    </xf>
    <xf numFmtId="170" fontId="15" fillId="7" borderId="18" xfId="22" applyNumberFormat="1" applyFont="1" applyFill="1" applyBorder="1" applyAlignment="1">
      <alignment horizontal="center"/>
    </xf>
    <xf numFmtId="0" fontId="14" fillId="0" borderId="19" xfId="22" applyFont="1" applyBorder="1"/>
    <xf numFmtId="168" fontId="14" fillId="0" borderId="19" xfId="19" applyNumberFormat="1" applyFont="1" applyBorder="1" applyAlignment="1" applyProtection="1"/>
    <xf numFmtId="168" fontId="14" fillId="0" borderId="0" xfId="19" applyNumberFormat="1" applyFont="1" applyBorder="1" applyAlignment="1" applyProtection="1"/>
    <xf numFmtId="0" fontId="23" fillId="7" borderId="6" xfId="22" applyFont="1" applyFill="1" applyBorder="1" applyAlignment="1" applyProtection="1">
      <alignment horizontal="center"/>
    </xf>
    <xf numFmtId="0" fontId="23" fillId="7" borderId="0" xfId="22" applyFont="1" applyFill="1" applyBorder="1" applyAlignment="1" applyProtection="1">
      <alignment horizontal="center"/>
    </xf>
    <xf numFmtId="169" fontId="23" fillId="7" borderId="1" xfId="22" applyNumberFormat="1" applyFont="1" applyFill="1" applyBorder="1" applyAlignment="1" applyProtection="1">
      <alignment horizontal="center"/>
    </xf>
    <xf numFmtId="169" fontId="23" fillId="7" borderId="0" xfId="22" applyNumberFormat="1" applyFont="1" applyFill="1" applyBorder="1" applyAlignment="1" applyProtection="1">
      <alignment horizontal="center"/>
    </xf>
    <xf numFmtId="0" fontId="26" fillId="0" borderId="0" xfId="22" applyFont="1" applyProtection="1">
      <protection locked="0"/>
    </xf>
    <xf numFmtId="170" fontId="19" fillId="9" borderId="21" xfId="30" applyNumberFormat="1" applyFont="1" applyFill="1" applyBorder="1" applyAlignment="1" applyProtection="1">
      <alignment horizontal="center" vertical="center"/>
    </xf>
    <xf numFmtId="0" fontId="19" fillId="9" borderId="22" xfId="22" applyFont="1" applyFill="1" applyBorder="1" applyAlignment="1">
      <alignment horizontal="center" vertical="center"/>
    </xf>
    <xf numFmtId="170" fontId="19" fillId="9" borderId="23" xfId="30" applyNumberFormat="1" applyFont="1" applyFill="1" applyBorder="1" applyAlignment="1" applyProtection="1">
      <alignment horizontal="center" vertical="center"/>
    </xf>
    <xf numFmtId="170" fontId="19" fillId="9" borderId="24" xfId="30" applyNumberFormat="1" applyFont="1" applyFill="1" applyBorder="1" applyAlignment="1" applyProtection="1">
      <alignment horizontal="center" vertical="center"/>
    </xf>
    <xf numFmtId="170" fontId="19" fillId="9" borderId="0" xfId="30" applyNumberFormat="1" applyFont="1" applyFill="1" applyBorder="1" applyAlignment="1" applyProtection="1">
      <alignment horizontal="center" vertical="center"/>
    </xf>
    <xf numFmtId="170" fontId="19" fillId="9" borderId="23" xfId="22" applyNumberFormat="1" applyFont="1" applyFill="1" applyBorder="1" applyAlignment="1">
      <alignment horizontal="center" vertical="center"/>
    </xf>
    <xf numFmtId="170" fontId="19" fillId="9" borderId="24" xfId="22" applyNumberFormat="1" applyFont="1" applyFill="1" applyBorder="1" applyAlignment="1">
      <alignment horizontal="center" vertical="center"/>
    </xf>
    <xf numFmtId="3" fontId="1" fillId="7" borderId="0" xfId="22" applyNumberFormat="1" applyFill="1"/>
    <xf numFmtId="0" fontId="14" fillId="0" borderId="24" xfId="22" applyFont="1" applyBorder="1"/>
    <xf numFmtId="168" fontId="14" fillId="0" borderId="24" xfId="19" applyNumberFormat="1" applyFont="1" applyBorder="1" applyAlignment="1" applyProtection="1"/>
    <xf numFmtId="0" fontId="23" fillId="7" borderId="6" xfId="22" applyFont="1" applyFill="1" applyBorder="1"/>
    <xf numFmtId="0" fontId="23" fillId="7" borderId="0" xfId="22" applyFont="1" applyFill="1" applyBorder="1"/>
    <xf numFmtId="169" fontId="23" fillId="7" borderId="1" xfId="22" applyNumberFormat="1" applyFont="1" applyFill="1" applyBorder="1"/>
    <xf numFmtId="0" fontId="27" fillId="0" borderId="0" xfId="22" applyFont="1" applyProtection="1">
      <protection locked="0"/>
    </xf>
    <xf numFmtId="0" fontId="15" fillId="7" borderId="25" xfId="30" applyFont="1" applyFill="1" applyBorder="1" applyAlignment="1">
      <alignment horizontal="center"/>
    </xf>
    <xf numFmtId="0" fontId="1" fillId="7" borderId="26" xfId="22" applyFill="1" applyBorder="1"/>
    <xf numFmtId="0" fontId="1" fillId="7" borderId="27" xfId="22" applyFill="1" applyBorder="1"/>
    <xf numFmtId="170" fontId="15" fillId="7" borderId="5" xfId="30" applyNumberFormat="1" applyFont="1" applyFill="1" applyBorder="1" applyAlignment="1" applyProtection="1">
      <alignment horizontal="center"/>
    </xf>
    <xf numFmtId="0" fontId="13" fillId="7" borderId="22" xfId="22" applyFont="1" applyFill="1" applyBorder="1"/>
    <xf numFmtId="170" fontId="15" fillId="7" borderId="28" xfId="30" applyNumberFormat="1" applyFont="1" applyFill="1" applyBorder="1" applyAlignment="1" applyProtection="1">
      <alignment horizontal="center"/>
    </xf>
    <xf numFmtId="170" fontId="15" fillId="7" borderId="29" xfId="30" applyNumberFormat="1" applyFont="1" applyFill="1" applyBorder="1" applyAlignment="1" applyProtection="1">
      <alignment horizontal="center"/>
    </xf>
    <xf numFmtId="170" fontId="15" fillId="7" borderId="25" xfId="30" applyNumberFormat="1" applyFont="1" applyFill="1" applyBorder="1" applyAlignment="1" applyProtection="1">
      <alignment horizontal="center"/>
    </xf>
    <xf numFmtId="170" fontId="15" fillId="7" borderId="29" xfId="22" applyNumberFormat="1" applyFont="1" applyFill="1" applyBorder="1" applyAlignment="1">
      <alignment horizontal="center"/>
    </xf>
    <xf numFmtId="170" fontId="15" fillId="7" borderId="30" xfId="22" applyNumberFormat="1" applyFont="1" applyFill="1" applyBorder="1" applyAlignment="1">
      <alignment horizontal="center"/>
    </xf>
    <xf numFmtId="0" fontId="1" fillId="0" borderId="31" xfId="22" applyBorder="1"/>
    <xf numFmtId="0" fontId="14" fillId="0" borderId="31" xfId="22" applyFont="1" applyBorder="1"/>
    <xf numFmtId="0" fontId="23" fillId="5" borderId="6" xfId="22" applyFont="1" applyFill="1" applyBorder="1" applyAlignment="1" applyProtection="1">
      <alignment horizontal="left"/>
    </xf>
    <xf numFmtId="0" fontId="28" fillId="5" borderId="0" xfId="22" applyFont="1" applyFill="1" applyBorder="1" applyAlignment="1" applyProtection="1">
      <alignment horizontal="left"/>
    </xf>
    <xf numFmtId="168" fontId="28" fillId="5" borderId="0" xfId="19" applyNumberFormat="1" applyFont="1" applyFill="1" applyBorder="1" applyAlignment="1" applyProtection="1"/>
    <xf numFmtId="10" fontId="28" fillId="5" borderId="1" xfId="31" applyNumberFormat="1" applyFont="1" applyFill="1" applyBorder="1" applyAlignment="1" applyProtection="1"/>
    <xf numFmtId="10" fontId="28" fillId="5" borderId="0" xfId="31" applyNumberFormat="1" applyFont="1" applyFill="1" applyBorder="1" applyAlignment="1" applyProtection="1"/>
    <xf numFmtId="0" fontId="29" fillId="0" borderId="0" xfId="22" applyFont="1" applyProtection="1">
      <protection locked="0"/>
    </xf>
    <xf numFmtId="0" fontId="15" fillId="10" borderId="0" xfId="30" applyFont="1" applyFill="1" applyBorder="1" applyAlignment="1">
      <alignment horizontal="left"/>
    </xf>
    <xf numFmtId="0" fontId="18" fillId="10" borderId="0" xfId="30" applyFont="1" applyFill="1" applyBorder="1" applyAlignment="1">
      <alignment horizontal="left"/>
    </xf>
    <xf numFmtId="0" fontId="0" fillId="10" borderId="0" xfId="30" applyFont="1" applyFill="1" applyBorder="1" applyAlignment="1">
      <alignment horizontal="left"/>
    </xf>
    <xf numFmtId="171" fontId="15" fillId="10" borderId="21" xfId="30" applyNumberFormat="1" applyFont="1" applyFill="1" applyBorder="1" applyProtection="1"/>
    <xf numFmtId="171" fontId="15" fillId="11" borderId="32" xfId="30" applyNumberFormat="1" applyFont="1" applyFill="1" applyBorder="1" applyProtection="1"/>
    <xf numFmtId="170" fontId="15" fillId="11" borderId="21" xfId="30" applyNumberFormat="1" applyFont="1" applyFill="1" applyBorder="1" applyProtection="1"/>
    <xf numFmtId="3" fontId="15" fillId="7" borderId="23" xfId="30" applyNumberFormat="1" applyFont="1" applyFill="1" applyBorder="1" applyProtection="1"/>
    <xf numFmtId="172" fontId="15" fillId="11" borderId="21" xfId="30" applyNumberFormat="1" applyFont="1" applyFill="1" applyBorder="1" applyAlignment="1" applyProtection="1">
      <alignment horizontal="center"/>
    </xf>
    <xf numFmtId="172" fontId="15" fillId="7" borderId="33" xfId="30" applyNumberFormat="1" applyFont="1" applyFill="1" applyBorder="1" applyAlignment="1" applyProtection="1">
      <alignment horizontal="center"/>
    </xf>
    <xf numFmtId="1" fontId="15" fillId="7" borderId="21" xfId="30" applyNumberFormat="1" applyFont="1" applyFill="1" applyBorder="1" applyAlignment="1" applyProtection="1">
      <alignment horizontal="center"/>
    </xf>
    <xf numFmtId="168" fontId="15" fillId="10" borderId="0" xfId="30" applyNumberFormat="1" applyFont="1" applyFill="1" applyBorder="1" applyProtection="1"/>
    <xf numFmtId="168" fontId="15" fillId="10" borderId="21" xfId="30" applyNumberFormat="1" applyFont="1" applyFill="1" applyBorder="1" applyProtection="1"/>
    <xf numFmtId="168" fontId="15" fillId="11" borderId="32" xfId="19" applyNumberFormat="1" applyFont="1" applyFill="1" applyBorder="1" applyAlignment="1" applyProtection="1">
      <alignment horizontal="center"/>
    </xf>
    <xf numFmtId="168" fontId="15" fillId="11" borderId="34" xfId="19" applyNumberFormat="1" applyFont="1" applyFill="1" applyBorder="1" applyAlignment="1" applyProtection="1">
      <alignment horizontal="center"/>
    </xf>
    <xf numFmtId="168" fontId="15" fillId="7" borderId="23" xfId="19" applyNumberFormat="1" applyFont="1" applyFill="1" applyBorder="1" applyAlignment="1" applyProtection="1">
      <alignment horizontal="center"/>
    </xf>
    <xf numFmtId="172" fontId="15" fillId="11" borderId="21" xfId="22" applyNumberFormat="1" applyFont="1" applyFill="1" applyBorder="1" applyAlignment="1">
      <alignment horizontal="center"/>
    </xf>
    <xf numFmtId="172" fontId="15" fillId="11" borderId="22" xfId="22" applyNumberFormat="1" applyFont="1" applyFill="1" applyBorder="1" applyAlignment="1">
      <alignment horizontal="center"/>
    </xf>
    <xf numFmtId="172" fontId="15" fillId="7" borderId="21" xfId="22" applyNumberFormat="1" applyFont="1" applyFill="1" applyBorder="1" applyAlignment="1">
      <alignment horizontal="center"/>
    </xf>
    <xf numFmtId="0" fontId="1" fillId="7" borderId="12" xfId="22" applyFill="1" applyBorder="1"/>
    <xf numFmtId="0" fontId="14" fillId="7" borderId="13" xfId="22" applyFont="1" applyFill="1" applyBorder="1"/>
    <xf numFmtId="0" fontId="1" fillId="7" borderId="15" xfId="22" applyFill="1" applyBorder="1"/>
    <xf numFmtId="0" fontId="14" fillId="7" borderId="12" xfId="22" applyFont="1" applyFill="1" applyBorder="1"/>
    <xf numFmtId="0" fontId="14" fillId="7" borderId="18" xfId="22" applyFont="1" applyFill="1" applyBorder="1"/>
    <xf numFmtId="0" fontId="14" fillId="7" borderId="0" xfId="22" applyFont="1" applyFill="1" applyBorder="1"/>
    <xf numFmtId="168" fontId="14" fillId="7" borderId="18" xfId="19" applyNumberFormat="1" applyFont="1" applyFill="1" applyBorder="1" applyAlignment="1" applyProtection="1"/>
    <xf numFmtId="168" fontId="14" fillId="7" borderId="0" xfId="19" applyNumberFormat="1" applyFont="1" applyFill="1" applyBorder="1" applyAlignment="1" applyProtection="1"/>
    <xf numFmtId="0" fontId="23" fillId="7" borderId="6" xfId="22" applyFont="1" applyFill="1" applyBorder="1" applyAlignment="1" applyProtection="1">
      <alignment horizontal="left"/>
    </xf>
    <xf numFmtId="0" fontId="28" fillId="7" borderId="0" xfId="22" applyFont="1" applyFill="1" applyBorder="1" applyAlignment="1" applyProtection="1">
      <alignment horizontal="left"/>
    </xf>
    <xf numFmtId="168" fontId="28" fillId="7" borderId="0" xfId="19" applyNumberFormat="1" applyFont="1" applyFill="1" applyBorder="1" applyAlignment="1" applyProtection="1"/>
    <xf numFmtId="10" fontId="28" fillId="7" borderId="1" xfId="31" applyNumberFormat="1" applyFont="1" applyFill="1" applyBorder="1" applyAlignment="1" applyProtection="1"/>
    <xf numFmtId="10" fontId="28" fillId="7" borderId="0" xfId="31" applyNumberFormat="1" applyFont="1" applyFill="1" applyBorder="1" applyAlignment="1" applyProtection="1"/>
    <xf numFmtId="0" fontId="30" fillId="0" borderId="0" xfId="22" applyFont="1" applyProtection="1">
      <protection locked="0"/>
    </xf>
    <xf numFmtId="171" fontId="15" fillId="11" borderId="21" xfId="30" applyNumberFormat="1" applyFont="1" applyFill="1" applyBorder="1" applyProtection="1"/>
    <xf numFmtId="3" fontId="15" fillId="7" borderId="1" xfId="30" applyNumberFormat="1" applyFont="1" applyFill="1" applyBorder="1" applyProtection="1"/>
    <xf numFmtId="172" fontId="15" fillId="7" borderId="34" xfId="30" applyNumberFormat="1" applyFont="1" applyFill="1" applyBorder="1" applyAlignment="1" applyProtection="1">
      <alignment horizontal="center"/>
    </xf>
    <xf numFmtId="172" fontId="15" fillId="7" borderId="32" xfId="22" applyNumberFormat="1" applyFont="1" applyFill="1" applyBorder="1" applyAlignment="1">
      <alignment horizontal="center"/>
    </xf>
    <xf numFmtId="0" fontId="1" fillId="7" borderId="6" xfId="22" applyFill="1" applyBorder="1"/>
    <xf numFmtId="0" fontId="14" fillId="0" borderId="0" xfId="22" applyFont="1" applyBorder="1"/>
    <xf numFmtId="0" fontId="1" fillId="7" borderId="1" xfId="22" applyFill="1" applyBorder="1"/>
    <xf numFmtId="0" fontId="1" fillId="7" borderId="0" xfId="22" applyFont="1" applyFill="1" applyBorder="1"/>
    <xf numFmtId="0" fontId="14" fillId="7" borderId="21" xfId="22" applyFont="1" applyFill="1" applyBorder="1"/>
    <xf numFmtId="0" fontId="1" fillId="7" borderId="21" xfId="22" applyFont="1" applyFill="1" applyBorder="1"/>
    <xf numFmtId="0" fontId="1" fillId="7" borderId="24" xfId="22" applyFill="1" applyBorder="1"/>
    <xf numFmtId="168" fontId="14" fillId="7" borderId="31" xfId="19" applyNumberFormat="1" applyFont="1" applyFill="1" applyBorder="1" applyAlignment="1" applyProtection="1"/>
    <xf numFmtId="0" fontId="17" fillId="0" borderId="35" xfId="22" applyFont="1" applyBorder="1"/>
    <xf numFmtId="0" fontId="17" fillId="0" borderId="36" xfId="22" applyFont="1" applyBorder="1"/>
    <xf numFmtId="0" fontId="17" fillId="0" borderId="37" xfId="22" applyFont="1" applyBorder="1"/>
    <xf numFmtId="0" fontId="17" fillId="0" borderId="38" xfId="22" applyFont="1" applyBorder="1"/>
    <xf numFmtId="0" fontId="17" fillId="0" borderId="39" xfId="22" applyFont="1" applyBorder="1"/>
    <xf numFmtId="0" fontId="17" fillId="0" borderId="0" xfId="22" applyFont="1" applyBorder="1"/>
    <xf numFmtId="164" fontId="29" fillId="0" borderId="0" xfId="19" applyFont="1" applyBorder="1" applyAlignment="1" applyProtection="1">
      <protection locked="0"/>
    </xf>
    <xf numFmtId="173" fontId="1" fillId="0" borderId="0" xfId="22" applyNumberFormat="1" applyFont="1" applyProtection="1">
      <protection locked="0"/>
    </xf>
    <xf numFmtId="168" fontId="15" fillId="11" borderId="21" xfId="19" applyNumberFormat="1" applyFont="1" applyFill="1" applyBorder="1" applyAlignment="1" applyProtection="1">
      <alignment horizontal="center"/>
    </xf>
    <xf numFmtId="168" fontId="15" fillId="11" borderId="33" xfId="19" applyNumberFormat="1" applyFont="1" applyFill="1" applyBorder="1" applyAlignment="1" applyProtection="1">
      <alignment horizontal="center"/>
    </xf>
    <xf numFmtId="0" fontId="17" fillId="0" borderId="40" xfId="22" applyFont="1" applyBorder="1" applyAlignment="1" applyProtection="1"/>
    <xf numFmtId="0" fontId="17" fillId="0" borderId="21" xfId="22" applyFont="1" applyBorder="1" applyAlignment="1" applyProtection="1">
      <alignment horizontal="center"/>
    </xf>
    <xf numFmtId="0" fontId="17" fillId="0" borderId="33" xfId="22" applyFont="1" applyBorder="1" applyAlignment="1" applyProtection="1">
      <alignment horizontal="center"/>
    </xf>
    <xf numFmtId="0" fontId="17" fillId="0" borderId="41" xfId="22" applyFont="1" applyBorder="1" applyAlignment="1" applyProtection="1">
      <alignment horizontal="center"/>
    </xf>
    <xf numFmtId="1" fontId="1" fillId="0" borderId="0" xfId="22" applyNumberFormat="1" applyFont="1" applyProtection="1">
      <protection locked="0"/>
    </xf>
    <xf numFmtId="168" fontId="1" fillId="0" borderId="0" xfId="22" applyNumberFormat="1"/>
    <xf numFmtId="0" fontId="1" fillId="7" borderId="42" xfId="22" applyFont="1" applyFill="1" applyBorder="1"/>
    <xf numFmtId="0" fontId="1" fillId="7" borderId="5" xfId="22" applyFont="1" applyFill="1" applyBorder="1"/>
    <xf numFmtId="0" fontId="1" fillId="7" borderId="30" xfId="22" applyFont="1" applyFill="1" applyBorder="1"/>
    <xf numFmtId="0" fontId="14" fillId="7" borderId="5" xfId="22" applyFont="1" applyFill="1" applyBorder="1"/>
    <xf numFmtId="0" fontId="1" fillId="7" borderId="25" xfId="22" applyFont="1" applyFill="1" applyBorder="1"/>
    <xf numFmtId="0" fontId="1" fillId="7" borderId="29" xfId="22" applyFill="1" applyBorder="1"/>
    <xf numFmtId="0" fontId="17" fillId="0" borderId="40" xfId="22" applyFont="1" applyBorder="1"/>
    <xf numFmtId="0" fontId="17" fillId="0" borderId="33" xfId="22" applyFont="1" applyBorder="1" applyAlignment="1">
      <alignment horizontal="center"/>
    </xf>
    <xf numFmtId="0" fontId="17" fillId="0" borderId="21" xfId="22" applyFont="1" applyBorder="1" applyAlignment="1">
      <alignment horizontal="center"/>
    </xf>
    <xf numFmtId="170" fontId="15" fillId="10" borderId="21" xfId="30" applyNumberFormat="1" applyFont="1" applyFill="1" applyBorder="1" applyProtection="1"/>
    <xf numFmtId="0" fontId="1" fillId="7" borderId="20" xfId="22" applyFill="1" applyBorder="1"/>
    <xf numFmtId="0" fontId="17" fillId="0" borderId="21" xfId="22" applyFont="1" applyBorder="1"/>
    <xf numFmtId="0" fontId="17" fillId="0" borderId="33" xfId="22" applyFont="1" applyBorder="1"/>
    <xf numFmtId="0" fontId="17" fillId="0" borderId="41" xfId="22" applyFont="1" applyBorder="1"/>
    <xf numFmtId="0" fontId="31" fillId="0" borderId="18" xfId="22" applyFont="1" applyBorder="1"/>
    <xf numFmtId="168" fontId="14" fillId="7" borderId="20" xfId="19" applyNumberFormat="1" applyFont="1" applyFill="1" applyBorder="1" applyAlignment="1" applyProtection="1"/>
    <xf numFmtId="168" fontId="14" fillId="7" borderId="21" xfId="19" applyNumberFormat="1" applyFont="1" applyFill="1" applyBorder="1" applyAlignment="1" applyProtection="1"/>
    <xf numFmtId="168" fontId="14" fillId="7" borderId="1" xfId="19" applyNumberFormat="1" applyFont="1" applyFill="1" applyBorder="1" applyAlignment="1" applyProtection="1"/>
    <xf numFmtId="168" fontId="14" fillId="7" borderId="6" xfId="19" applyNumberFormat="1" applyFont="1" applyFill="1" applyBorder="1" applyAlignment="1" applyProtection="1"/>
    <xf numFmtId="168" fontId="14" fillId="7" borderId="24" xfId="19" applyNumberFormat="1" applyFont="1" applyFill="1" applyBorder="1" applyAlignment="1" applyProtection="1"/>
    <xf numFmtId="0" fontId="17" fillId="0" borderId="43" xfId="22" applyFont="1" applyBorder="1"/>
    <xf numFmtId="0" fontId="17" fillId="0" borderId="26" xfId="22" applyFont="1" applyBorder="1"/>
    <xf numFmtId="0" fontId="17" fillId="0" borderId="5" xfId="22" applyFont="1" applyBorder="1"/>
    <xf numFmtId="0" fontId="17" fillId="0" borderId="44" xfId="22" applyFont="1" applyBorder="1"/>
    <xf numFmtId="0" fontId="17" fillId="0" borderId="45" xfId="22" applyFont="1" applyBorder="1"/>
    <xf numFmtId="0" fontId="32" fillId="0" borderId="24" xfId="22" applyFont="1" applyBorder="1"/>
    <xf numFmtId="168" fontId="33" fillId="7" borderId="21" xfId="19" applyNumberFormat="1" applyFont="1" applyFill="1" applyBorder="1" applyAlignment="1" applyProtection="1"/>
    <xf numFmtId="0" fontId="17" fillId="0" borderId="33" xfId="22" applyFont="1" applyBorder="1" applyProtection="1"/>
    <xf numFmtId="174" fontId="17" fillId="0" borderId="21" xfId="22" applyNumberFormat="1" applyFont="1" applyBorder="1" applyProtection="1"/>
    <xf numFmtId="174" fontId="17" fillId="0" borderId="33" xfId="22" applyNumberFormat="1" applyFont="1" applyBorder="1" applyProtection="1"/>
    <xf numFmtId="174" fontId="17" fillId="0" borderId="41" xfId="22" applyNumberFormat="1" applyFont="1" applyBorder="1" applyProtection="1"/>
    <xf numFmtId="174" fontId="17" fillId="0" borderId="0" xfId="22" applyNumberFormat="1" applyFont="1" applyBorder="1" applyProtection="1"/>
    <xf numFmtId="0" fontId="34" fillId="0" borderId="40" xfId="22" applyFont="1" applyBorder="1"/>
    <xf numFmtId="174" fontId="34" fillId="0" borderId="21" xfId="22" applyNumberFormat="1" applyFont="1" applyBorder="1" applyProtection="1"/>
    <xf numFmtId="174" fontId="34" fillId="0" borderId="33" xfId="22" applyNumberFormat="1" applyFont="1" applyBorder="1" applyProtection="1"/>
    <xf numFmtId="174" fontId="34" fillId="0" borderId="41" xfId="22" applyNumberFormat="1" applyFont="1" applyBorder="1" applyProtection="1"/>
    <xf numFmtId="174" fontId="34" fillId="0" borderId="0" xfId="22" applyNumberFormat="1" applyFont="1" applyBorder="1" applyProtection="1"/>
    <xf numFmtId="0" fontId="1" fillId="0" borderId="24" xfId="22" applyBorder="1"/>
    <xf numFmtId="3" fontId="35" fillId="0" borderId="0" xfId="4" applyNumberFormat="1" applyFont="1" applyBorder="1" applyAlignment="1" applyProtection="1"/>
    <xf numFmtId="0" fontId="34" fillId="0" borderId="43" xfId="22" applyFont="1" applyBorder="1"/>
    <xf numFmtId="0" fontId="1" fillId="0" borderId="26" xfId="22" applyBorder="1"/>
    <xf numFmtId="174" fontId="34" fillId="0" borderId="5" xfId="22" applyNumberFormat="1" applyFont="1" applyBorder="1" applyProtection="1"/>
    <xf numFmtId="174" fontId="34" fillId="0" borderId="44" xfId="22" applyNumberFormat="1" applyFont="1" applyBorder="1" applyProtection="1"/>
    <xf numFmtId="174" fontId="34" fillId="0" borderId="45" xfId="22" applyNumberFormat="1" applyFont="1" applyBorder="1" applyProtection="1"/>
    <xf numFmtId="174" fontId="17" fillId="0" borderId="21" xfId="22" applyNumberFormat="1" applyFont="1" applyBorder="1" applyAlignment="1" applyProtection="1">
      <alignment horizontal="right"/>
    </xf>
    <xf numFmtId="174" fontId="17" fillId="0" borderId="33" xfId="22" applyNumberFormat="1" applyFont="1" applyBorder="1" applyAlignment="1" applyProtection="1">
      <alignment horizontal="right"/>
    </xf>
    <xf numFmtId="174" fontId="17" fillId="0" borderId="41" xfId="22" applyNumberFormat="1" applyFont="1" applyBorder="1" applyAlignment="1" applyProtection="1">
      <alignment horizontal="right"/>
    </xf>
    <xf numFmtId="174" fontId="34" fillId="0" borderId="21" xfId="22" applyNumberFormat="1" applyFont="1" applyBorder="1" applyAlignment="1" applyProtection="1">
      <alignment horizontal="right"/>
    </xf>
    <xf numFmtId="174" fontId="34" fillId="0" borderId="33" xfId="22" applyNumberFormat="1" applyFont="1" applyBorder="1" applyAlignment="1" applyProtection="1">
      <alignment horizontal="right"/>
    </xf>
    <xf numFmtId="174" fontId="34" fillId="0" borderId="41" xfId="22" applyNumberFormat="1" applyFont="1" applyBorder="1" applyAlignment="1" applyProtection="1">
      <alignment horizontal="right"/>
    </xf>
    <xf numFmtId="0" fontId="15" fillId="10" borderId="46" xfId="30" applyFont="1" applyFill="1" applyBorder="1" applyAlignment="1">
      <alignment horizontal="left"/>
    </xf>
    <xf numFmtId="168" fontId="13" fillId="0" borderId="11" xfId="19" applyNumberFormat="1" applyFont="1" applyBorder="1" applyAlignment="1" applyProtection="1"/>
    <xf numFmtId="0" fontId="1" fillId="0" borderId="6" xfId="22" applyBorder="1"/>
    <xf numFmtId="174" fontId="34" fillId="0" borderId="5" xfId="22" applyNumberFormat="1" applyFont="1" applyBorder="1" applyAlignment="1" applyProtection="1">
      <alignment horizontal="right"/>
    </xf>
    <xf numFmtId="174" fontId="34" fillId="0" borderId="44" xfId="22" applyNumberFormat="1" applyFont="1" applyBorder="1" applyAlignment="1" applyProtection="1">
      <alignment horizontal="right"/>
    </xf>
    <xf numFmtId="174" fontId="34" fillId="0" borderId="45" xfId="22" applyNumberFormat="1" applyFont="1" applyBorder="1" applyAlignment="1" applyProtection="1">
      <alignment horizontal="right"/>
    </xf>
    <xf numFmtId="0" fontId="1" fillId="6" borderId="6" xfId="22" applyFill="1" applyBorder="1"/>
    <xf numFmtId="168" fontId="14" fillId="7" borderId="47" xfId="19" applyNumberFormat="1" applyFont="1" applyFill="1" applyBorder="1" applyAlignment="1" applyProtection="1"/>
    <xf numFmtId="168" fontId="14" fillId="7" borderId="48" xfId="19" applyNumberFormat="1" applyFont="1" applyFill="1" applyBorder="1" applyAlignment="1" applyProtection="1"/>
    <xf numFmtId="168" fontId="14" fillId="7" borderId="49" xfId="19" applyNumberFormat="1" applyFont="1" applyFill="1" applyBorder="1" applyAlignment="1" applyProtection="1"/>
    <xf numFmtId="168" fontId="14" fillId="7" borderId="11" xfId="19" applyNumberFormat="1" applyFont="1" applyFill="1" applyBorder="1" applyAlignment="1" applyProtection="1"/>
    <xf numFmtId="168" fontId="14" fillId="7" borderId="46" xfId="19" applyNumberFormat="1" applyFont="1" applyFill="1" applyBorder="1" applyAlignment="1" applyProtection="1"/>
    <xf numFmtId="0" fontId="15" fillId="10" borderId="11" xfId="30" applyFont="1" applyFill="1" applyBorder="1" applyAlignment="1">
      <alignment horizontal="left"/>
    </xf>
    <xf numFmtId="0" fontId="18" fillId="10" borderId="11" xfId="30" applyFont="1" applyFill="1" applyBorder="1" applyAlignment="1">
      <alignment horizontal="left"/>
    </xf>
    <xf numFmtId="0" fontId="0" fillId="10" borderId="11" xfId="30" applyFont="1" applyFill="1" applyBorder="1" applyAlignment="1">
      <alignment horizontal="left"/>
    </xf>
    <xf numFmtId="170" fontId="15" fillId="10" borderId="48" xfId="30" applyNumberFormat="1" applyFont="1" applyFill="1" applyBorder="1" applyProtection="1"/>
    <xf numFmtId="170" fontId="15" fillId="11" borderId="48" xfId="30" applyNumberFormat="1" applyFont="1" applyFill="1" applyBorder="1" applyProtection="1"/>
    <xf numFmtId="3" fontId="15" fillId="7" borderId="50" xfId="30" applyNumberFormat="1" applyFont="1" applyFill="1" applyBorder="1" applyProtection="1"/>
    <xf numFmtId="172" fontId="15" fillId="11" borderId="47" xfId="30" applyNumberFormat="1" applyFont="1" applyFill="1" applyBorder="1" applyAlignment="1" applyProtection="1">
      <alignment horizontal="center"/>
    </xf>
    <xf numFmtId="172" fontId="15" fillId="11" borderId="48" xfId="30" applyNumberFormat="1" applyFont="1" applyFill="1" applyBorder="1" applyAlignment="1" applyProtection="1">
      <alignment horizontal="center"/>
    </xf>
    <xf numFmtId="172" fontId="15" fillId="7" borderId="51" xfId="30" applyNumberFormat="1" applyFont="1" applyFill="1" applyBorder="1" applyAlignment="1" applyProtection="1">
      <alignment horizontal="center"/>
    </xf>
    <xf numFmtId="1" fontId="15" fillId="7" borderId="48" xfId="30" applyNumberFormat="1" applyFont="1" applyFill="1" applyBorder="1" applyAlignment="1" applyProtection="1">
      <alignment horizontal="center"/>
    </xf>
    <xf numFmtId="168" fontId="15" fillId="10" borderId="51" xfId="30" applyNumberFormat="1" applyFont="1" applyFill="1" applyBorder="1" applyProtection="1"/>
    <xf numFmtId="168" fontId="15" fillId="10" borderId="11" xfId="30" applyNumberFormat="1" applyFont="1" applyFill="1" applyBorder="1" applyProtection="1"/>
    <xf numFmtId="168" fontId="15" fillId="10" borderId="52" xfId="30" applyNumberFormat="1" applyFont="1" applyFill="1" applyBorder="1" applyProtection="1"/>
    <xf numFmtId="168" fontId="15" fillId="10" borderId="48" xfId="30" applyNumberFormat="1" applyFont="1" applyFill="1" applyBorder="1" applyProtection="1"/>
    <xf numFmtId="168" fontId="15" fillId="11" borderId="48" xfId="19" applyNumberFormat="1" applyFont="1" applyFill="1" applyBorder="1" applyAlignment="1" applyProtection="1">
      <alignment horizontal="center"/>
    </xf>
    <xf numFmtId="168" fontId="15" fillId="11" borderId="51" xfId="19" applyNumberFormat="1" applyFont="1" applyFill="1" applyBorder="1" applyAlignment="1" applyProtection="1">
      <alignment horizontal="center"/>
    </xf>
    <xf numFmtId="168" fontId="15" fillId="7" borderId="50" xfId="19" applyNumberFormat="1" applyFont="1" applyFill="1" applyBorder="1" applyAlignment="1" applyProtection="1">
      <alignment horizontal="center"/>
    </xf>
    <xf numFmtId="172" fontId="15" fillId="11" borderId="47" xfId="22" applyNumberFormat="1" applyFont="1" applyFill="1" applyBorder="1" applyAlignment="1">
      <alignment horizontal="center"/>
    </xf>
    <xf numFmtId="172" fontId="15" fillId="11" borderId="52" xfId="22" applyNumberFormat="1" applyFont="1" applyFill="1" applyBorder="1" applyAlignment="1">
      <alignment horizontal="center"/>
    </xf>
    <xf numFmtId="172" fontId="15" fillId="11" borderId="48" xfId="22" applyNumberFormat="1" applyFont="1" applyFill="1" applyBorder="1" applyAlignment="1">
      <alignment horizontal="center"/>
    </xf>
    <xf numFmtId="172" fontId="15" fillId="7" borderId="48" xfId="22" applyNumberFormat="1" applyFont="1" applyFill="1" applyBorder="1" applyAlignment="1">
      <alignment horizontal="center"/>
    </xf>
    <xf numFmtId="1" fontId="15" fillId="7" borderId="21" xfId="22" applyNumberFormat="1" applyFont="1" applyFill="1" applyBorder="1" applyAlignment="1">
      <alignment horizontal="center"/>
    </xf>
    <xf numFmtId="0" fontId="15" fillId="12" borderId="33" xfId="30" applyFont="1" applyFill="1" applyBorder="1" applyAlignment="1">
      <alignment horizontal="left"/>
    </xf>
    <xf numFmtId="0" fontId="1" fillId="12" borderId="0" xfId="22" applyFill="1" applyBorder="1"/>
    <xf numFmtId="168" fontId="15" fillId="12" borderId="21" xfId="19" applyNumberFormat="1" applyFont="1" applyFill="1" applyBorder="1" applyAlignment="1" applyProtection="1">
      <alignment horizontal="center"/>
    </xf>
    <xf numFmtId="168" fontId="15" fillId="12" borderId="33" xfId="19" applyNumberFormat="1" applyFont="1" applyFill="1" applyBorder="1" applyAlignment="1" applyProtection="1">
      <alignment horizontal="center"/>
    </xf>
    <xf numFmtId="172" fontId="15" fillId="7" borderId="21" xfId="30" applyNumberFormat="1" applyFont="1" applyFill="1" applyBorder="1" applyAlignment="1" applyProtection="1">
      <alignment horizontal="center"/>
    </xf>
    <xf numFmtId="1" fontId="15" fillId="7" borderId="32" xfId="22" applyNumberFormat="1" applyFont="1" applyFill="1" applyBorder="1" applyAlignment="1">
      <alignment horizontal="center"/>
    </xf>
    <xf numFmtId="172" fontId="15" fillId="7" borderId="22" xfId="22" applyNumberFormat="1" applyFont="1" applyFill="1" applyBorder="1" applyAlignment="1">
      <alignment horizontal="center"/>
    </xf>
    <xf numFmtId="0" fontId="23" fillId="7" borderId="46" xfId="22" applyFont="1" applyFill="1" applyBorder="1" applyAlignment="1" applyProtection="1">
      <alignment horizontal="left"/>
    </xf>
    <xf numFmtId="0" fontId="28" fillId="7" borderId="11" xfId="22" applyFont="1" applyFill="1" applyBorder="1" applyAlignment="1" applyProtection="1">
      <alignment horizontal="left"/>
    </xf>
    <xf numFmtId="168" fontId="28" fillId="7" borderId="11" xfId="19" applyNumberFormat="1" applyFont="1" applyFill="1" applyBorder="1" applyAlignment="1" applyProtection="1"/>
    <xf numFmtId="10" fontId="28" fillId="7" borderId="49" xfId="31" applyNumberFormat="1" applyFont="1" applyFill="1" applyBorder="1" applyAlignment="1" applyProtection="1"/>
    <xf numFmtId="168" fontId="36" fillId="0" borderId="0" xfId="19" applyNumberFormat="1" applyFont="1" applyBorder="1" applyAlignment="1" applyProtection="1"/>
    <xf numFmtId="0" fontId="36" fillId="0" borderId="0" xfId="22" applyFont="1"/>
    <xf numFmtId="3" fontId="36" fillId="0" borderId="0" xfId="22" applyNumberFormat="1" applyFont="1"/>
    <xf numFmtId="170" fontId="15" fillId="7" borderId="24" xfId="30" applyNumberFormat="1" applyFont="1" applyFill="1" applyBorder="1" applyAlignment="1" applyProtection="1">
      <alignment horizontal="center"/>
    </xf>
    <xf numFmtId="172" fontId="37" fillId="0" borderId="18" xfId="22" applyNumberFormat="1" applyFont="1" applyBorder="1"/>
    <xf numFmtId="172" fontId="37" fillId="0" borderId="53" xfId="22" applyNumberFormat="1" applyFont="1" applyBorder="1"/>
    <xf numFmtId="172" fontId="37" fillId="0" borderId="15" xfId="22" applyNumberFormat="1" applyFont="1" applyBorder="1"/>
    <xf numFmtId="0" fontId="1" fillId="0" borderId="0" xfId="22" applyFont="1" applyAlignment="1">
      <alignment horizontal="right"/>
    </xf>
    <xf numFmtId="172" fontId="37" fillId="0" borderId="24" xfId="22" applyNumberFormat="1" applyFont="1" applyBorder="1"/>
    <xf numFmtId="172" fontId="37" fillId="0" borderId="20" xfId="22" applyNumberFormat="1" applyFont="1" applyBorder="1"/>
    <xf numFmtId="172" fontId="37" fillId="0" borderId="1" xfId="22" applyNumberFormat="1" applyFont="1" applyBorder="1"/>
    <xf numFmtId="0" fontId="14" fillId="0" borderId="54" xfId="22" applyFont="1" applyBorder="1"/>
    <xf numFmtId="0" fontId="32" fillId="0" borderId="54" xfId="22" applyFont="1" applyBorder="1"/>
    <xf numFmtId="168" fontId="38" fillId="0" borderId="55" xfId="19" applyNumberFormat="1" applyFont="1" applyBorder="1" applyAlignment="1" applyProtection="1"/>
    <xf numFmtId="168" fontId="33" fillId="0" borderId="55" xfId="19" applyNumberFormat="1" applyFont="1" applyBorder="1" applyAlignment="1" applyProtection="1"/>
    <xf numFmtId="0" fontId="39" fillId="0" borderId="0" xfId="22" applyFont="1" applyProtection="1">
      <protection locked="0"/>
    </xf>
    <xf numFmtId="0" fontId="14" fillId="0" borderId="55" xfId="22" applyFont="1" applyBorder="1"/>
    <xf numFmtId="0" fontId="32" fillId="0" borderId="55" xfId="22" applyFont="1" applyBorder="1"/>
    <xf numFmtId="172" fontId="15" fillId="7" borderId="48" xfId="30" applyNumberFormat="1" applyFont="1" applyFill="1" applyBorder="1" applyAlignment="1" applyProtection="1">
      <alignment horizontal="center"/>
    </xf>
    <xf numFmtId="1" fontId="15" fillId="7" borderId="48" xfId="22" applyNumberFormat="1" applyFont="1" applyFill="1" applyBorder="1" applyAlignment="1">
      <alignment horizontal="center"/>
    </xf>
    <xf numFmtId="0" fontId="15" fillId="12" borderId="51" xfId="30" applyFont="1" applyFill="1" applyBorder="1" applyAlignment="1">
      <alignment horizontal="left"/>
    </xf>
    <xf numFmtId="0" fontId="1" fillId="12" borderId="11" xfId="22" applyFill="1" applyBorder="1"/>
    <xf numFmtId="0" fontId="1" fillId="12" borderId="52" xfId="22" applyFill="1" applyBorder="1"/>
    <xf numFmtId="168" fontId="15" fillId="12" borderId="48" xfId="19" applyNumberFormat="1" applyFont="1" applyFill="1" applyBorder="1" applyAlignment="1" applyProtection="1">
      <alignment horizontal="center"/>
    </xf>
    <xf numFmtId="168" fontId="15" fillId="12" borderId="51" xfId="19" applyNumberFormat="1" applyFont="1" applyFill="1" applyBorder="1" applyAlignment="1" applyProtection="1">
      <alignment horizontal="center"/>
    </xf>
    <xf numFmtId="172" fontId="15" fillId="7" borderId="52" xfId="22" applyNumberFormat="1" applyFont="1" applyFill="1" applyBorder="1" applyAlignment="1">
      <alignment horizontal="center"/>
    </xf>
    <xf numFmtId="0" fontId="15" fillId="12" borderId="0" xfId="30" applyFont="1" applyFill="1" applyBorder="1" applyAlignment="1">
      <alignment horizontal="left"/>
    </xf>
    <xf numFmtId="0" fontId="15" fillId="12" borderId="0" xfId="22" applyFont="1" applyFill="1" applyBorder="1"/>
    <xf numFmtId="0" fontId="20" fillId="12" borderId="0" xfId="22" applyFont="1" applyFill="1" applyBorder="1"/>
    <xf numFmtId="170" fontId="15" fillId="12" borderId="21" xfId="30" applyNumberFormat="1" applyFont="1" applyFill="1" applyBorder="1" applyProtection="1"/>
    <xf numFmtId="0" fontId="15" fillId="13" borderId="33" xfId="30" applyFont="1" applyFill="1" applyBorder="1" applyAlignment="1">
      <alignment horizontal="left"/>
    </xf>
    <xf numFmtId="0" fontId="1" fillId="13" borderId="0" xfId="22" applyFill="1" applyBorder="1"/>
    <xf numFmtId="168" fontId="15" fillId="13" borderId="21" xfId="19" applyNumberFormat="1" applyFont="1" applyFill="1" applyBorder="1" applyAlignment="1" applyProtection="1">
      <alignment horizontal="center"/>
    </xf>
    <xf numFmtId="168" fontId="15" fillId="13" borderId="33" xfId="19" applyNumberFormat="1" applyFont="1" applyFill="1" applyBorder="1" applyAlignment="1" applyProtection="1">
      <alignment horizontal="center"/>
    </xf>
    <xf numFmtId="4" fontId="1" fillId="0" borderId="0" xfId="22" applyNumberFormat="1"/>
    <xf numFmtId="0" fontId="18" fillId="12" borderId="0" xfId="30" applyFont="1" applyFill="1" applyBorder="1" applyAlignment="1">
      <alignment horizontal="left"/>
    </xf>
    <xf numFmtId="0" fontId="0" fillId="12" borderId="0" xfId="30" applyFont="1" applyFill="1" applyBorder="1" applyAlignment="1">
      <alignment horizontal="left"/>
    </xf>
    <xf numFmtId="171" fontId="15" fillId="12" borderId="21" xfId="30" applyNumberFormat="1" applyFont="1" applyFill="1" applyBorder="1" applyProtection="1"/>
    <xf numFmtId="172" fontId="37" fillId="0" borderId="31" xfId="22" applyNumberFormat="1" applyFont="1" applyBorder="1"/>
    <xf numFmtId="172" fontId="37" fillId="0" borderId="47" xfId="22" applyNumberFormat="1" applyFont="1" applyBorder="1"/>
    <xf numFmtId="172" fontId="37" fillId="0" borderId="49" xfId="22" applyNumberFormat="1" applyFont="1" applyBorder="1"/>
    <xf numFmtId="0" fontId="40" fillId="0" borderId="40" xfId="22" applyFont="1" applyBorder="1" applyAlignment="1" applyProtection="1"/>
    <xf numFmtId="0" fontId="14" fillId="0" borderId="0" xfId="22" applyFont="1"/>
    <xf numFmtId="0" fontId="1" fillId="0" borderId="0" xfId="22"/>
    <xf numFmtId="0" fontId="14" fillId="0" borderId="18" xfId="22" applyFont="1" applyBorder="1"/>
    <xf numFmtId="0" fontId="15" fillId="12" borderId="11" xfId="30" applyFont="1" applyFill="1" applyBorder="1" applyAlignment="1">
      <alignment horizontal="left"/>
    </xf>
    <xf numFmtId="0" fontId="18" fillId="12" borderId="11" xfId="30" applyFont="1" applyFill="1" applyBorder="1" applyAlignment="1">
      <alignment horizontal="left"/>
    </xf>
    <xf numFmtId="0" fontId="0" fillId="12" borderId="11" xfId="30" applyFont="1" applyFill="1" applyBorder="1" applyAlignment="1">
      <alignment horizontal="left"/>
    </xf>
    <xf numFmtId="171" fontId="15" fillId="12" borderId="48" xfId="30" applyNumberFormat="1" applyFont="1" applyFill="1" applyBorder="1" applyProtection="1"/>
    <xf numFmtId="171" fontId="15" fillId="11" borderId="48" xfId="30" applyNumberFormat="1" applyFont="1" applyFill="1" applyBorder="1" applyProtection="1"/>
    <xf numFmtId="0" fontId="15" fillId="13" borderId="51" xfId="30" applyFont="1" applyFill="1" applyBorder="1" applyAlignment="1">
      <alignment horizontal="left"/>
    </xf>
    <xf numFmtId="0" fontId="1" fillId="13" borderId="11" xfId="22" applyFill="1" applyBorder="1"/>
    <xf numFmtId="168" fontId="15" fillId="13" borderId="48" xfId="19" applyNumberFormat="1" applyFont="1" applyFill="1" applyBorder="1" applyAlignment="1" applyProtection="1">
      <alignment horizontal="center"/>
    </xf>
    <xf numFmtId="168" fontId="15" fillId="13" borderId="51" xfId="19" applyNumberFormat="1" applyFont="1" applyFill="1" applyBorder="1" applyAlignment="1" applyProtection="1">
      <alignment horizontal="center"/>
    </xf>
    <xf numFmtId="0" fontId="15" fillId="14" borderId="33" xfId="30" applyFont="1" applyFill="1" applyBorder="1" applyAlignment="1">
      <alignment horizontal="left"/>
    </xf>
    <xf numFmtId="0" fontId="1" fillId="14" borderId="0" xfId="22" applyFill="1" applyBorder="1"/>
    <xf numFmtId="168" fontId="15" fillId="14" borderId="21" xfId="19" applyNumberFormat="1" applyFont="1" applyFill="1" applyBorder="1" applyAlignment="1" applyProtection="1">
      <alignment horizontal="center"/>
    </xf>
    <xf numFmtId="168" fontId="15" fillId="14" borderId="33" xfId="19" applyNumberFormat="1" applyFont="1" applyFill="1" applyBorder="1" applyAlignment="1" applyProtection="1">
      <alignment horizontal="center"/>
    </xf>
    <xf numFmtId="164" fontId="13" fillId="0" borderId="0" xfId="19" applyFont="1" applyBorder="1" applyAlignment="1" applyProtection="1"/>
    <xf numFmtId="1" fontId="15" fillId="7" borderId="5" xfId="22" applyNumberFormat="1" applyFont="1" applyFill="1" applyBorder="1" applyAlignment="1">
      <alignment horizontal="center"/>
    </xf>
    <xf numFmtId="0" fontId="15" fillId="14" borderId="44" xfId="30" applyFont="1" applyFill="1" applyBorder="1" applyAlignment="1">
      <alignment horizontal="left"/>
    </xf>
    <xf numFmtId="0" fontId="1" fillId="14" borderId="26" xfId="22" applyFill="1" applyBorder="1"/>
    <xf numFmtId="172" fontId="15" fillId="11" borderId="5" xfId="22" applyNumberFormat="1" applyFont="1" applyFill="1" applyBorder="1" applyAlignment="1">
      <alignment horizontal="center"/>
    </xf>
    <xf numFmtId="172" fontId="15" fillId="11" borderId="27" xfId="22" applyNumberFormat="1" applyFont="1" applyFill="1" applyBorder="1" applyAlignment="1">
      <alignment horizontal="center"/>
    </xf>
    <xf numFmtId="172" fontId="15" fillId="7" borderId="27" xfId="22" applyNumberFormat="1" applyFont="1" applyFill="1" applyBorder="1" applyAlignment="1">
      <alignment horizontal="center"/>
    </xf>
    <xf numFmtId="0" fontId="15" fillId="15" borderId="33" xfId="30" applyFont="1" applyFill="1" applyBorder="1" applyAlignment="1">
      <alignment horizontal="left"/>
    </xf>
    <xf numFmtId="0" fontId="1" fillId="15" borderId="0" xfId="22" applyFill="1" applyBorder="1"/>
    <xf numFmtId="168" fontId="15" fillId="15" borderId="21" xfId="19" applyNumberFormat="1" applyFont="1" applyFill="1" applyBorder="1" applyAlignment="1" applyProtection="1">
      <alignment horizontal="center"/>
    </xf>
    <xf numFmtId="168" fontId="15" fillId="15" borderId="33" xfId="19" applyNumberFormat="1" applyFont="1" applyFill="1" applyBorder="1" applyAlignment="1" applyProtection="1">
      <alignment horizontal="center"/>
    </xf>
    <xf numFmtId="1" fontId="15" fillId="7" borderId="56" xfId="22" applyNumberFormat="1" applyFont="1" applyFill="1" applyBorder="1" applyAlignment="1">
      <alignment horizontal="center"/>
    </xf>
    <xf numFmtId="0" fontId="15" fillId="15" borderId="57" xfId="30" applyFont="1" applyFill="1" applyBorder="1" applyAlignment="1">
      <alignment horizontal="left"/>
    </xf>
    <xf numFmtId="0" fontId="1" fillId="15" borderId="58" xfId="22" applyFill="1" applyBorder="1"/>
    <xf numFmtId="172" fontId="15" fillId="11" borderId="56" xfId="22" applyNumberFormat="1" applyFont="1" applyFill="1" applyBorder="1" applyAlignment="1">
      <alignment horizontal="center"/>
    </xf>
    <xf numFmtId="172" fontId="15" fillId="11" borderId="59" xfId="22" applyNumberFormat="1" applyFont="1" applyFill="1" applyBorder="1" applyAlignment="1">
      <alignment horizontal="center"/>
    </xf>
    <xf numFmtId="172" fontId="15" fillId="7" borderId="59" xfId="22" applyNumberFormat="1" applyFont="1" applyFill="1" applyBorder="1" applyAlignment="1">
      <alignment horizontal="center"/>
    </xf>
    <xf numFmtId="0" fontId="15" fillId="16" borderId="33" xfId="30" applyFont="1" applyFill="1" applyBorder="1" applyAlignment="1">
      <alignment horizontal="left"/>
    </xf>
    <xf numFmtId="0" fontId="1" fillId="16" borderId="0" xfId="22" applyFill="1" applyBorder="1"/>
    <xf numFmtId="168" fontId="15" fillId="16" borderId="21" xfId="19" applyNumberFormat="1" applyFont="1" applyFill="1" applyBorder="1" applyAlignment="1" applyProtection="1">
      <alignment horizontal="center"/>
    </xf>
    <xf numFmtId="168" fontId="15" fillId="16" borderId="33" xfId="19" applyNumberFormat="1" applyFont="1" applyFill="1" applyBorder="1" applyAlignment="1" applyProtection="1">
      <alignment horizontal="center"/>
    </xf>
    <xf numFmtId="170" fontId="15" fillId="12" borderId="48" xfId="30" applyNumberFormat="1" applyFont="1" applyFill="1" applyBorder="1" applyProtection="1"/>
    <xf numFmtId="0" fontId="15" fillId="17" borderId="0" xfId="30" applyFont="1" applyFill="1" applyBorder="1" applyAlignment="1">
      <alignment horizontal="left"/>
    </xf>
    <xf numFmtId="0" fontId="18" fillId="17" borderId="0" xfId="30" applyFont="1" applyFill="1" applyBorder="1" applyAlignment="1">
      <alignment horizontal="left"/>
    </xf>
    <xf numFmtId="0" fontId="0" fillId="17" borderId="0" xfId="30" applyFont="1" applyFill="1" applyBorder="1" applyAlignment="1">
      <alignment horizontal="left"/>
    </xf>
    <xf numFmtId="0" fontId="11" fillId="0" borderId="0" xfId="30" applyFont="1"/>
    <xf numFmtId="0" fontId="15" fillId="16" borderId="51" xfId="30" applyFont="1" applyFill="1" applyBorder="1" applyAlignment="1">
      <alignment horizontal="left"/>
    </xf>
    <xf numFmtId="0" fontId="1" fillId="16" borderId="11" xfId="22" applyFill="1" applyBorder="1"/>
    <xf numFmtId="168" fontId="15" fillId="16" borderId="48" xfId="19" applyNumberFormat="1" applyFont="1" applyFill="1" applyBorder="1" applyAlignment="1" applyProtection="1">
      <alignment horizontal="center"/>
    </xf>
    <xf numFmtId="168" fontId="15" fillId="16" borderId="51" xfId="19" applyNumberFormat="1" applyFont="1" applyFill="1" applyBorder="1" applyAlignment="1" applyProtection="1">
      <alignment horizontal="center"/>
    </xf>
    <xf numFmtId="0" fontId="1" fillId="0" borderId="49" xfId="22" applyBorder="1"/>
    <xf numFmtId="0" fontId="15" fillId="17" borderId="0" xfId="22" applyFont="1" applyFill="1" applyBorder="1"/>
    <xf numFmtId="0" fontId="20" fillId="17" borderId="0" xfId="22" applyFont="1" applyFill="1" applyBorder="1"/>
    <xf numFmtId="170" fontId="15" fillId="17" borderId="21" xfId="30" applyNumberFormat="1" applyFont="1" applyFill="1" applyBorder="1" applyProtection="1"/>
    <xf numFmtId="0" fontId="15" fillId="18" borderId="33" xfId="30" applyFont="1" applyFill="1" applyBorder="1" applyAlignment="1">
      <alignment horizontal="left"/>
    </xf>
    <xf numFmtId="0" fontId="1" fillId="18" borderId="0" xfId="22" applyFill="1" applyBorder="1"/>
    <xf numFmtId="168" fontId="15" fillId="18" borderId="21" xfId="19" applyNumberFormat="1" applyFont="1" applyFill="1" applyBorder="1" applyAlignment="1" applyProtection="1">
      <alignment horizontal="center"/>
    </xf>
    <xf numFmtId="168" fontId="15" fillId="18" borderId="33" xfId="19" applyNumberFormat="1" applyFont="1" applyFill="1" applyBorder="1" applyAlignment="1" applyProtection="1">
      <alignment horizontal="center"/>
    </xf>
    <xf numFmtId="170" fontId="15" fillId="7" borderId="31" xfId="30" applyNumberFormat="1" applyFont="1" applyFill="1" applyBorder="1" applyAlignment="1" applyProtection="1">
      <alignment horizontal="center"/>
    </xf>
    <xf numFmtId="168" fontId="37" fillId="0" borderId="18" xfId="19" applyNumberFormat="1" applyFont="1" applyBorder="1" applyAlignment="1" applyProtection="1"/>
    <xf numFmtId="168" fontId="37" fillId="0" borderId="53" xfId="19" applyNumberFormat="1" applyFont="1" applyBorder="1" applyAlignment="1" applyProtection="1"/>
    <xf numFmtId="168" fontId="37" fillId="0" borderId="1" xfId="19" applyNumberFormat="1" applyFont="1" applyBorder="1" applyAlignment="1" applyProtection="1"/>
    <xf numFmtId="168" fontId="37" fillId="0" borderId="24" xfId="19" applyNumberFormat="1" applyFont="1" applyBorder="1" applyAlignment="1" applyProtection="1"/>
    <xf numFmtId="168" fontId="37" fillId="0" borderId="20" xfId="19" applyNumberFormat="1" applyFont="1" applyBorder="1" applyAlignment="1" applyProtection="1"/>
    <xf numFmtId="0" fontId="15" fillId="17" borderId="11" xfId="30" applyFont="1" applyFill="1" applyBorder="1" applyAlignment="1">
      <alignment horizontal="left"/>
    </xf>
    <xf numFmtId="0" fontId="18" fillId="17" borderId="11" xfId="30" applyFont="1" applyFill="1" applyBorder="1" applyAlignment="1">
      <alignment horizontal="left"/>
    </xf>
    <xf numFmtId="0" fontId="0" fillId="17" borderId="11" xfId="30" applyFont="1" applyFill="1" applyBorder="1" applyAlignment="1">
      <alignment horizontal="left"/>
    </xf>
    <xf numFmtId="170" fontId="15" fillId="17" borderId="48" xfId="30" applyNumberFormat="1" applyFont="1" applyFill="1" applyBorder="1" applyProtection="1"/>
    <xf numFmtId="3" fontId="40" fillId="0" borderId="0" xfId="22" applyNumberFormat="1" applyFont="1"/>
    <xf numFmtId="0" fontId="15" fillId="19" borderId="0" xfId="30" applyFont="1" applyFill="1" applyBorder="1" applyAlignment="1">
      <alignment horizontal="left"/>
    </xf>
    <xf numFmtId="0" fontId="18" fillId="19" borderId="0" xfId="30" applyFont="1" applyFill="1" applyBorder="1" applyAlignment="1">
      <alignment horizontal="left"/>
    </xf>
    <xf numFmtId="0" fontId="0" fillId="19" borderId="0" xfId="30" applyFont="1" applyFill="1" applyBorder="1" applyAlignment="1">
      <alignment horizontal="left"/>
    </xf>
    <xf numFmtId="170" fontId="15" fillId="19" borderId="21" xfId="30" applyNumberFormat="1" applyFont="1" applyFill="1" applyBorder="1" applyProtection="1"/>
    <xf numFmtId="0" fontId="15" fillId="18" borderId="51" xfId="30" applyFont="1" applyFill="1" applyBorder="1" applyAlignment="1">
      <alignment horizontal="left"/>
    </xf>
    <xf numFmtId="0" fontId="1" fillId="18" borderId="11" xfId="22" applyFill="1" applyBorder="1"/>
    <xf numFmtId="168" fontId="15" fillId="18" borderId="48" xfId="19" applyNumberFormat="1" applyFont="1" applyFill="1" applyBorder="1" applyAlignment="1" applyProtection="1">
      <alignment horizontal="center"/>
    </xf>
    <xf numFmtId="168" fontId="15" fillId="18" borderId="51" xfId="19" applyNumberFormat="1" applyFont="1" applyFill="1" applyBorder="1" applyAlignment="1" applyProtection="1">
      <alignment horizontal="center"/>
    </xf>
    <xf numFmtId="0" fontId="15" fillId="20" borderId="33" xfId="30" applyFont="1" applyFill="1" applyBorder="1" applyAlignment="1">
      <alignment horizontal="left"/>
    </xf>
    <xf numFmtId="0" fontId="1" fillId="20" borderId="0" xfId="22" applyFill="1" applyBorder="1"/>
    <xf numFmtId="168" fontId="15" fillId="20" borderId="21" xfId="19" applyNumberFormat="1" applyFont="1" applyFill="1" applyBorder="1" applyAlignment="1" applyProtection="1">
      <alignment horizontal="center"/>
    </xf>
    <xf numFmtId="168" fontId="15" fillId="20" borderId="33" xfId="19" applyNumberFormat="1" applyFont="1" applyFill="1" applyBorder="1" applyAlignment="1" applyProtection="1">
      <alignment horizontal="center"/>
    </xf>
    <xf numFmtId="168" fontId="37" fillId="0" borderId="31" xfId="19" applyNumberFormat="1" applyFont="1" applyBorder="1" applyAlignment="1" applyProtection="1"/>
    <xf numFmtId="168" fontId="37" fillId="0" borderId="47" xfId="19" applyNumberFormat="1" applyFont="1" applyBorder="1" applyAlignment="1" applyProtection="1"/>
    <xf numFmtId="0" fontId="1" fillId="0" borderId="51" xfId="22" applyBorder="1"/>
    <xf numFmtId="168" fontId="37" fillId="0" borderId="50" xfId="19" applyNumberFormat="1" applyFont="1" applyBorder="1" applyAlignment="1" applyProtection="1"/>
    <xf numFmtId="0" fontId="15" fillId="19" borderId="11" xfId="30" applyFont="1" applyFill="1" applyBorder="1" applyAlignment="1">
      <alignment horizontal="left"/>
    </xf>
    <xf numFmtId="0" fontId="18" fillId="19" borderId="11" xfId="30" applyFont="1" applyFill="1" applyBorder="1" applyAlignment="1">
      <alignment horizontal="left"/>
    </xf>
    <xf numFmtId="0" fontId="0" fillId="19" borderId="11" xfId="30" applyFont="1" applyFill="1" applyBorder="1" applyAlignment="1">
      <alignment horizontal="left"/>
    </xf>
    <xf numFmtId="170" fontId="15" fillId="19" borderId="48" xfId="30" applyNumberFormat="1" applyFont="1" applyFill="1" applyBorder="1" applyProtection="1"/>
    <xf numFmtId="0" fontId="15" fillId="13" borderId="0" xfId="30" applyFont="1" applyFill="1" applyBorder="1" applyAlignment="1">
      <alignment horizontal="left"/>
    </xf>
    <xf numFmtId="0" fontId="18" fillId="13" borderId="0" xfId="30" applyFont="1" applyFill="1" applyBorder="1" applyAlignment="1">
      <alignment horizontal="left"/>
    </xf>
    <xf numFmtId="0" fontId="0" fillId="13" borderId="0" xfId="30" applyFont="1" applyFill="1" applyBorder="1" applyAlignment="1">
      <alignment horizontal="left"/>
    </xf>
    <xf numFmtId="170" fontId="15" fillId="13" borderId="21" xfId="22" applyNumberFormat="1" applyFont="1" applyFill="1" applyBorder="1"/>
    <xf numFmtId="170" fontId="15" fillId="13" borderId="22" xfId="22" applyNumberFormat="1" applyFont="1" applyFill="1" applyBorder="1"/>
    <xf numFmtId="3" fontId="15" fillId="7" borderId="1" xfId="22" applyNumberFormat="1" applyFont="1" applyFill="1" applyBorder="1"/>
    <xf numFmtId="0" fontId="15" fillId="20" borderId="51" xfId="30" applyFont="1" applyFill="1" applyBorder="1" applyAlignment="1">
      <alignment horizontal="left"/>
    </xf>
    <xf numFmtId="0" fontId="1" fillId="20" borderId="11" xfId="22" applyFill="1" applyBorder="1"/>
    <xf numFmtId="168" fontId="15" fillId="20" borderId="48" xfId="19" applyNumberFormat="1" applyFont="1" applyFill="1" applyBorder="1" applyAlignment="1" applyProtection="1">
      <alignment horizontal="center"/>
    </xf>
    <xf numFmtId="168" fontId="15" fillId="20" borderId="51" xfId="19" applyNumberFormat="1" applyFont="1" applyFill="1" applyBorder="1" applyAlignment="1" applyProtection="1">
      <alignment horizontal="center"/>
    </xf>
    <xf numFmtId="0" fontId="15" fillId="21" borderId="33" xfId="30" applyFont="1" applyFill="1" applyBorder="1" applyAlignment="1">
      <alignment horizontal="left"/>
    </xf>
    <xf numFmtId="0" fontId="1" fillId="21" borderId="0" xfId="22" applyFill="1" applyBorder="1"/>
    <xf numFmtId="168" fontId="15" fillId="21" borderId="21" xfId="19" applyNumberFormat="1" applyFont="1" applyFill="1" applyBorder="1" applyAlignment="1" applyProtection="1">
      <alignment horizontal="center"/>
    </xf>
    <xf numFmtId="168" fontId="15" fillId="21" borderId="33" xfId="19" applyNumberFormat="1" applyFont="1" applyFill="1" applyBorder="1" applyAlignment="1" applyProtection="1">
      <alignment horizontal="center"/>
    </xf>
    <xf numFmtId="0" fontId="41" fillId="7" borderId="60" xfId="22" applyFont="1" applyFill="1" applyBorder="1" applyAlignment="1">
      <alignment horizontal="right"/>
    </xf>
    <xf numFmtId="0" fontId="15" fillId="13" borderId="11" xfId="30" applyFont="1" applyFill="1" applyBorder="1" applyAlignment="1">
      <alignment horizontal="left"/>
    </xf>
    <xf numFmtId="0" fontId="18" fillId="13" borderId="11" xfId="30" applyFont="1" applyFill="1" applyBorder="1" applyAlignment="1">
      <alignment horizontal="left"/>
    </xf>
    <xf numFmtId="0" fontId="0" fillId="13" borderId="11" xfId="30" applyFont="1" applyFill="1" applyBorder="1" applyAlignment="1">
      <alignment horizontal="left"/>
    </xf>
    <xf numFmtId="170" fontId="15" fillId="13" borderId="48" xfId="22" applyNumberFormat="1" applyFont="1" applyFill="1" applyBorder="1"/>
    <xf numFmtId="170" fontId="15" fillId="13" borderId="52" xfId="22" applyNumberFormat="1" applyFont="1" applyFill="1" applyBorder="1"/>
    <xf numFmtId="3" fontId="15" fillId="7" borderId="49" xfId="22" applyNumberFormat="1" applyFont="1" applyFill="1" applyBorder="1"/>
    <xf numFmtId="0" fontId="15" fillId="21" borderId="51" xfId="30" applyFont="1" applyFill="1" applyBorder="1" applyAlignment="1">
      <alignment horizontal="left"/>
    </xf>
    <xf numFmtId="0" fontId="1" fillId="21" borderId="11" xfId="22" applyFill="1" applyBorder="1"/>
    <xf numFmtId="168" fontId="15" fillId="21" borderId="48" xfId="19" applyNumberFormat="1" applyFont="1" applyFill="1" applyBorder="1" applyAlignment="1" applyProtection="1">
      <alignment horizontal="center"/>
    </xf>
    <xf numFmtId="168" fontId="15" fillId="21" borderId="51" xfId="19" applyNumberFormat="1" applyFont="1" applyFill="1" applyBorder="1" applyAlignment="1" applyProtection="1">
      <alignment horizontal="center"/>
    </xf>
    <xf numFmtId="4" fontId="1" fillId="21" borderId="11" xfId="22" applyNumberFormat="1" applyFill="1" applyBorder="1"/>
    <xf numFmtId="0" fontId="15" fillId="22" borderId="33" xfId="30" applyFont="1" applyFill="1" applyBorder="1" applyAlignment="1">
      <alignment horizontal="left"/>
    </xf>
    <xf numFmtId="0" fontId="1" fillId="22" borderId="0" xfId="22" applyFill="1" applyBorder="1"/>
    <xf numFmtId="168" fontId="15" fillId="22" borderId="21" xfId="19" applyNumberFormat="1" applyFont="1" applyFill="1" applyBorder="1" applyAlignment="1" applyProtection="1">
      <alignment horizontal="center"/>
    </xf>
    <xf numFmtId="168" fontId="15" fillId="22" borderId="33" xfId="19" applyNumberFormat="1" applyFont="1" applyFill="1" applyBorder="1" applyAlignment="1" applyProtection="1">
      <alignment horizontal="center"/>
    </xf>
    <xf numFmtId="170" fontId="15" fillId="17" borderId="21" xfId="22" applyNumberFormat="1" applyFont="1" applyFill="1" applyBorder="1"/>
    <xf numFmtId="0" fontId="15" fillId="22" borderId="51" xfId="30" applyFont="1" applyFill="1" applyBorder="1" applyAlignment="1">
      <alignment horizontal="left"/>
    </xf>
    <xf numFmtId="0" fontId="1" fillId="22" borderId="11" xfId="22" applyFill="1" applyBorder="1"/>
    <xf numFmtId="168" fontId="15" fillId="22" borderId="48" xfId="19" applyNumberFormat="1" applyFont="1" applyFill="1" applyBorder="1" applyAlignment="1" applyProtection="1">
      <alignment horizontal="center"/>
    </xf>
    <xf numFmtId="168" fontId="15" fillId="22" borderId="51" xfId="19" applyNumberFormat="1" applyFont="1" applyFill="1" applyBorder="1" applyAlignment="1" applyProtection="1">
      <alignment horizontal="center"/>
    </xf>
    <xf numFmtId="170" fontId="15" fillId="17" borderId="48" xfId="22" applyNumberFormat="1" applyFont="1" applyFill="1" applyBorder="1"/>
    <xf numFmtId="0" fontId="15" fillId="23" borderId="0" xfId="30" applyFont="1" applyFill="1" applyBorder="1" applyAlignment="1">
      <alignment horizontal="left"/>
    </xf>
    <xf numFmtId="0" fontId="18" fillId="23" borderId="0" xfId="30" applyFont="1" applyFill="1" applyBorder="1" applyAlignment="1">
      <alignment horizontal="left"/>
    </xf>
    <xf numFmtId="0" fontId="0" fillId="23" borderId="0" xfId="30" applyFont="1" applyFill="1" applyBorder="1" applyAlignment="1">
      <alignment horizontal="left"/>
    </xf>
    <xf numFmtId="170" fontId="15" fillId="23" borderId="21" xfId="22" applyNumberFormat="1" applyFont="1" applyFill="1" applyBorder="1"/>
    <xf numFmtId="171" fontId="15" fillId="23" borderId="21" xfId="30" applyNumberFormat="1" applyFont="1" applyFill="1" applyBorder="1" applyProtection="1"/>
    <xf numFmtId="0" fontId="15" fillId="23" borderId="11" xfId="30" applyFont="1" applyFill="1" applyBorder="1" applyAlignment="1">
      <alignment horizontal="left"/>
    </xf>
    <xf numFmtId="0" fontId="18" fillId="23" borderId="11" xfId="30" applyFont="1" applyFill="1" applyBorder="1" applyAlignment="1">
      <alignment horizontal="left"/>
    </xf>
    <xf numFmtId="0" fontId="0" fillId="23" borderId="11" xfId="30" applyFont="1" applyFill="1" applyBorder="1" applyAlignment="1">
      <alignment horizontal="left"/>
    </xf>
    <xf numFmtId="171" fontId="15" fillId="23" borderId="48" xfId="30" applyNumberFormat="1" applyFont="1" applyFill="1" applyBorder="1" applyProtection="1"/>
    <xf numFmtId="0" fontId="15" fillId="24" borderId="0" xfId="30" applyFont="1" applyFill="1" applyBorder="1" applyAlignment="1">
      <alignment horizontal="left"/>
    </xf>
    <xf numFmtId="0" fontId="18" fillId="24" borderId="0" xfId="30" applyFont="1" applyFill="1" applyBorder="1" applyAlignment="1">
      <alignment horizontal="left"/>
    </xf>
    <xf numFmtId="0" fontId="0" fillId="24" borderId="0" xfId="30" applyFont="1" applyFill="1" applyBorder="1" applyAlignment="1">
      <alignment horizontal="left"/>
    </xf>
    <xf numFmtId="170" fontId="18" fillId="24" borderId="21" xfId="30" applyNumberFormat="1" applyFont="1" applyFill="1" applyBorder="1" applyProtection="1"/>
    <xf numFmtId="3" fontId="17" fillId="0" borderId="0" xfId="22" applyNumberFormat="1" applyFont="1"/>
    <xf numFmtId="172" fontId="15" fillId="7" borderId="0" xfId="30" applyNumberFormat="1" applyFont="1" applyFill="1" applyBorder="1" applyAlignment="1" applyProtection="1">
      <alignment horizontal="center"/>
    </xf>
    <xf numFmtId="0" fontId="1" fillId="0" borderId="0" xfId="22" applyFont="1" applyAlignment="1">
      <alignment wrapText="1"/>
    </xf>
    <xf numFmtId="10" fontId="1" fillId="0" borderId="0" xfId="22" applyNumberFormat="1"/>
    <xf numFmtId="171" fontId="18" fillId="24" borderId="21" xfId="30" applyNumberFormat="1" applyFont="1" applyFill="1" applyBorder="1" applyProtection="1"/>
    <xf numFmtId="0" fontId="42" fillId="0" borderId="0" xfId="22" applyFont="1"/>
    <xf numFmtId="170" fontId="15" fillId="24" borderId="21" xfId="30" applyNumberFormat="1" applyFont="1" applyFill="1" applyBorder="1" applyProtection="1"/>
    <xf numFmtId="0" fontId="20" fillId="0" borderId="0" xfId="22" applyFont="1" applyAlignment="1">
      <alignment wrapText="1"/>
    </xf>
    <xf numFmtId="171" fontId="15" fillId="24" borderId="21" xfId="30" applyNumberFormat="1" applyFont="1" applyFill="1" applyBorder="1" applyProtection="1"/>
    <xf numFmtId="0" fontId="15" fillId="24" borderId="11" xfId="30" applyFont="1" applyFill="1" applyBorder="1" applyAlignment="1">
      <alignment horizontal="left"/>
    </xf>
    <xf numFmtId="0" fontId="18" fillId="24" borderId="11" xfId="30" applyFont="1" applyFill="1" applyBorder="1" applyAlignment="1">
      <alignment horizontal="left"/>
    </xf>
    <xf numFmtId="0" fontId="0" fillId="24" borderId="11" xfId="30" applyFont="1" applyFill="1" applyBorder="1" applyAlignment="1">
      <alignment horizontal="left"/>
    </xf>
    <xf numFmtId="171" fontId="15" fillId="24" borderId="48" xfId="30" applyNumberFormat="1" applyFont="1" applyFill="1" applyBorder="1" applyProtection="1"/>
    <xf numFmtId="170" fontId="15" fillId="13" borderId="16" xfId="22" applyNumberFormat="1" applyFont="1" applyFill="1" applyBorder="1"/>
    <xf numFmtId="3" fontId="15" fillId="7" borderId="22" xfId="30" applyNumberFormat="1" applyFont="1" applyFill="1" applyBorder="1" applyProtection="1"/>
    <xf numFmtId="171" fontId="15" fillId="13" borderId="21" xfId="30" applyNumberFormat="1" applyFont="1" applyFill="1" applyBorder="1" applyProtection="1"/>
    <xf numFmtId="171" fontId="15" fillId="13" borderId="21" xfId="22" applyNumberFormat="1" applyFont="1" applyFill="1" applyBorder="1"/>
    <xf numFmtId="3" fontId="15" fillId="7" borderId="22" xfId="22" applyNumberFormat="1" applyFont="1" applyFill="1" applyBorder="1"/>
    <xf numFmtId="3" fontId="15" fillId="7" borderId="22" xfId="19" applyNumberFormat="1" applyFont="1" applyFill="1" applyBorder="1" applyAlignment="1" applyProtection="1"/>
    <xf numFmtId="171" fontId="20" fillId="13" borderId="48" xfId="30" applyNumberFormat="1" applyFont="1" applyFill="1" applyBorder="1" applyAlignment="1" applyProtection="1">
      <alignment horizontal="right"/>
    </xf>
    <xf numFmtId="3" fontId="20" fillId="0" borderId="48" xfId="30" applyNumberFormat="1" applyFont="1" applyBorder="1" applyAlignment="1" applyProtection="1">
      <alignment horizontal="right"/>
    </xf>
    <xf numFmtId="0" fontId="15" fillId="25" borderId="0" xfId="30" applyFont="1" applyFill="1" applyBorder="1" applyAlignment="1">
      <alignment horizontal="left"/>
    </xf>
    <xf numFmtId="0" fontId="18" fillId="25" borderId="0" xfId="30" applyFont="1" applyFill="1" applyBorder="1" applyAlignment="1">
      <alignment horizontal="left"/>
    </xf>
    <xf numFmtId="0" fontId="0" fillId="25" borderId="0" xfId="30" applyFont="1" applyFill="1" applyBorder="1" applyAlignment="1">
      <alignment horizontal="left"/>
    </xf>
    <xf numFmtId="171" fontId="20" fillId="25" borderId="21" xfId="30" applyNumberFormat="1" applyFont="1" applyFill="1" applyBorder="1" applyAlignment="1" applyProtection="1">
      <alignment horizontal="right"/>
    </xf>
    <xf numFmtId="171" fontId="20" fillId="25" borderId="33" xfId="30" applyNumberFormat="1" applyFont="1" applyFill="1" applyBorder="1" applyAlignment="1" applyProtection="1">
      <alignment horizontal="right"/>
    </xf>
    <xf numFmtId="0" fontId="0" fillId="25" borderId="11" xfId="30" applyFont="1" applyFill="1" applyBorder="1" applyAlignment="1">
      <alignment horizontal="left"/>
    </xf>
    <xf numFmtId="0" fontId="15" fillId="25" borderId="11" xfId="30" applyFont="1" applyFill="1" applyBorder="1" applyAlignment="1">
      <alignment horizontal="left"/>
    </xf>
    <xf numFmtId="0" fontId="18" fillId="25" borderId="11" xfId="30" applyFont="1" applyFill="1" applyBorder="1" applyAlignment="1">
      <alignment horizontal="left"/>
    </xf>
    <xf numFmtId="171" fontId="20" fillId="25" borderId="48" xfId="30" applyNumberFormat="1" applyFont="1" applyFill="1" applyBorder="1" applyAlignment="1" applyProtection="1">
      <alignment horizontal="right"/>
    </xf>
    <xf numFmtId="171" fontId="20" fillId="25" borderId="51" xfId="30" applyNumberFormat="1" applyFont="1" applyFill="1" applyBorder="1" applyAlignment="1" applyProtection="1">
      <alignment horizontal="right"/>
    </xf>
    <xf numFmtId="172" fontId="15" fillId="11" borderId="48" xfId="30" applyNumberFormat="1" applyFont="1" applyFill="1" applyBorder="1" applyProtection="1"/>
    <xf numFmtId="172" fontId="20" fillId="0" borderId="48" xfId="30" applyNumberFormat="1" applyFont="1" applyBorder="1" applyAlignment="1" applyProtection="1">
      <alignment horizontal="right"/>
    </xf>
    <xf numFmtId="0" fontId="15" fillId="26" borderId="0" xfId="30" applyFont="1" applyFill="1" applyBorder="1" applyAlignment="1">
      <alignment horizontal="left"/>
    </xf>
    <xf numFmtId="0" fontId="18" fillId="26" borderId="0" xfId="30" applyFont="1" applyFill="1" applyBorder="1" applyAlignment="1">
      <alignment horizontal="left"/>
    </xf>
    <xf numFmtId="0" fontId="0" fillId="26" borderId="0" xfId="30" applyFont="1" applyFill="1" applyBorder="1" applyAlignment="1">
      <alignment horizontal="left"/>
    </xf>
    <xf numFmtId="171" fontId="20" fillId="26" borderId="21" xfId="30" applyNumberFormat="1" applyFont="1" applyFill="1" applyBorder="1" applyAlignment="1" applyProtection="1">
      <alignment horizontal="right"/>
    </xf>
    <xf numFmtId="171" fontId="20" fillId="26" borderId="33" xfId="30" applyNumberFormat="1" applyFont="1" applyFill="1" applyBorder="1" applyAlignment="1" applyProtection="1">
      <alignment horizontal="right"/>
    </xf>
    <xf numFmtId="3" fontId="37" fillId="0" borderId="21" xfId="22" applyNumberFormat="1" applyFont="1" applyBorder="1"/>
    <xf numFmtId="0" fontId="15" fillId="26" borderId="11" xfId="30" applyFont="1" applyFill="1" applyBorder="1" applyAlignment="1">
      <alignment horizontal="left"/>
    </xf>
    <xf numFmtId="0" fontId="18" fillId="26" borderId="11" xfId="30" applyFont="1" applyFill="1" applyBorder="1" applyAlignment="1">
      <alignment horizontal="left"/>
    </xf>
    <xf numFmtId="0" fontId="0" fillId="26" borderId="11" xfId="30" applyFont="1" applyFill="1" applyBorder="1" applyAlignment="1">
      <alignment horizontal="left"/>
    </xf>
    <xf numFmtId="171" fontId="20" fillId="26" borderId="48" xfId="30" applyNumberFormat="1" applyFont="1" applyFill="1" applyBorder="1" applyAlignment="1" applyProtection="1">
      <alignment horizontal="right"/>
    </xf>
    <xf numFmtId="171" fontId="20" fillId="26" borderId="51" xfId="30" applyNumberFormat="1" applyFont="1" applyFill="1" applyBorder="1" applyAlignment="1" applyProtection="1">
      <alignment horizontal="right"/>
    </xf>
    <xf numFmtId="3" fontId="37" fillId="0" borderId="48" xfId="22" applyNumberFormat="1" applyFont="1" applyBorder="1"/>
    <xf numFmtId="3" fontId="20" fillId="7" borderId="0" xfId="22" applyNumberFormat="1" applyFont="1" applyFill="1"/>
    <xf numFmtId="3" fontId="20" fillId="7" borderId="0" xfId="19" applyNumberFormat="1" applyFont="1" applyFill="1" applyBorder="1" applyAlignment="1" applyProtection="1"/>
    <xf numFmtId="3" fontId="20" fillId="7" borderId="0" xfId="22" applyNumberFormat="1" applyFont="1" applyFill="1" applyAlignment="1">
      <alignment horizontal="right"/>
    </xf>
    <xf numFmtId="3" fontId="20" fillId="7" borderId="0" xfId="22" applyNumberFormat="1" applyFont="1" applyFill="1" applyAlignment="1"/>
    <xf numFmtId="0" fontId="13" fillId="0" borderId="0" xfId="22" applyFont="1"/>
    <xf numFmtId="0" fontId="43" fillId="27" borderId="0" xfId="4" applyFont="1" applyFill="1" applyBorder="1" applyAlignment="1" applyProtection="1"/>
    <xf numFmtId="0" fontId="44" fillId="27" borderId="0" xfId="4" applyFont="1" applyFill="1" applyBorder="1" applyAlignment="1" applyProtection="1"/>
    <xf numFmtId="0" fontId="15" fillId="7" borderId="0" xfId="4" applyFont="1" applyFill="1" applyBorder="1" applyAlignment="1" applyProtection="1"/>
    <xf numFmtId="0" fontId="18" fillId="7" borderId="0" xfId="4" applyFont="1" applyFill="1" applyBorder="1" applyAlignment="1" applyProtection="1"/>
    <xf numFmtId="0" fontId="18" fillId="0" borderId="0" xfId="4" applyFont="1" applyBorder="1" applyAlignment="1" applyProtection="1"/>
    <xf numFmtId="0" fontId="16" fillId="0" borderId="0" xfId="4" applyFont="1" applyBorder="1" applyAlignment="1" applyProtection="1"/>
    <xf numFmtId="0" fontId="45" fillId="0" borderId="0" xfId="25" applyFont="1" applyBorder="1" applyAlignment="1" applyProtection="1">
      <alignment vertical="center" wrapText="1"/>
    </xf>
    <xf numFmtId="0" fontId="35" fillId="8" borderId="61" xfId="4" applyFont="1" applyFill="1" applyBorder="1" applyAlignment="1" applyProtection="1"/>
    <xf numFmtId="0" fontId="19" fillId="8" borderId="61" xfId="4" applyFont="1" applyFill="1" applyBorder="1" applyAlignment="1" applyProtection="1">
      <alignment horizontal="center" vertical="center" wrapText="1"/>
    </xf>
    <xf numFmtId="0" fontId="19" fillId="8" borderId="32" xfId="4" applyFont="1" applyFill="1" applyBorder="1" applyAlignment="1" applyProtection="1">
      <alignment horizontal="center" vertical="center" wrapText="1"/>
    </xf>
    <xf numFmtId="1" fontId="19" fillId="28" borderId="0" xfId="21" applyNumberFormat="1" applyFont="1" applyFill="1" applyBorder="1" applyAlignment="1" applyProtection="1"/>
    <xf numFmtId="3" fontId="35" fillId="28" borderId="0" xfId="21" applyNumberFormat="1" applyFont="1" applyFill="1" applyBorder="1" applyAlignment="1" applyProtection="1"/>
    <xf numFmtId="1" fontId="19" fillId="7" borderId="0" xfId="21" applyNumberFormat="1" applyFont="1" applyFill="1" applyBorder="1" applyAlignment="1" applyProtection="1"/>
    <xf numFmtId="3" fontId="35" fillId="7" borderId="0" xfId="21" applyNumberFormat="1" applyFont="1" applyFill="1" applyBorder="1" applyAlignment="1" applyProtection="1"/>
    <xf numFmtId="1" fontId="19" fillId="0" borderId="0" xfId="21" applyNumberFormat="1" applyFont="1" applyBorder="1" applyAlignment="1" applyProtection="1"/>
    <xf numFmtId="3" fontId="35" fillId="0" borderId="0" xfId="21" applyNumberFormat="1" applyFont="1" applyBorder="1" applyAlignment="1" applyProtection="1"/>
    <xf numFmtId="1" fontId="19" fillId="29" borderId="0" xfId="4" applyNumberFormat="1" applyFont="1" applyFill="1" applyBorder="1" applyAlignment="1" applyProtection="1"/>
    <xf numFmtId="3" fontId="35" fillId="29" borderId="0" xfId="4" applyNumberFormat="1" applyFont="1" applyFill="1" applyBorder="1" applyAlignment="1" applyProtection="1"/>
    <xf numFmtId="1" fontId="19" fillId="7" borderId="0" xfId="4" applyNumberFormat="1" applyFont="1" applyFill="1" applyBorder="1" applyAlignment="1" applyProtection="1"/>
    <xf numFmtId="3" fontId="35" fillId="7" borderId="0" xfId="4" applyNumberFormat="1" applyFont="1" applyFill="1" applyBorder="1" applyAlignment="1" applyProtection="1"/>
    <xf numFmtId="1" fontId="46" fillId="7" borderId="0" xfId="4" applyNumberFormat="1" applyFont="1" applyFill="1" applyBorder="1" applyAlignment="1" applyProtection="1">
      <alignment horizontal="center" vertical="center"/>
    </xf>
    <xf numFmtId="3" fontId="47" fillId="7" borderId="0" xfId="4" applyNumberFormat="1" applyFont="1" applyFill="1" applyBorder="1" applyAlignment="1" applyProtection="1">
      <alignment horizontal="center"/>
    </xf>
    <xf numFmtId="1" fontId="46" fillId="30" borderId="0" xfId="4" applyNumberFormat="1" applyFont="1" applyFill="1" applyBorder="1" applyAlignment="1" applyProtection="1">
      <alignment horizontal="center" vertical="center"/>
    </xf>
    <xf numFmtId="3" fontId="47" fillId="30" borderId="0" xfId="4" applyNumberFormat="1" applyFont="1" applyFill="1" applyBorder="1" applyAlignment="1" applyProtection="1">
      <alignment horizontal="center"/>
    </xf>
    <xf numFmtId="0" fontId="44" fillId="27" borderId="0" xfId="3" applyFont="1" applyFill="1" applyBorder="1" applyAlignment="1" applyProtection="1"/>
    <xf numFmtId="0" fontId="49" fillId="27" borderId="0" xfId="3" applyFont="1" applyFill="1" applyBorder="1" applyAlignment="1" applyProtection="1">
      <alignment horizontal="center"/>
    </xf>
    <xf numFmtId="0" fontId="20" fillId="7" borderId="0" xfId="4" applyFont="1" applyFill="1" applyBorder="1" applyAlignment="1" applyProtection="1"/>
    <xf numFmtId="1" fontId="19" fillId="29" borderId="0" xfId="4" applyNumberFormat="1" applyFont="1" applyFill="1" applyBorder="1" applyAlignment="1" applyProtection="1">
      <alignment horizontal="right"/>
    </xf>
    <xf numFmtId="3" fontId="35" fillId="29" borderId="0" xfId="4" applyNumberFormat="1" applyFont="1" applyFill="1" applyBorder="1" applyAlignment="1" applyProtection="1">
      <alignment horizontal="right"/>
    </xf>
    <xf numFmtId="3" fontId="35" fillId="7" borderId="0" xfId="4" applyNumberFormat="1" applyFont="1" applyFill="1" applyBorder="1" applyAlignment="1" applyProtection="1">
      <alignment horizontal="right"/>
    </xf>
    <xf numFmtId="1" fontId="19" fillId="29" borderId="0" xfId="4" applyNumberFormat="1" applyFont="1" applyFill="1" applyBorder="1" applyAlignment="1" applyProtection="1">
      <alignment horizontal="left"/>
    </xf>
    <xf numFmtId="1" fontId="19" fillId="7" borderId="0" xfId="4" applyNumberFormat="1" applyFont="1" applyFill="1" applyBorder="1" applyAlignment="1" applyProtection="1">
      <alignment horizontal="left"/>
    </xf>
    <xf numFmtId="0" fontId="19" fillId="7" borderId="0" xfId="4" applyFont="1" applyFill="1" applyBorder="1" applyAlignment="1" applyProtection="1"/>
    <xf numFmtId="1" fontId="50" fillId="0" borderId="0" xfId="4" applyNumberFormat="1" applyFont="1" applyBorder="1" applyAlignment="1" applyProtection="1"/>
    <xf numFmtId="0" fontId="51" fillId="0" borderId="0" xfId="4" applyFont="1" applyBorder="1" applyAlignment="1" applyProtection="1"/>
    <xf numFmtId="0" fontId="1" fillId="31" borderId="0" xfId="22" applyFill="1"/>
    <xf numFmtId="0" fontId="52" fillId="31" borderId="0" xfId="22" applyFont="1" applyFill="1" applyBorder="1" applyAlignment="1">
      <alignment horizontal="justify" vertical="center"/>
    </xf>
    <xf numFmtId="0" fontId="1" fillId="31" borderId="0" xfId="22" applyFont="1" applyFill="1" applyAlignment="1">
      <alignment horizontal="justify"/>
    </xf>
    <xf numFmtId="0" fontId="53" fillId="31" borderId="0" xfId="22" applyFont="1" applyFill="1" applyBorder="1" applyAlignment="1">
      <alignment horizontal="justify" vertical="center"/>
    </xf>
    <xf numFmtId="0" fontId="1" fillId="2" borderId="0" xfId="22" applyFont="1" applyFill="1"/>
    <xf numFmtId="3" fontId="1" fillId="2" borderId="0" xfId="22" applyNumberFormat="1" applyFont="1" applyFill="1"/>
    <xf numFmtId="3" fontId="1" fillId="2" borderId="0" xfId="22" applyNumberFormat="1" applyFont="1" applyFill="1" applyBorder="1"/>
    <xf numFmtId="3" fontId="1" fillId="7" borderId="21" xfId="22" applyNumberFormat="1" applyFill="1" applyBorder="1"/>
    <xf numFmtId="0" fontId="1" fillId="7" borderId="0" xfId="22" applyFont="1" applyFill="1"/>
    <xf numFmtId="3" fontId="1" fillId="7" borderId="0" xfId="22" applyNumberFormat="1" applyFont="1" applyFill="1"/>
    <xf numFmtId="3" fontId="34" fillId="7" borderId="0" xfId="22" applyNumberFormat="1" applyFont="1" applyFill="1" applyAlignment="1">
      <alignment wrapText="1"/>
    </xf>
    <xf numFmtId="3" fontId="1" fillId="23" borderId="21" xfId="22" applyNumberFormat="1" applyFill="1" applyBorder="1"/>
    <xf numFmtId="175" fontId="1" fillId="0" borderId="0" xfId="22" applyNumberFormat="1"/>
    <xf numFmtId="176" fontId="1" fillId="7" borderId="0" xfId="22" applyNumberFormat="1" applyFont="1" applyFill="1"/>
    <xf numFmtId="1" fontId="16" fillId="0" borderId="0" xfId="22" applyNumberFormat="1" applyFont="1"/>
    <xf numFmtId="3" fontId="54" fillId="7" borderId="0" xfId="22" applyNumberFormat="1" applyFont="1" applyFill="1"/>
    <xf numFmtId="3" fontId="54" fillId="2" borderId="0" xfId="22" applyNumberFormat="1" applyFont="1" applyFill="1"/>
    <xf numFmtId="3" fontId="55" fillId="0" borderId="0" xfId="22" applyNumberFormat="1" applyFont="1"/>
    <xf numFmtId="0" fontId="56" fillId="0" borderId="0" xfId="22" applyFont="1"/>
    <xf numFmtId="3" fontId="56" fillId="0" borderId="0" xfId="22" applyNumberFormat="1" applyFont="1"/>
    <xf numFmtId="3" fontId="57" fillId="2" borderId="0" xfId="22" applyNumberFormat="1" applyFont="1" applyFill="1"/>
    <xf numFmtId="3" fontId="58" fillId="7" borderId="0" xfId="22" applyNumberFormat="1" applyFont="1" applyFill="1"/>
    <xf numFmtId="177" fontId="59" fillId="0" borderId="62" xfId="0" applyNumberFormat="1" applyFont="1" applyBorder="1" applyAlignment="1">
      <alignment horizontal="right" vertical="center"/>
    </xf>
    <xf numFmtId="177" fontId="59" fillId="32" borderId="49" xfId="0" applyNumberFormat="1" applyFont="1" applyFill="1" applyBorder="1" applyAlignment="1">
      <alignment horizontal="right" vertical="center"/>
    </xf>
    <xf numFmtId="0" fontId="45" fillId="7" borderId="0" xfId="22" applyFont="1" applyFill="1"/>
    <xf numFmtId="0" fontId="60" fillId="0" borderId="0" xfId="22" applyFont="1" applyAlignment="1">
      <alignment wrapText="1"/>
    </xf>
    <xf numFmtId="10" fontId="60" fillId="0" borderId="0" xfId="2" applyNumberFormat="1" applyFont="1" applyBorder="1" applyAlignment="1" applyProtection="1">
      <alignment wrapText="1"/>
    </xf>
    <xf numFmtId="0" fontId="52" fillId="7" borderId="63" xfId="22" applyFont="1" applyFill="1" applyBorder="1" applyAlignment="1">
      <alignment horizontal="left"/>
    </xf>
    <xf numFmtId="0" fontId="1" fillId="33" borderId="34" xfId="22" applyFill="1" applyBorder="1" applyAlignment="1">
      <alignment horizontal="left"/>
    </xf>
    <xf numFmtId="0" fontId="1" fillId="33" borderId="3" xfId="22" applyFill="1" applyBorder="1" applyAlignment="1">
      <alignment horizontal="left"/>
    </xf>
    <xf numFmtId="2" fontId="62" fillId="32" borderId="24" xfId="1" applyNumberFormat="1" applyFont="1" applyFill="1" applyBorder="1" applyAlignment="1" applyProtection="1">
      <alignment horizontal="justify" wrapText="1"/>
    </xf>
    <xf numFmtId="0" fontId="34" fillId="0" borderId="0" xfId="22" applyFont="1" applyAlignment="1">
      <alignment wrapText="1"/>
    </xf>
    <xf numFmtId="4" fontId="45" fillId="0" borderId="33" xfId="22" applyNumberFormat="1" applyFont="1" applyBorder="1" applyProtection="1"/>
    <xf numFmtId="0" fontId="1" fillId="7" borderId="22" xfId="22" applyFill="1" applyBorder="1"/>
    <xf numFmtId="0" fontId="1" fillId="33" borderId="33" xfId="22" applyFill="1" applyBorder="1"/>
    <xf numFmtId="0" fontId="1" fillId="33" borderId="0" xfId="22" applyFill="1"/>
    <xf numFmtId="0" fontId="61" fillId="0" borderId="0" xfId="22" applyFont="1"/>
    <xf numFmtId="2" fontId="62" fillId="34" borderId="24" xfId="32" applyNumberFormat="1" applyFont="1" applyFill="1" applyBorder="1" applyAlignment="1" applyProtection="1">
      <alignment horizontal="justify" wrapText="1"/>
    </xf>
    <xf numFmtId="0" fontId="1" fillId="7" borderId="22" xfId="22" applyFont="1" applyFill="1" applyBorder="1"/>
    <xf numFmtId="178" fontId="1" fillId="0" borderId="0" xfId="1" applyFont="1" applyBorder="1" applyAlignment="1" applyProtection="1"/>
    <xf numFmtId="0" fontId="1" fillId="7" borderId="33" xfId="22" applyFill="1" applyBorder="1"/>
    <xf numFmtId="0" fontId="1" fillId="33" borderId="22" xfId="22" applyFill="1" applyBorder="1"/>
    <xf numFmtId="0" fontId="1" fillId="33" borderId="33" xfId="22" applyFont="1" applyFill="1" applyBorder="1"/>
    <xf numFmtId="0" fontId="1" fillId="33" borderId="0" xfId="22" applyFont="1" applyFill="1"/>
    <xf numFmtId="0" fontId="1" fillId="33" borderId="22" xfId="22" applyFont="1" applyFill="1" applyBorder="1"/>
    <xf numFmtId="0" fontId="1" fillId="7" borderId="33" xfId="22" applyFont="1" applyFill="1" applyBorder="1"/>
    <xf numFmtId="0" fontId="1" fillId="0" borderId="0" xfId="22" applyFont="1" applyBorder="1" applyAlignment="1">
      <alignment horizontal="center" vertical="center"/>
    </xf>
    <xf numFmtId="3" fontId="1" fillId="2" borderId="0" xfId="22" applyNumberFormat="1" applyFill="1"/>
    <xf numFmtId="3" fontId="20" fillId="2" borderId="22" xfId="22" applyNumberFormat="1" applyFont="1" applyFill="1" applyBorder="1"/>
    <xf numFmtId="3" fontId="1" fillId="2" borderId="33" xfId="22" applyNumberFormat="1" applyFill="1" applyBorder="1"/>
    <xf numFmtId="3" fontId="1" fillId="2" borderId="22" xfId="22" applyNumberFormat="1" applyFill="1" applyBorder="1"/>
    <xf numFmtId="49" fontId="15" fillId="35" borderId="33" xfId="30" applyNumberFormat="1" applyFont="1" applyFill="1" applyBorder="1" applyAlignment="1">
      <alignment horizontal="right"/>
    </xf>
    <xf numFmtId="3" fontId="38" fillId="23" borderId="21" xfId="22" applyNumberFormat="1" applyFont="1" applyFill="1" applyBorder="1"/>
    <xf numFmtId="3" fontId="65" fillId="23" borderId="21" xfId="22" applyNumberFormat="1" applyFont="1" applyFill="1" applyBorder="1"/>
    <xf numFmtId="3" fontId="66" fillId="23" borderId="21" xfId="22" applyNumberFormat="1" applyFont="1" applyFill="1" applyBorder="1"/>
    <xf numFmtId="3" fontId="67" fillId="23" borderId="21" xfId="22" applyNumberFormat="1" applyFont="1" applyFill="1" applyBorder="1"/>
    <xf numFmtId="3" fontId="68" fillId="23" borderId="21" xfId="22" applyNumberFormat="1" applyFont="1" applyFill="1" applyBorder="1"/>
    <xf numFmtId="0" fontId="66" fillId="0" borderId="0" xfId="22" applyFont="1"/>
    <xf numFmtId="0" fontId="38" fillId="25" borderId="32" xfId="22" applyFont="1" applyFill="1" applyBorder="1" applyAlignment="1">
      <alignment horizontal="justify" vertical="center"/>
    </xf>
    <xf numFmtId="3" fontId="38" fillId="36" borderId="21" xfId="22" applyNumberFormat="1" applyFont="1" applyFill="1" applyBorder="1"/>
    <xf numFmtId="3" fontId="66" fillId="36" borderId="21" xfId="22" applyNumberFormat="1" applyFont="1" applyFill="1" applyBorder="1"/>
    <xf numFmtId="3" fontId="67" fillId="36" borderId="21" xfId="22" applyNumberFormat="1" applyFont="1" applyFill="1" applyBorder="1"/>
    <xf numFmtId="3" fontId="13" fillId="36" borderId="21" xfId="22" applyNumberFormat="1" applyFont="1" applyFill="1" applyBorder="1"/>
    <xf numFmtId="3" fontId="69" fillId="36" borderId="21" xfId="22" applyNumberFormat="1" applyFont="1" applyFill="1" applyBorder="1"/>
    <xf numFmtId="3" fontId="20" fillId="7" borderId="22" xfId="22" applyNumberFormat="1" applyFont="1" applyFill="1" applyBorder="1"/>
    <xf numFmtId="3" fontId="1" fillId="7" borderId="33" xfId="22" applyNumberFormat="1" applyFill="1" applyBorder="1"/>
    <xf numFmtId="3" fontId="1" fillId="7" borderId="22" xfId="22" applyNumberFormat="1" applyFill="1" applyBorder="1"/>
    <xf numFmtId="3" fontId="38" fillId="7" borderId="21" xfId="22" applyNumberFormat="1" applyFont="1" applyFill="1" applyBorder="1"/>
    <xf numFmtId="3" fontId="65" fillId="7" borderId="21" xfId="22" applyNumberFormat="1" applyFont="1" applyFill="1" applyBorder="1"/>
    <xf numFmtId="3" fontId="66" fillId="7" borderId="21" xfId="22" applyNumberFormat="1" applyFont="1" applyFill="1" applyBorder="1"/>
    <xf numFmtId="3" fontId="67" fillId="7" borderId="21" xfId="22" applyNumberFormat="1" applyFont="1" applyFill="1" applyBorder="1"/>
    <xf numFmtId="3" fontId="14" fillId="0" borderId="0" xfId="22" applyNumberFormat="1" applyFont="1" applyAlignment="1">
      <alignment wrapText="1"/>
    </xf>
    <xf numFmtId="0" fontId="66" fillId="7" borderId="21" xfId="22" applyFont="1" applyFill="1" applyBorder="1"/>
    <xf numFmtId="0" fontId="38" fillId="25" borderId="21" xfId="22" applyFont="1" applyFill="1" applyBorder="1" applyAlignment="1">
      <alignment horizontal="justify" vertical="center"/>
    </xf>
    <xf numFmtId="3" fontId="13" fillId="0" borderId="0" xfId="22" applyNumberFormat="1" applyFont="1" applyAlignment="1">
      <alignment wrapText="1"/>
    </xf>
    <xf numFmtId="3" fontId="70" fillId="0" borderId="0" xfId="22" applyNumberFormat="1" applyFont="1" applyAlignment="1">
      <alignment wrapText="1"/>
    </xf>
    <xf numFmtId="0" fontId="69" fillId="7" borderId="21" xfId="22" applyFont="1" applyFill="1" applyBorder="1"/>
    <xf numFmtId="0" fontId="66" fillId="23" borderId="21" xfId="22" applyFont="1" applyFill="1" applyBorder="1"/>
    <xf numFmtId="0" fontId="66" fillId="36" borderId="21" xfId="22" applyFont="1" applyFill="1" applyBorder="1"/>
    <xf numFmtId="0" fontId="69" fillId="36" borderId="21" xfId="22" applyFont="1" applyFill="1" applyBorder="1"/>
    <xf numFmtId="3" fontId="71" fillId="0" borderId="0" xfId="22" applyNumberFormat="1" applyFont="1" applyAlignment="1">
      <alignment wrapText="1"/>
    </xf>
    <xf numFmtId="3" fontId="13" fillId="0" borderId="0" xfId="22" applyNumberFormat="1" applyFont="1"/>
    <xf numFmtId="3" fontId="70" fillId="7" borderId="21" xfId="22" applyNumberFormat="1" applyFont="1" applyFill="1" applyBorder="1"/>
    <xf numFmtId="3" fontId="13" fillId="7" borderId="21" xfId="22" applyNumberFormat="1" applyFont="1" applyFill="1" applyBorder="1"/>
    <xf numFmtId="3" fontId="17" fillId="0" borderId="0" xfId="22" applyNumberFormat="1" applyFont="1" applyAlignment="1">
      <alignment horizontal="right"/>
    </xf>
    <xf numFmtId="10" fontId="66" fillId="0" borderId="0" xfId="22" applyNumberFormat="1" applyFont="1"/>
    <xf numFmtId="3" fontId="72" fillId="0" borderId="0" xfId="22" applyNumberFormat="1" applyFont="1"/>
    <xf numFmtId="3" fontId="14" fillId="7" borderId="21" xfId="22" applyNumberFormat="1" applyFont="1" applyFill="1" applyBorder="1"/>
    <xf numFmtId="10" fontId="6" fillId="0" borderId="0" xfId="31" applyNumberFormat="1" applyBorder="1" applyAlignment="1" applyProtection="1"/>
    <xf numFmtId="3" fontId="70" fillId="23" borderId="21" xfId="22" applyNumberFormat="1" applyFont="1" applyFill="1" applyBorder="1"/>
    <xf numFmtId="0" fontId="73" fillId="0" borderId="0" xfId="22" applyFont="1"/>
    <xf numFmtId="3" fontId="74" fillId="36" borderId="21" xfId="22" applyNumberFormat="1" applyFont="1" applyFill="1" applyBorder="1"/>
    <xf numFmtId="0" fontId="1" fillId="33" borderId="44" xfId="22" applyFill="1" applyBorder="1"/>
    <xf numFmtId="3" fontId="1" fillId="7" borderId="26" xfId="22" applyNumberFormat="1" applyFill="1" applyBorder="1"/>
    <xf numFmtId="3" fontId="1" fillId="7" borderId="27" xfId="22" applyNumberFormat="1" applyFill="1" applyBorder="1"/>
    <xf numFmtId="3" fontId="13" fillId="23" borderId="21" xfId="22" applyNumberFormat="1" applyFont="1" applyFill="1" applyBorder="1"/>
    <xf numFmtId="3" fontId="74" fillId="23" borderId="21" xfId="22" applyNumberFormat="1" applyFont="1" applyFill="1" applyBorder="1"/>
    <xf numFmtId="0" fontId="67" fillId="23" borderId="21" xfId="22" applyFont="1" applyFill="1" applyBorder="1"/>
    <xf numFmtId="0" fontId="67" fillId="0" borderId="0" xfId="22" applyFont="1"/>
    <xf numFmtId="3" fontId="14" fillId="36" borderId="21" xfId="22" applyNumberFormat="1" applyFont="1" applyFill="1" applyBorder="1"/>
    <xf numFmtId="0" fontId="75" fillId="36" borderId="21" xfId="22" applyFont="1" applyFill="1" applyBorder="1"/>
    <xf numFmtId="168" fontId="76" fillId="0" borderId="0" xfId="19" applyNumberFormat="1" applyFont="1" applyBorder="1" applyAlignment="1" applyProtection="1">
      <alignment wrapText="1"/>
    </xf>
    <xf numFmtId="179" fontId="77" fillId="0" borderId="0" xfId="22" applyNumberFormat="1" applyFont="1" applyAlignment="1">
      <alignment wrapText="1"/>
    </xf>
    <xf numFmtId="0" fontId="67" fillId="7" borderId="21" xfId="22" applyFont="1" applyFill="1" applyBorder="1"/>
    <xf numFmtId="10" fontId="78" fillId="0" borderId="0" xfId="22" applyNumberFormat="1" applyFont="1"/>
    <xf numFmtId="180" fontId="1" fillId="0" borderId="0" xfId="1" applyNumberFormat="1" applyFont="1" applyBorder="1" applyAlignment="1" applyProtection="1"/>
    <xf numFmtId="2" fontId="1" fillId="0" borderId="0" xfId="22" applyNumberFormat="1"/>
    <xf numFmtId="168" fontId="6" fillId="0" borderId="0" xfId="19" applyNumberFormat="1" applyBorder="1" applyAlignment="1" applyProtection="1"/>
    <xf numFmtId="164" fontId="6" fillId="0" borderId="0" xfId="19" applyBorder="1" applyAlignment="1" applyProtection="1"/>
    <xf numFmtId="4" fontId="79" fillId="0" borderId="33" xfId="23" applyNumberFormat="1" applyFont="1" applyBorder="1" applyProtection="1"/>
    <xf numFmtId="0" fontId="80" fillId="0" borderId="0" xfId="22" applyFont="1" applyAlignment="1">
      <alignment horizontal="justify" vertical="center"/>
    </xf>
    <xf numFmtId="4" fontId="82" fillId="0" borderId="0" xfId="22" applyNumberFormat="1" applyFont="1"/>
    <xf numFmtId="181" fontId="1" fillId="7" borderId="0" xfId="22" applyNumberFormat="1" applyFont="1" applyFill="1"/>
    <xf numFmtId="177" fontId="1" fillId="0" borderId="0" xfId="22" applyNumberFormat="1"/>
    <xf numFmtId="178" fontId="1" fillId="0" borderId="0" xfId="22" applyNumberFormat="1"/>
    <xf numFmtId="177" fontId="83" fillId="0" borderId="1" xfId="0" applyNumberFormat="1" applyFont="1" applyBorder="1" applyAlignment="1">
      <alignment horizontal="right"/>
    </xf>
    <xf numFmtId="168" fontId="6" fillId="0" borderId="0" xfId="19" applyNumberFormat="1" applyFont="1" applyBorder="1" applyAlignment="1" applyProtection="1"/>
    <xf numFmtId="3" fontId="78" fillId="36" borderId="21" xfId="22" applyNumberFormat="1" applyFont="1" applyFill="1" applyBorder="1"/>
    <xf numFmtId="3" fontId="64" fillId="36" borderId="21" xfId="22" applyNumberFormat="1" applyFont="1" applyFill="1" applyBorder="1"/>
    <xf numFmtId="3" fontId="84" fillId="0" borderId="0" xfId="22" applyNumberFormat="1" applyFont="1"/>
    <xf numFmtId="10" fontId="20" fillId="0" borderId="0" xfId="22" applyNumberFormat="1" applyFont="1"/>
    <xf numFmtId="182" fontId="1" fillId="0" borderId="0" xfId="22" applyNumberFormat="1"/>
    <xf numFmtId="177" fontId="83" fillId="0" borderId="1" xfId="22" applyNumberFormat="1" applyFont="1" applyBorder="1" applyAlignment="1">
      <alignment horizontal="right"/>
    </xf>
    <xf numFmtId="0" fontId="34" fillId="0" borderId="0" xfId="22" applyFont="1"/>
    <xf numFmtId="0" fontId="45" fillId="7" borderId="0" xfId="22" applyFont="1" applyFill="1" applyAlignment="1">
      <alignment horizontal="right"/>
    </xf>
    <xf numFmtId="10" fontId="45" fillId="7" borderId="0" xfId="22" applyNumberFormat="1" applyFont="1" applyFill="1" applyAlignment="1">
      <alignment horizontal="right"/>
    </xf>
    <xf numFmtId="181" fontId="1" fillId="0" borderId="0" xfId="22" applyNumberFormat="1"/>
    <xf numFmtId="10" fontId="1" fillId="0" borderId="0" xfId="22" applyNumberFormat="1" applyFont="1" applyBorder="1"/>
    <xf numFmtId="3" fontId="41" fillId="0" borderId="0" xfId="22" applyNumberFormat="1" applyFont="1" applyBorder="1" applyAlignment="1" applyProtection="1">
      <alignment horizontal="right" vertical="center" wrapText="1"/>
    </xf>
    <xf numFmtId="3" fontId="34" fillId="32" borderId="24" xfId="19" applyNumberFormat="1" applyFont="1" applyFill="1" applyBorder="1" applyAlignment="1" applyProtection="1">
      <alignment horizontal="justify" wrapText="1"/>
    </xf>
    <xf numFmtId="0" fontId="45" fillId="0" borderId="0" xfId="22" applyFont="1"/>
    <xf numFmtId="0" fontId="22" fillId="0" borderId="0" xfId="22" applyFont="1"/>
    <xf numFmtId="0" fontId="69" fillId="0" borderId="0" xfId="22" applyFont="1"/>
    <xf numFmtId="10" fontId="85" fillId="0" borderId="0" xfId="31" applyNumberFormat="1" applyFont="1" applyBorder="1" applyAlignment="1" applyProtection="1"/>
    <xf numFmtId="10" fontId="73" fillId="23" borderId="21" xfId="22" applyNumberFormat="1" applyFont="1" applyFill="1" applyBorder="1"/>
    <xf numFmtId="0" fontId="73" fillId="25" borderId="32" xfId="22" applyFont="1" applyFill="1" applyBorder="1" applyAlignment="1">
      <alignment horizontal="justify" vertical="center"/>
    </xf>
    <xf numFmtId="10" fontId="73" fillId="36" borderId="21" xfId="22" applyNumberFormat="1" applyFont="1" applyFill="1" applyBorder="1"/>
    <xf numFmtId="0" fontId="73" fillId="8" borderId="32" xfId="22" applyFont="1" applyFill="1" applyBorder="1" applyAlignment="1">
      <alignment horizontal="justify" vertical="center"/>
    </xf>
    <xf numFmtId="10" fontId="73" fillId="2" borderId="21" xfId="22" applyNumberFormat="1" applyFont="1" applyFill="1" applyBorder="1"/>
    <xf numFmtId="0" fontId="73" fillId="38" borderId="21" xfId="22" applyFont="1" applyFill="1" applyBorder="1" applyAlignment="1">
      <alignment horizontal="justify" vertical="center"/>
    </xf>
    <xf numFmtId="9" fontId="85" fillId="0" borderId="0" xfId="31" applyFont="1" applyBorder="1" applyAlignment="1" applyProtection="1"/>
    <xf numFmtId="10" fontId="73" fillId="7" borderId="21" xfId="22" applyNumberFormat="1" applyFont="1" applyFill="1" applyBorder="1"/>
    <xf numFmtId="0" fontId="73" fillId="25" borderId="21" xfId="22" applyFont="1" applyFill="1" applyBorder="1" applyAlignment="1">
      <alignment horizontal="justify" vertical="center"/>
    </xf>
    <xf numFmtId="0" fontId="73" fillId="8" borderId="21" xfId="22" applyFont="1" applyFill="1" applyBorder="1" applyAlignment="1">
      <alignment horizontal="justify" vertical="center"/>
    </xf>
    <xf numFmtId="183" fontId="86" fillId="0" borderId="21" xfId="22" applyNumberFormat="1" applyFont="1" applyBorder="1" applyAlignment="1" applyProtection="1"/>
    <xf numFmtId="0" fontId="87" fillId="0" borderId="0" xfId="22" applyFont="1"/>
    <xf numFmtId="10" fontId="56" fillId="0" borderId="0" xfId="22" applyNumberFormat="1" applyFont="1" applyAlignment="1">
      <alignment wrapText="1"/>
    </xf>
    <xf numFmtId="10" fontId="73" fillId="0" borderId="0" xfId="22" applyNumberFormat="1" applyFont="1"/>
    <xf numFmtId="0" fontId="41" fillId="32" borderId="60" xfId="22" applyFont="1" applyFill="1" applyBorder="1" applyAlignment="1">
      <alignment horizontal="right"/>
    </xf>
    <xf numFmtId="0" fontId="60" fillId="0" borderId="0" xfId="22" applyFont="1"/>
    <xf numFmtId="10" fontId="56" fillId="36" borderId="21" xfId="22" applyNumberFormat="1" applyFont="1" applyFill="1" applyBorder="1"/>
    <xf numFmtId="3" fontId="64" fillId="7" borderId="21" xfId="22" applyNumberFormat="1" applyFont="1" applyFill="1" applyBorder="1"/>
    <xf numFmtId="3" fontId="20" fillId="0" borderId="0" xfId="22" applyNumberFormat="1" applyFont="1"/>
    <xf numFmtId="10" fontId="56" fillId="7" borderId="21" xfId="22" applyNumberFormat="1" applyFont="1" applyFill="1" applyBorder="1"/>
    <xf numFmtId="0" fontId="88" fillId="8" borderId="21" xfId="22" applyFont="1" applyFill="1" applyBorder="1" applyAlignment="1">
      <alignment horizontal="justify" vertical="center"/>
    </xf>
    <xf numFmtId="10" fontId="88" fillId="7" borderId="21" xfId="22" applyNumberFormat="1" applyFont="1" applyFill="1" applyBorder="1"/>
    <xf numFmtId="0" fontId="88" fillId="38" borderId="21" xfId="22" applyFont="1" applyFill="1" applyBorder="1" applyAlignment="1">
      <alignment horizontal="justify" vertical="center"/>
    </xf>
    <xf numFmtId="3" fontId="64" fillId="23" borderId="21" xfId="22" applyNumberFormat="1" applyFont="1" applyFill="1" applyBorder="1"/>
    <xf numFmtId="180" fontId="0" fillId="0" borderId="0" xfId="1" applyNumberFormat="1" applyFont="1" applyBorder="1" applyAlignment="1" applyProtection="1"/>
    <xf numFmtId="0" fontId="73" fillId="8" borderId="32" xfId="22" applyFont="1" applyFill="1" applyBorder="1" applyAlignment="1">
      <alignment vertical="center"/>
    </xf>
    <xf numFmtId="0" fontId="73" fillId="8" borderId="63" xfId="22" applyFont="1" applyFill="1" applyBorder="1" applyAlignment="1">
      <alignment vertical="center"/>
    </xf>
    <xf numFmtId="49" fontId="15" fillId="40" borderId="33" xfId="30" applyNumberFormat="1" applyFont="1" applyFill="1" applyBorder="1" applyAlignment="1">
      <alignment horizontal="right"/>
    </xf>
    <xf numFmtId="10" fontId="20" fillId="23" borderId="21" xfId="22" applyNumberFormat="1" applyFont="1" applyFill="1" applyBorder="1"/>
    <xf numFmtId="10" fontId="20" fillId="36" borderId="21" xfId="22" applyNumberFormat="1" applyFont="1" applyFill="1" applyBorder="1"/>
    <xf numFmtId="10" fontId="20" fillId="2" borderId="21" xfId="22" applyNumberFormat="1" applyFont="1" applyFill="1" applyBorder="1"/>
    <xf numFmtId="10" fontId="20" fillId="7" borderId="21" xfId="22" applyNumberFormat="1" applyFont="1" applyFill="1" applyBorder="1"/>
    <xf numFmtId="10" fontId="17" fillId="0" borderId="0" xfId="22" applyNumberFormat="1" applyFont="1" applyAlignment="1">
      <alignment wrapText="1"/>
    </xf>
    <xf numFmtId="10" fontId="17" fillId="36" borderId="21" xfId="22" applyNumberFormat="1" applyFont="1" applyFill="1" applyBorder="1"/>
    <xf numFmtId="0" fontId="89" fillId="0" borderId="0" xfId="22" applyFont="1" applyAlignment="1">
      <alignment horizontal="right"/>
    </xf>
    <xf numFmtId="10" fontId="88" fillId="2" borderId="21" xfId="22" applyNumberFormat="1" applyFont="1" applyFill="1" applyBorder="1"/>
    <xf numFmtId="0" fontId="90" fillId="0" borderId="0" xfId="22" applyFont="1"/>
    <xf numFmtId="49" fontId="91" fillId="40" borderId="44" xfId="30" applyNumberFormat="1" applyFont="1" applyFill="1" applyBorder="1" applyAlignment="1">
      <alignment horizontal="right"/>
    </xf>
    <xf numFmtId="10" fontId="92" fillId="23" borderId="21" xfId="22" applyNumberFormat="1" applyFont="1" applyFill="1" applyBorder="1"/>
    <xf numFmtId="10" fontId="72" fillId="36" borderId="21" xfId="22" applyNumberFormat="1" applyFont="1" applyFill="1" applyBorder="1"/>
    <xf numFmtId="3" fontId="0" fillId="0" borderId="0" xfId="0" applyNumberFormat="1"/>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1" fillId="41" borderId="0" xfId="22" applyFont="1" applyFill="1"/>
    <xf numFmtId="0" fontId="1" fillId="15" borderId="0" xfId="22" applyFont="1" applyFill="1"/>
    <xf numFmtId="0" fontId="1" fillId="7" borderId="0" xfId="22" applyFont="1" applyFill="1" applyAlignment="1"/>
    <xf numFmtId="0" fontId="1" fillId="7" borderId="0" xfId="22" applyFont="1" applyFill="1"/>
    <xf numFmtId="0" fontId="20" fillId="7" borderId="0" xfId="22" applyFont="1" applyFill="1"/>
    <xf numFmtId="3" fontId="1" fillId="24" borderId="0" xfId="22" applyNumberFormat="1" applyFill="1"/>
    <xf numFmtId="3" fontId="1" fillId="42" borderId="0" xfId="22" applyNumberFormat="1" applyFill="1"/>
    <xf numFmtId="0" fontId="1" fillId="42" borderId="0" xfId="22" applyFill="1"/>
    <xf numFmtId="0" fontId="1" fillId="2" borderId="0" xfId="22" applyFill="1"/>
    <xf numFmtId="0" fontId="37" fillId="0" borderId="0" xfId="22" applyFont="1"/>
    <xf numFmtId="177" fontId="82" fillId="7" borderId="0" xfId="20" applyNumberFormat="1" applyFont="1" applyFill="1" applyBorder="1" applyAlignment="1" applyProtection="1">
      <alignment horizontal="right"/>
    </xf>
    <xf numFmtId="0" fontId="72" fillId="0" borderId="0" xfId="22" applyFont="1"/>
    <xf numFmtId="0" fontId="1" fillId="0" borderId="58" xfId="22" applyBorder="1"/>
    <xf numFmtId="3" fontId="1" fillId="7" borderId="58" xfId="22" applyNumberFormat="1" applyFill="1" applyBorder="1"/>
    <xf numFmtId="3" fontId="1" fillId="24" borderId="58" xfId="22" applyNumberFormat="1" applyFill="1" applyBorder="1"/>
    <xf numFmtId="10" fontId="70" fillId="0" borderId="0" xfId="22" applyNumberFormat="1" applyFont="1" applyAlignment="1">
      <alignment wrapText="1"/>
    </xf>
    <xf numFmtId="3" fontId="1" fillId="38" borderId="0" xfId="22" applyNumberFormat="1" applyFill="1"/>
    <xf numFmtId="10" fontId="1" fillId="7" borderId="0" xfId="22" applyNumberFormat="1" applyFill="1"/>
    <xf numFmtId="10" fontId="1" fillId="24" borderId="0" xfId="22" applyNumberFormat="1" applyFill="1"/>
    <xf numFmtId="10" fontId="1" fillId="2" borderId="0" xfId="22" applyNumberFormat="1" applyFill="1"/>
    <xf numFmtId="10" fontId="1" fillId="0" borderId="0" xfId="22" applyNumberFormat="1" applyAlignment="1">
      <alignment horizontal="center"/>
    </xf>
    <xf numFmtId="10" fontId="1" fillId="42" borderId="0" xfId="22" applyNumberFormat="1" applyFill="1"/>
    <xf numFmtId="10" fontId="1" fillId="7" borderId="0" xfId="22" applyNumberFormat="1" applyFont="1" applyFill="1"/>
    <xf numFmtId="171" fontId="11" fillId="0" borderId="0" xfId="30" applyNumberFormat="1" applyFont="1"/>
    <xf numFmtId="0" fontId="1" fillId="0" borderId="0" xfId="22" applyAlignment="1">
      <alignment horizontal="justify"/>
    </xf>
    <xf numFmtId="10" fontId="1" fillId="2" borderId="0" xfId="22" applyNumberFormat="1" applyFont="1" applyFill="1"/>
    <xf numFmtId="10" fontId="1" fillId="38" borderId="0" xfId="22" applyNumberFormat="1" applyFill="1"/>
    <xf numFmtId="10" fontId="82" fillId="7" borderId="0" xfId="20" applyNumberFormat="1" applyFont="1" applyFill="1" applyBorder="1" applyAlignment="1" applyProtection="1">
      <alignment horizontal="right"/>
    </xf>
    <xf numFmtId="0" fontId="1" fillId="38" borderId="0" xfId="22" applyFill="1"/>
    <xf numFmtId="10" fontId="97" fillId="10" borderId="0" xfId="0" applyNumberFormat="1" applyFont="1" applyFill="1" applyAlignment="1">
      <alignment horizontal="right" wrapText="1"/>
    </xf>
    <xf numFmtId="0" fontId="97" fillId="10" borderId="0" xfId="0" applyFont="1" applyFill="1" applyAlignment="1">
      <alignment horizontal="left" wrapText="1"/>
    </xf>
    <xf numFmtId="10" fontId="1" fillId="0" borderId="0" xfId="22" applyNumberFormat="1" applyFont="1"/>
    <xf numFmtId="10" fontId="98" fillId="0" borderId="0" xfId="0" applyNumberFormat="1" applyFont="1" applyAlignment="1">
      <alignment horizontal="right" wrapText="1"/>
    </xf>
    <xf numFmtId="10" fontId="97" fillId="0" borderId="0" xfId="0" applyNumberFormat="1" applyFont="1" applyAlignment="1">
      <alignment horizontal="right" wrapText="1"/>
    </xf>
    <xf numFmtId="10" fontId="97" fillId="43" borderId="0" xfId="0" applyNumberFormat="1" applyFont="1" applyFill="1" applyAlignment="1">
      <alignment horizontal="right" wrapText="1"/>
    </xf>
    <xf numFmtId="10" fontId="97" fillId="7" borderId="0" xfId="0" applyNumberFormat="1" applyFont="1" applyFill="1" applyAlignment="1">
      <alignment horizontal="right" wrapText="1"/>
    </xf>
    <xf numFmtId="10" fontId="84" fillId="44" borderId="0" xfId="22" applyNumberFormat="1" applyFont="1" applyFill="1" applyAlignment="1">
      <alignment horizontal="right"/>
    </xf>
    <xf numFmtId="0" fontId="84" fillId="44" borderId="0" xfId="22" applyFont="1" applyFill="1"/>
    <xf numFmtId="10" fontId="62" fillId="0" borderId="0" xfId="22" applyNumberFormat="1" applyFont="1" applyAlignment="1">
      <alignment horizontal="right"/>
    </xf>
    <xf numFmtId="10" fontId="84" fillId="0" borderId="0" xfId="22" applyNumberFormat="1" applyFont="1" applyAlignment="1">
      <alignment horizontal="right"/>
    </xf>
    <xf numFmtId="10" fontId="84" fillId="32" borderId="0" xfId="22" applyNumberFormat="1" applyFont="1" applyFill="1" applyAlignment="1">
      <alignment horizontal="right"/>
    </xf>
    <xf numFmtId="10" fontId="84" fillId="7" borderId="0" xfId="22" applyNumberFormat="1" applyFont="1" applyFill="1" applyAlignment="1">
      <alignment horizontal="right"/>
    </xf>
    <xf numFmtId="0" fontId="1" fillId="30" borderId="0" xfId="22" applyFill="1"/>
    <xf numFmtId="10" fontId="84" fillId="10" borderId="0" xfId="22" applyNumberFormat="1" applyFont="1" applyFill="1" applyAlignment="1">
      <alignment horizontal="right"/>
    </xf>
    <xf numFmtId="10" fontId="84" fillId="29" borderId="0" xfId="22" applyNumberFormat="1" applyFont="1" applyFill="1" applyAlignment="1">
      <alignment horizontal="right"/>
    </xf>
    <xf numFmtId="0" fontId="0" fillId="45" borderId="0" xfId="0" applyFill="1"/>
    <xf numFmtId="0" fontId="0" fillId="45" borderId="0" xfId="0" applyFont="1" applyFill="1" applyAlignment="1">
      <alignment wrapText="1"/>
    </xf>
    <xf numFmtId="0" fontId="0" fillId="46" borderId="0" xfId="0" applyFill="1" applyAlignment="1">
      <alignment wrapText="1"/>
    </xf>
    <xf numFmtId="0" fontId="0" fillId="34" borderId="0" xfId="0" applyFill="1"/>
    <xf numFmtId="9" fontId="0" fillId="34" borderId="0" xfId="2" applyFont="1" applyFill="1" applyBorder="1" applyAlignment="1" applyProtection="1"/>
    <xf numFmtId="2" fontId="0" fillId="34" borderId="0" xfId="0" applyNumberFormat="1" applyFill="1"/>
    <xf numFmtId="0" fontId="0" fillId="47" borderId="0" xfId="0" applyFill="1"/>
    <xf numFmtId="184" fontId="0" fillId="47" borderId="0" xfId="2" applyNumberFormat="1" applyFont="1" applyFill="1" applyBorder="1" applyAlignment="1" applyProtection="1"/>
    <xf numFmtId="0" fontId="0" fillId="7" borderId="0" xfId="0" applyFill="1"/>
    <xf numFmtId="9" fontId="0" fillId="7" borderId="0" xfId="2" applyFont="1" applyFill="1" applyBorder="1" applyAlignment="1" applyProtection="1"/>
    <xf numFmtId="2" fontId="0" fillId="7" borderId="0" xfId="0" applyNumberFormat="1" applyFill="1"/>
    <xf numFmtId="184" fontId="0" fillId="7" borderId="0" xfId="2" applyNumberFormat="1" applyFont="1" applyFill="1" applyBorder="1" applyAlignment="1" applyProtection="1"/>
    <xf numFmtId="9" fontId="0" fillId="0" borderId="0" xfId="2" applyFont="1" applyBorder="1" applyAlignment="1" applyProtection="1"/>
    <xf numFmtId="0" fontId="0" fillId="48" borderId="0" xfId="0" applyFill="1"/>
    <xf numFmtId="3" fontId="0" fillId="48" borderId="0" xfId="0" applyNumberFormat="1" applyFill="1" applyAlignment="1">
      <alignment wrapText="1"/>
    </xf>
    <xf numFmtId="0" fontId="0" fillId="48" borderId="0" xfId="0" applyFill="1" applyAlignment="1">
      <alignment wrapText="1"/>
    </xf>
    <xf numFmtId="0" fontId="0" fillId="49" borderId="0" xfId="0" applyFill="1"/>
    <xf numFmtId="3" fontId="0" fillId="49" borderId="0" xfId="0" applyNumberFormat="1" applyFill="1"/>
    <xf numFmtId="3" fontId="0" fillId="7" borderId="0" xfId="0" applyNumberFormat="1" applyFill="1"/>
    <xf numFmtId="3" fontId="0" fillId="0" borderId="0" xfId="0" applyNumberFormat="1" applyFont="1"/>
    <xf numFmtId="0" fontId="1" fillId="8" borderId="0" xfId="22" applyFont="1" applyFill="1" applyAlignment="1">
      <alignment wrapText="1"/>
    </xf>
    <xf numFmtId="0" fontId="15" fillId="35" borderId="33" xfId="30" applyFont="1" applyFill="1" applyBorder="1" applyAlignment="1">
      <alignment horizontal="right"/>
    </xf>
    <xf numFmtId="10" fontId="6" fillId="32" borderId="21" xfId="31" applyNumberFormat="1" applyFill="1" applyBorder="1" applyAlignment="1" applyProtection="1"/>
    <xf numFmtId="0" fontId="38" fillId="48" borderId="32" xfId="22" applyFont="1" applyFill="1" applyBorder="1" applyAlignment="1">
      <alignment horizontal="justify" vertical="center"/>
    </xf>
    <xf numFmtId="10" fontId="6" fillId="50" borderId="21" xfId="31" applyNumberFormat="1" applyFill="1" applyBorder="1" applyAlignment="1" applyProtection="1"/>
    <xf numFmtId="184" fontId="1" fillId="0" borderId="0" xfId="2" applyNumberFormat="1" applyFont="1" applyBorder="1" applyAlignment="1" applyProtection="1"/>
    <xf numFmtId="184" fontId="1" fillId="0" borderId="0" xfId="22" applyNumberFormat="1"/>
    <xf numFmtId="10" fontId="6" fillId="7" borderId="21" xfId="31" applyNumberFormat="1" applyFill="1" applyBorder="1" applyAlignment="1" applyProtection="1"/>
    <xf numFmtId="0" fontId="38" fillId="48" borderId="21" xfId="22" applyFont="1" applyFill="1" applyBorder="1" applyAlignment="1">
      <alignment horizontal="justify" vertical="center"/>
    </xf>
    <xf numFmtId="10" fontId="1" fillId="0" borderId="0" xfId="2" applyNumberFormat="1" applyFont="1" applyBorder="1" applyAlignment="1" applyProtection="1"/>
    <xf numFmtId="0" fontId="1" fillId="51" borderId="0" xfId="22" applyFill="1"/>
    <xf numFmtId="184" fontId="1" fillId="51" borderId="0" xfId="2" applyNumberFormat="1" applyFont="1" applyFill="1" applyBorder="1" applyAlignment="1" applyProtection="1"/>
    <xf numFmtId="184" fontId="1" fillId="51" borderId="0" xfId="22" applyNumberFormat="1" applyFill="1"/>
    <xf numFmtId="185" fontId="1" fillId="0" borderId="0" xfId="22" applyNumberFormat="1"/>
    <xf numFmtId="184" fontId="100" fillId="51" borderId="0" xfId="22" applyNumberFormat="1" applyFont="1" applyFill="1"/>
    <xf numFmtId="185" fontId="1" fillId="0" borderId="0" xfId="1" applyNumberFormat="1" applyFont="1" applyBorder="1" applyAlignment="1" applyProtection="1"/>
    <xf numFmtId="0" fontId="52" fillId="48" borderId="32" xfId="22" applyFont="1" applyFill="1" applyBorder="1" applyAlignment="1">
      <alignment vertical="center"/>
    </xf>
    <xf numFmtId="49" fontId="99" fillId="35" borderId="32" xfId="22" applyNumberFormat="1" applyFont="1" applyFill="1" applyBorder="1" applyAlignment="1">
      <alignment vertical="center"/>
    </xf>
    <xf numFmtId="184" fontId="6" fillId="50" borderId="21" xfId="31" applyNumberFormat="1" applyFill="1" applyBorder="1" applyAlignment="1" applyProtection="1"/>
    <xf numFmtId="184" fontId="101" fillId="50" borderId="21" xfId="31" applyNumberFormat="1" applyFont="1" applyFill="1" applyBorder="1" applyAlignment="1" applyProtection="1"/>
    <xf numFmtId="184" fontId="6" fillId="7" borderId="21" xfId="31" applyNumberFormat="1" applyFill="1" applyBorder="1" applyAlignment="1" applyProtection="1"/>
    <xf numFmtId="184" fontId="101" fillId="7" borderId="21" xfId="31" applyNumberFormat="1" applyFont="1" applyFill="1" applyBorder="1" applyAlignment="1" applyProtection="1"/>
    <xf numFmtId="10" fontId="0" fillId="0" borderId="0" xfId="0" applyNumberFormat="1"/>
    <xf numFmtId="178" fontId="102" fillId="0" borderId="0" xfId="1"/>
    <xf numFmtId="180" fontId="102" fillId="0" borderId="0" xfId="1" applyNumberFormat="1"/>
    <xf numFmtId="0" fontId="17" fillId="0" borderId="0" xfId="22" applyFont="1" applyBorder="1" applyAlignment="1" applyProtection="1">
      <alignment horizontal="center"/>
    </xf>
    <xf numFmtId="0" fontId="23" fillId="7" borderId="14" xfId="22" applyFont="1" applyFill="1" applyBorder="1" applyAlignment="1" applyProtection="1">
      <alignment horizontal="center"/>
    </xf>
    <xf numFmtId="0" fontId="19" fillId="9" borderId="20" xfId="30" applyFont="1" applyFill="1" applyBorder="1" applyAlignment="1">
      <alignment horizontal="center" vertical="center"/>
    </xf>
    <xf numFmtId="0" fontId="20" fillId="8" borderId="32" xfId="22" applyFont="1" applyFill="1" applyBorder="1" applyAlignment="1">
      <alignment horizontal="justify" vertical="center"/>
    </xf>
    <xf numFmtId="0" fontId="1" fillId="0" borderId="0" xfId="22" applyFont="1" applyBorder="1" applyAlignment="1">
      <alignment horizontal="center" vertical="center" wrapText="1"/>
    </xf>
    <xf numFmtId="49" fontId="37" fillId="39" borderId="34" xfId="30" applyNumberFormat="1" applyFont="1" applyFill="1" applyBorder="1" applyAlignment="1">
      <alignment horizontal="justify" vertical="center"/>
    </xf>
    <xf numFmtId="0" fontId="20" fillId="40" borderId="32" xfId="22" applyFont="1" applyFill="1" applyBorder="1" applyAlignment="1">
      <alignment horizontal="justify" vertical="center"/>
    </xf>
    <xf numFmtId="0" fontId="20" fillId="25" borderId="32" xfId="22" applyFont="1" applyFill="1" applyBorder="1" applyAlignment="1">
      <alignment horizontal="justify" vertical="center"/>
    </xf>
    <xf numFmtId="0" fontId="52" fillId="25" borderId="32" xfId="22" applyFont="1" applyFill="1" applyBorder="1" applyAlignment="1">
      <alignment horizontal="justify" vertical="center"/>
    </xf>
    <xf numFmtId="10" fontId="1" fillId="38" borderId="0" xfId="22" applyNumberFormat="1" applyFont="1" applyFill="1" applyBorder="1" applyAlignment="1">
      <alignment horizontal="justify" vertical="center"/>
    </xf>
    <xf numFmtId="10" fontId="1" fillId="37" borderId="0" xfId="22" applyNumberFormat="1" applyFill="1" applyBorder="1" applyAlignment="1">
      <alignment horizontal="center" vertical="center"/>
    </xf>
    <xf numFmtId="0" fontId="1" fillId="25" borderId="32" xfId="22" applyFont="1" applyFill="1" applyBorder="1" applyAlignment="1">
      <alignment horizontal="justify" vertical="center"/>
    </xf>
    <xf numFmtId="0" fontId="1" fillId="25" borderId="32" xfId="22" applyFont="1" applyFill="1" applyBorder="1" applyAlignment="1">
      <alignment horizontal="center" wrapText="1"/>
    </xf>
    <xf numFmtId="0" fontId="1" fillId="25" borderId="32" xfId="22" applyFont="1" applyFill="1" applyBorder="1" applyAlignment="1">
      <alignment horizontal="center" vertical="center"/>
    </xf>
    <xf numFmtId="0" fontId="1" fillId="0" borderId="0" xfId="22" applyFont="1" applyBorder="1" applyAlignment="1">
      <alignment horizontal="center" vertical="center"/>
    </xf>
    <xf numFmtId="0" fontId="64" fillId="25" borderId="32" xfId="22" applyFont="1" applyFill="1" applyBorder="1" applyAlignment="1">
      <alignment horizontal="justify" vertical="center"/>
    </xf>
    <xf numFmtId="0" fontId="52" fillId="25" borderId="32" xfId="22" applyFont="1" applyFill="1" applyBorder="1" applyAlignment="1">
      <alignment horizontal="center" wrapText="1"/>
    </xf>
    <xf numFmtId="0" fontId="20" fillId="25" borderId="32" xfId="22" applyFont="1" applyFill="1" applyBorder="1" applyAlignment="1">
      <alignment horizontal="center" vertical="center"/>
    </xf>
    <xf numFmtId="0" fontId="1" fillId="35" borderId="32" xfId="22" applyFont="1" applyFill="1" applyBorder="1" applyAlignment="1">
      <alignment horizontal="justify" vertical="center"/>
    </xf>
    <xf numFmtId="49" fontId="37" fillId="7" borderId="34" xfId="30" applyNumberFormat="1" applyFont="1" applyFill="1" applyBorder="1" applyAlignment="1">
      <alignment horizontal="justify" vertical="center"/>
    </xf>
    <xf numFmtId="0" fontId="64" fillId="35" borderId="32" xfId="22" applyFont="1" applyFill="1" applyBorder="1" applyAlignment="1">
      <alignment horizontal="center" wrapText="1"/>
    </xf>
    <xf numFmtId="0" fontId="64" fillId="35" borderId="32" xfId="22" applyFont="1" applyFill="1" applyBorder="1" applyAlignment="1">
      <alignment horizontal="justify" vertical="center"/>
    </xf>
    <xf numFmtId="0" fontId="52" fillId="35" borderId="32" xfId="22" applyFont="1" applyFill="1" applyBorder="1" applyAlignment="1">
      <alignment horizontal="justify" vertical="center"/>
    </xf>
    <xf numFmtId="0" fontId="1" fillId="7" borderId="34" xfId="22" applyFont="1" applyFill="1" applyBorder="1" applyAlignment="1">
      <alignment horizontal="justify" vertical="center" wrapText="1"/>
    </xf>
    <xf numFmtId="0" fontId="61" fillId="33" borderId="3" xfId="22" applyFont="1" applyFill="1" applyBorder="1" applyAlignment="1">
      <alignment horizontal="justify" vertical="center"/>
    </xf>
    <xf numFmtId="49" fontId="37" fillId="0" borderId="34" xfId="30" applyNumberFormat="1" applyFont="1" applyBorder="1" applyAlignment="1">
      <alignment horizontal="justify" vertical="center"/>
    </xf>
    <xf numFmtId="0" fontId="64" fillId="35" borderId="32" xfId="22" applyFont="1" applyFill="1" applyBorder="1" applyAlignment="1">
      <alignment horizontal="center" vertical="center"/>
    </xf>
    <xf numFmtId="0" fontId="20" fillId="35" borderId="32" xfId="22" applyFont="1" applyFill="1" applyBorder="1" applyAlignment="1">
      <alignment horizontal="justify" vertical="center"/>
    </xf>
    <xf numFmtId="0" fontId="1" fillId="0" borderId="0" xfId="22" applyFont="1" applyBorder="1" applyAlignment="1">
      <alignment horizontal="justify" vertical="center"/>
    </xf>
    <xf numFmtId="0" fontId="1" fillId="41" borderId="0" xfId="22" applyFont="1" applyFill="1" applyBorder="1" applyAlignment="1">
      <alignment horizontal="center" vertical="center"/>
    </xf>
    <xf numFmtId="0" fontId="1" fillId="15" borderId="0" xfId="22" applyFont="1" applyFill="1" applyBorder="1" applyAlignment="1">
      <alignment horizontal="center" vertical="center"/>
    </xf>
    <xf numFmtId="0" fontId="1" fillId="33" borderId="0" xfId="22" applyFont="1" applyFill="1" applyBorder="1" applyAlignment="1">
      <alignment horizontal="center" vertical="center"/>
    </xf>
    <xf numFmtId="0" fontId="52" fillId="48" borderId="32" xfId="22" applyFont="1" applyFill="1" applyBorder="1" applyAlignment="1">
      <alignment horizontal="justify" vertical="center"/>
    </xf>
    <xf numFmtId="0" fontId="99" fillId="35" borderId="32" xfId="22" applyFont="1" applyFill="1" applyBorder="1" applyAlignment="1">
      <alignment horizontal="justify" vertical="center"/>
    </xf>
    <xf numFmtId="0" fontId="99" fillId="35" borderId="32" xfId="22" applyFont="1" applyFill="1" applyBorder="1" applyAlignment="1">
      <alignment horizontal="center" wrapText="1"/>
    </xf>
    <xf numFmtId="49" fontId="99" fillId="35" borderId="32" xfId="22" applyNumberFormat="1" applyFont="1" applyFill="1" applyBorder="1" applyAlignment="1">
      <alignment horizontal="justify" vertical="center"/>
    </xf>
    <xf numFmtId="0" fontId="99" fillId="35" borderId="32" xfId="22" applyFont="1" applyFill="1" applyBorder="1" applyAlignment="1">
      <alignment horizontal="left" wrapText="1"/>
    </xf>
    <xf numFmtId="49" fontId="37" fillId="0" borderId="61" xfId="30" applyNumberFormat="1" applyFont="1" applyBorder="1" applyAlignment="1">
      <alignment horizontal="justify" vertical="center"/>
    </xf>
    <xf numFmtId="49" fontId="37" fillId="0" borderId="32" xfId="30" applyNumberFormat="1" applyFont="1" applyBorder="1" applyAlignment="1">
      <alignment horizontal="justify" vertical="center"/>
    </xf>
    <xf numFmtId="177" fontId="103" fillId="52" borderId="0" xfId="25" applyNumberFormat="1" applyFont="1" applyFill="1"/>
    <xf numFmtId="3" fontId="106" fillId="23" borderId="21" xfId="22" applyNumberFormat="1" applyFont="1" applyFill="1" applyBorder="1"/>
    <xf numFmtId="3" fontId="106" fillId="7" borderId="21" xfId="22" applyNumberFormat="1" applyFont="1" applyFill="1" applyBorder="1"/>
    <xf numFmtId="3" fontId="107" fillId="0" borderId="21" xfId="0" applyNumberFormat="1" applyFont="1" applyBorder="1" applyAlignment="1" applyProtection="1">
      <alignment horizontal="right" vertical="center" wrapText="1"/>
    </xf>
    <xf numFmtId="10" fontId="102" fillId="0" borderId="0" xfId="2" applyNumberFormat="1"/>
    <xf numFmtId="49" fontId="12" fillId="53" borderId="33" xfId="30" applyNumberFormat="1" applyFont="1" applyFill="1" applyBorder="1" applyAlignment="1">
      <alignment horizontal="right"/>
    </xf>
    <xf numFmtId="49" fontId="12" fillId="53" borderId="44" xfId="30" applyNumberFormat="1" applyFont="1" applyFill="1" applyBorder="1" applyAlignment="1">
      <alignment horizontal="right"/>
    </xf>
    <xf numFmtId="0" fontId="20" fillId="53" borderId="32" xfId="22" applyFont="1" applyFill="1" applyBorder="1" applyAlignment="1">
      <alignment horizontal="justify" vertical="center"/>
    </xf>
    <xf numFmtId="0" fontId="52" fillId="53" borderId="32" xfId="22" applyFont="1" applyFill="1" applyBorder="1" applyAlignment="1">
      <alignment horizontal="justify" vertical="center"/>
    </xf>
  </cellXfs>
  <cellStyles count="33">
    <cellStyle name="ANCLAS,REZONES Y SUS PARTES,DE FUNDICION,DE HIERRO O DE ACERO" xfId="4"/>
    <cellStyle name="Excel Built-in Explanatory Text" xfId="32"/>
    <cellStyle name="F2" xfId="5"/>
    <cellStyle name="F2 2" xfId="6"/>
    <cellStyle name="F3" xfId="7"/>
    <cellStyle name="F3 2" xfId="8"/>
    <cellStyle name="F4" xfId="9"/>
    <cellStyle name="F4 2" xfId="10"/>
    <cellStyle name="F5" xfId="11"/>
    <cellStyle name="F5 2" xfId="12"/>
    <cellStyle name="F6" xfId="13"/>
    <cellStyle name="F6 2" xfId="14"/>
    <cellStyle name="F7" xfId="15"/>
    <cellStyle name="F7 2" xfId="16"/>
    <cellStyle name="F8" xfId="17"/>
    <cellStyle name="F8 2" xfId="18"/>
    <cellStyle name="Hipervínculo" xfId="3" builtinId="8"/>
    <cellStyle name="Millares" xfId="1" builtinId="3"/>
    <cellStyle name="Millares [0]_aifes" xfId="20"/>
    <cellStyle name="Millares 2" xfId="19"/>
    <cellStyle name="Millares_Apctasnacionles" xfId="21"/>
    <cellStyle name="Normal" xfId="0" builtinId="0"/>
    <cellStyle name="Normal 2" xfId="22"/>
    <cellStyle name="Normal 2 2" xfId="23"/>
    <cellStyle name="Normal 2 3" xfId="24"/>
    <cellStyle name="Normal 3" xfId="25"/>
    <cellStyle name="Normal 4" xfId="26"/>
    <cellStyle name="Normal 5" xfId="27"/>
    <cellStyle name="Normal 6" xfId="28"/>
    <cellStyle name="Normal 7" xfId="29"/>
    <cellStyle name="Normal_resu-2-com.ext" xfId="30"/>
    <cellStyle name="Porcentaje" xfId="2" builtinId="5"/>
    <cellStyle name="Porcentaje 2" xfId="3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BDD7EE"/>
      <rgbColor rgb="FF0000B3"/>
      <rgbColor rgb="FF808000"/>
      <rgbColor rgb="FF800080"/>
      <rgbColor rgb="FF008080"/>
      <rgbColor rgb="FFC5CAC3"/>
      <rgbColor rgb="FF808080"/>
      <rgbColor rgb="FF9999FF"/>
      <rgbColor rgb="FF993366"/>
      <rgbColor rgb="FFFFFFCC"/>
      <rgbColor rgb="FFCCFFFF"/>
      <rgbColor rgb="FF660066"/>
      <rgbColor rgb="FFFF8080"/>
      <rgbColor rgb="FF035ADA"/>
      <rgbColor rgb="FFCCCCFF"/>
      <rgbColor rgb="FFFFF2CC"/>
      <rgbColor rgb="FFD6D8D7"/>
      <rgbColor rgb="FFFFC000"/>
      <rgbColor rgb="FF66CCFF"/>
      <rgbColor rgb="FFD9D9D9"/>
      <rgbColor rgb="FFFFE699"/>
      <rgbColor rgb="FF487EE6"/>
      <rgbColor rgb="FFE2F0D9"/>
      <rgbColor rgb="FF00CCFF"/>
      <rgbColor rgb="FFE6F0EA"/>
      <rgbColor rgb="FFCCFFCC"/>
      <rgbColor rgb="FFFFFF97"/>
      <rgbColor rgb="FF99CCFF"/>
      <rgbColor rgb="FFFF99CC"/>
      <rgbColor rgb="FFB4C7E7"/>
      <rgbColor rgb="FFFFCA9E"/>
      <rgbColor rgb="FF3366FF"/>
      <rgbColor rgb="FF33CCCC"/>
      <rgbColor rgb="FF99CC00"/>
      <rgbColor rgb="FFFFCC00"/>
      <rgbColor rgb="FFF18028"/>
      <rgbColor rgb="FFFF6400"/>
      <rgbColor rgb="FF666699"/>
      <rgbColor rgb="FFA6A6A6"/>
      <rgbColor rgb="FF003366"/>
      <rgbColor rgb="FF70A43F"/>
      <rgbColor rgb="FF003300"/>
      <rgbColor rgb="FF363608"/>
      <rgbColor rgb="FF993300"/>
      <rgbColor rgb="FF595959"/>
      <rgbColor rgb="FF353ECC"/>
      <rgbColor rgb="FF3E556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300" b="0" strike="noStrike" spc="-1">
                <a:solidFill>
                  <a:srgbClr val="000000"/>
                </a:solidFill>
                <a:latin typeface="Arial"/>
                <a:ea typeface="Arial"/>
              </a:defRPr>
            </a:pPr>
            <a:r>
              <a:rPr lang="es-AR" sz="1300" b="0" strike="noStrike" spc="-1">
                <a:solidFill>
                  <a:srgbClr val="000000"/>
                </a:solidFill>
                <a:latin typeface="Arial"/>
                <a:ea typeface="Arial"/>
              </a:rPr>
              <a:t>Cuentas ANSES 1993-2015 , definiciones varias
sub-title
sub-title</a:t>
            </a:r>
          </a:p>
        </c:rich>
      </c:tx>
      <c:layout>
        <c:manualLayout>
          <c:xMode val="edge"/>
          <c:yMode val="edge"/>
          <c:x val="0.38079184927145399"/>
          <c:y val="0.138332652227217"/>
        </c:manualLayout>
      </c:layout>
      <c:overlay val="0"/>
      <c:spPr>
        <a:noFill/>
        <a:ln w="25560">
          <a:noFill/>
        </a:ln>
      </c:spPr>
    </c:title>
    <c:autoTitleDeleted val="0"/>
    <c:plotArea>
      <c:layout>
        <c:manualLayout>
          <c:layoutTarget val="inner"/>
          <c:xMode val="edge"/>
          <c:yMode val="edge"/>
          <c:x val="0.185751208000899"/>
          <c:y val="0.67014030785996503"/>
          <c:w val="0.31883732254560399"/>
          <c:h val="0.26556327475820701"/>
        </c:manualLayout>
      </c:layout>
      <c:lineChart>
        <c:grouping val="standard"/>
        <c:varyColors val="0"/>
        <c:ser>
          <c:idx val="0"/>
          <c:order val="0"/>
          <c:tx>
            <c:strRef>
              <c:f>'Cuenta Ahorro-Inversión-Financi'!$AD$40:$AD$41</c:f>
              <c:strCache>
                <c:ptCount val="2"/>
                <c:pt idx="0">
                  <c:v>Resultado económico ahorro-desahorro, % PIB sin coparticipación</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Ahorro-Inversión-Financi'!$AD$42:$AD$64</c:f>
              <c:numCache>
                <c:formatCode>0.00%</c:formatCode>
                <c:ptCount val="23"/>
                <c:pt idx="0">
                  <c:v>-5.5445260067971125E-4</c:v>
                </c:pt>
                <c:pt idx="1">
                  <c:v>-7.0192320705870087E-3</c:v>
                </c:pt>
                <c:pt idx="2">
                  <c:v>-2.7768608277129597E-3</c:v>
                </c:pt>
                <c:pt idx="3">
                  <c:v>-9.6999596370404492E-3</c:v>
                </c:pt>
                <c:pt idx="4">
                  <c:v>-1.4487372045498201E-3</c:v>
                </c:pt>
                <c:pt idx="5">
                  <c:v>-8.4928322248995422E-3</c:v>
                </c:pt>
                <c:pt idx="6">
                  <c:v>-1.3639259195449248E-2</c:v>
                </c:pt>
                <c:pt idx="7">
                  <c:v>-1.2686070357183749E-2</c:v>
                </c:pt>
                <c:pt idx="8">
                  <c:v>-1.6193936629545637E-2</c:v>
                </c:pt>
                <c:pt idx="9">
                  <c:v>-1.5978989819171598E-2</c:v>
                </c:pt>
                <c:pt idx="10">
                  <c:v>-9.9335712453030925E-3</c:v>
                </c:pt>
                <c:pt idx="11">
                  <c:v>-3.2607252366677539E-3</c:v>
                </c:pt>
                <c:pt idx="12">
                  <c:v>-4.1302541031230933E-4</c:v>
                </c:pt>
                <c:pt idx="13">
                  <c:v>1.328519025911877E-3</c:v>
                </c:pt>
                <c:pt idx="14">
                  <c:v>2.8839654610723284E-3</c:v>
                </c:pt>
                <c:pt idx="15">
                  <c:v>-1.4896904491107366E-4</c:v>
                </c:pt>
                <c:pt idx="16">
                  <c:v>6.9701353098423485E-3</c:v>
                </c:pt>
                <c:pt idx="17">
                  <c:v>5.9626408644446877E-3</c:v>
                </c:pt>
                <c:pt idx="18">
                  <c:v>6.5739529694240073E-3</c:v>
                </c:pt>
                <c:pt idx="19">
                  <c:v>6.2238509474356607E-3</c:v>
                </c:pt>
                <c:pt idx="20">
                  <c:v>5.0343464318649972E-3</c:v>
                </c:pt>
                <c:pt idx="21">
                  <c:v>5.5319819098918477E-3</c:v>
                </c:pt>
                <c:pt idx="22">
                  <c:v>-1.2593701597599094E-4</c:v>
                </c:pt>
              </c:numCache>
            </c:numRef>
          </c:val>
          <c:smooth val="0"/>
          <c:extLst>
            <c:ext xmlns:c16="http://schemas.microsoft.com/office/drawing/2014/chart" uri="{C3380CC4-5D6E-409C-BE32-E72D297353CC}">
              <c16:uniqueId val="{00000000-AE17-4E6E-A951-75D0424FF9C3}"/>
            </c:ext>
          </c:extLst>
        </c:ser>
        <c:ser>
          <c:idx val="1"/>
          <c:order val="1"/>
          <c:tx>
            <c:strRef>
              <c:f>'Cuenta Ahorro-Inversión-Financi'!$AE$40:$AE$41</c:f>
              <c:strCache>
                <c:ptCount val="2"/>
                <c:pt idx="0">
                  <c:v>Contribuciones – prestaciones, seguridad social,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Ahorro-Inversión-Financi'!$AE$42:$AE$64</c:f>
              <c:numCache>
                <c:formatCode>0.00%</c:formatCode>
                <c:ptCount val="23"/>
                <c:pt idx="0">
                  <c:v>-7.284260278509154E-3</c:v>
                </c:pt>
                <c:pt idx="1">
                  <c:v>-1.5223785150204769E-2</c:v>
                </c:pt>
                <c:pt idx="2">
                  <c:v>-1.69283861734595E-2</c:v>
                </c:pt>
                <c:pt idx="3">
                  <c:v>-1.6777576778759545E-2</c:v>
                </c:pt>
                <c:pt idx="4">
                  <c:v>-1.5107806707943247E-2</c:v>
                </c:pt>
                <c:pt idx="5">
                  <c:v>-2.2693833624511481E-2</c:v>
                </c:pt>
                <c:pt idx="6">
                  <c:v>-2.6844125652415316E-2</c:v>
                </c:pt>
                <c:pt idx="7">
                  <c:v>-2.8230253499297354E-2</c:v>
                </c:pt>
                <c:pt idx="8">
                  <c:v>-2.8645661191729795E-2</c:v>
                </c:pt>
                <c:pt idx="9">
                  <c:v>-2.3890963104316588E-2</c:v>
                </c:pt>
                <c:pt idx="10">
                  <c:v>-2.0942835933801193E-2</c:v>
                </c:pt>
                <c:pt idx="11">
                  <c:v>-1.6847053027656812E-2</c:v>
                </c:pt>
                <c:pt idx="12">
                  <c:v>-1.3125613507706236E-2</c:v>
                </c:pt>
                <c:pt idx="13">
                  <c:v>-1.1584299371806488E-2</c:v>
                </c:pt>
                <c:pt idx="14">
                  <c:v>-1.0476059230476086E-2</c:v>
                </c:pt>
                <c:pt idx="15">
                  <c:v>-1.15256697440803E-2</c:v>
                </c:pt>
                <c:pt idx="16">
                  <c:v>-6.0461373750929706E-3</c:v>
                </c:pt>
                <c:pt idx="17">
                  <c:v>-2.6850136608430678E-3</c:v>
                </c:pt>
                <c:pt idx="18">
                  <c:v>-4.3684033956436288E-3</c:v>
                </c:pt>
                <c:pt idx="19">
                  <c:v>-8.1794091642627964E-3</c:v>
                </c:pt>
                <c:pt idx="20">
                  <c:v>-8.9203917235248578E-3</c:v>
                </c:pt>
                <c:pt idx="21">
                  <c:v>-1.0346115961213161E-2</c:v>
                </c:pt>
                <c:pt idx="22">
                  <c:v>-1.636076037362641E-2</c:v>
                </c:pt>
              </c:numCache>
            </c:numRef>
          </c:val>
          <c:smooth val="0"/>
          <c:extLst>
            <c:ext xmlns:c16="http://schemas.microsoft.com/office/drawing/2014/chart" uri="{C3380CC4-5D6E-409C-BE32-E72D297353CC}">
              <c16:uniqueId val="{00000001-AE17-4E6E-A951-75D0424FF9C3}"/>
            </c:ext>
          </c:extLst>
        </c:ser>
        <c:ser>
          <c:idx val="2"/>
          <c:order val="2"/>
          <c:tx>
            <c:strRef>
              <c:f>'Cuenta Ahorro-Inversión-Financi'!$AF$40:$AF$41</c:f>
              <c:strCache>
                <c:ptCount val="2"/>
                <c:pt idx="0">
                  <c:v>Ingresos extra FGS – gastos excluyendo PAMI, % PIB, sin coparticipación</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Ahorro-Inversión-Financi'!$AF$42:$AF$64</c:f>
              <c:numCache>
                <c:formatCode>0.00%</c:formatCode>
                <c:ptCount val="23"/>
                <c:pt idx="0">
                  <c:v>-8.9903152792855708E-3</c:v>
                </c:pt>
                <c:pt idx="1">
                  <c:v>-1.6719145681690872E-2</c:v>
                </c:pt>
                <c:pt idx="2">
                  <c:v>-1.1364235275191564E-2</c:v>
                </c:pt>
                <c:pt idx="3">
                  <c:v>-9.816482911780923E-3</c:v>
                </c:pt>
                <c:pt idx="4">
                  <c:v>-8.3332122152604115E-3</c:v>
                </c:pt>
                <c:pt idx="5">
                  <c:v>-7.23115636417857E-3</c:v>
                </c:pt>
                <c:pt idx="6">
                  <c:v>-1.2146071632738805E-2</c:v>
                </c:pt>
                <c:pt idx="7">
                  <c:v>-1.1568122052751803E-2</c:v>
                </c:pt>
                <c:pt idx="8">
                  <c:v>-1.4105079125131094E-2</c:v>
                </c:pt>
                <c:pt idx="9">
                  <c:v>-1.4295274995861832E-2</c:v>
                </c:pt>
                <c:pt idx="10">
                  <c:v>-9.9390309543201071E-3</c:v>
                </c:pt>
                <c:pt idx="11">
                  <c:v>-3.2838133336636813E-3</c:v>
                </c:pt>
                <c:pt idx="12">
                  <c:v>-4.7950126102735881E-4</c:v>
                </c:pt>
                <c:pt idx="13">
                  <c:v>9.2709022648037871E-4</c:v>
                </c:pt>
                <c:pt idx="14">
                  <c:v>2.1460366438887362E-3</c:v>
                </c:pt>
                <c:pt idx="15">
                  <c:v>-1.1209495952756942E-3</c:v>
                </c:pt>
                <c:pt idx="16">
                  <c:v>1.6917830666947613E-4</c:v>
                </c:pt>
                <c:pt idx="17">
                  <c:v>7.1824187174603787E-4</c:v>
                </c:pt>
                <c:pt idx="18">
                  <c:v>1.5080708914254623E-3</c:v>
                </c:pt>
                <c:pt idx="19">
                  <c:v>-3.5304571303948571E-4</c:v>
                </c:pt>
                <c:pt idx="20">
                  <c:v>-1.7969003199748562E-3</c:v>
                </c:pt>
                <c:pt idx="21">
                  <c:v>-2.8504333612224785E-3</c:v>
                </c:pt>
                <c:pt idx="22">
                  <c:v>-9.0571463408631956E-3</c:v>
                </c:pt>
              </c:numCache>
            </c:numRef>
          </c:val>
          <c:smooth val="0"/>
          <c:extLst>
            <c:ext xmlns:c16="http://schemas.microsoft.com/office/drawing/2014/chart" uri="{C3380CC4-5D6E-409C-BE32-E72D297353CC}">
              <c16:uniqueId val="{00000002-AE17-4E6E-A951-75D0424FF9C3}"/>
            </c:ext>
          </c:extLst>
        </c:ser>
        <c:ser>
          <c:idx val="3"/>
          <c:order val="3"/>
          <c:tx>
            <c:strRef>
              <c:f>'Cuenta Ahorro-Inversión-Financi'!$AG$40:$AG$41</c:f>
              <c:strCache>
                <c:ptCount val="2"/>
                <c:pt idx="0">
                  <c:v>Resultado económico ahorro-desahorro corregido PAMI, % PIB sin coparticipación</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Ahorro-Inversión-Financi'!$AC$42:$AC$64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Ahorro-Inversión-Financi'!$AG$42:$AG$64</c:f>
              <c:numCache>
                <c:formatCode>0.00%</c:formatCode>
                <c:ptCount val="23"/>
                <c:pt idx="0">
                  <c:v>-7.6345564120698442E-3</c:v>
                </c:pt>
                <c:pt idx="1">
                  <c:v>-1.6623826172002941E-2</c:v>
                </c:pt>
                <c:pt idx="2">
                  <c:v>-1.1332537754519097E-2</c:v>
                </c:pt>
                <c:pt idx="3">
                  <c:v>-9.6999596370404492E-3</c:v>
                </c:pt>
                <c:pt idx="4">
                  <c:v>-8.2249083147974272E-3</c:v>
                </c:pt>
                <c:pt idx="5">
                  <c:v>-7.1826600590303644E-3</c:v>
                </c:pt>
                <c:pt idx="6">
                  <c:v>-1.2137170742734994E-2</c:v>
                </c:pt>
                <c:pt idx="7">
                  <c:v>-1.1563041471358039E-2</c:v>
                </c:pt>
                <c:pt idx="8">
                  <c:v>-1.4103799621331098E-2</c:v>
                </c:pt>
                <c:pt idx="9">
                  <c:v>-1.4278091906323044E-2</c:v>
                </c:pt>
                <c:pt idx="10">
                  <c:v>-9.9335712453030856E-3</c:v>
                </c:pt>
                <c:pt idx="11">
                  <c:v>-3.2607252366677608E-3</c:v>
                </c:pt>
                <c:pt idx="12">
                  <c:v>-4.1302541031230239E-4</c:v>
                </c:pt>
                <c:pt idx="13">
                  <c:v>1.328519025911877E-3</c:v>
                </c:pt>
                <c:pt idx="14">
                  <c:v>2.8839654610723145E-3</c:v>
                </c:pt>
                <c:pt idx="15">
                  <c:v>-1.4896904491108753E-4</c:v>
                </c:pt>
                <c:pt idx="16">
                  <c:v>6.9701353098423346E-3</c:v>
                </c:pt>
                <c:pt idx="17">
                  <c:v>5.9626408644446738E-3</c:v>
                </c:pt>
                <c:pt idx="18">
                  <c:v>6.5739529694240073E-3</c:v>
                </c:pt>
                <c:pt idx="19">
                  <c:v>6.2238509474356607E-3</c:v>
                </c:pt>
                <c:pt idx="20">
                  <c:v>5.034346431865025E-3</c:v>
                </c:pt>
                <c:pt idx="21">
                  <c:v>5.5319819098918616E-3</c:v>
                </c:pt>
                <c:pt idx="22">
                  <c:v>-1.2593701597597706E-4</c:v>
                </c:pt>
              </c:numCache>
            </c:numRef>
          </c:val>
          <c:smooth val="0"/>
          <c:extLst>
            <c:ext xmlns:c16="http://schemas.microsoft.com/office/drawing/2014/chart" uri="{C3380CC4-5D6E-409C-BE32-E72D297353CC}">
              <c16:uniqueId val="{00000003-AE17-4E6E-A951-75D0424FF9C3}"/>
            </c:ext>
          </c:extLst>
        </c:ser>
        <c:dLbls>
          <c:showLegendKey val="0"/>
          <c:showVal val="0"/>
          <c:showCatName val="0"/>
          <c:showSerName val="0"/>
          <c:showPercent val="0"/>
          <c:showBubbleSize val="0"/>
        </c:dLbls>
        <c:hiLowLines>
          <c:spPr>
            <a:ln>
              <a:noFill/>
            </a:ln>
          </c:spPr>
        </c:hiLowLines>
        <c:marker val="1"/>
        <c:smooth val="0"/>
        <c:axId val="56178927"/>
        <c:axId val="32096490"/>
      </c:lineChart>
      <c:catAx>
        <c:axId val="56178927"/>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32096490"/>
        <c:crosses val="autoZero"/>
        <c:auto val="1"/>
        <c:lblAlgn val="ctr"/>
        <c:lblOffset val="100"/>
        <c:noMultiLvlLbl val="1"/>
      </c:catAx>
      <c:valAx>
        <c:axId val="3209649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56178927"/>
        <c:crossesAt val="1"/>
        <c:crossBetween val="midCat"/>
      </c:valAx>
      <c:spPr>
        <a:noFill/>
        <a:ln w="3240">
          <a:solidFill>
            <a:srgbClr val="A7A7A7"/>
          </a:solidFill>
          <a:round/>
        </a:ln>
      </c:spPr>
    </c:plotArea>
    <c:legend>
      <c:legendPos val="r"/>
      <c:layout>
        <c:manualLayout>
          <c:xMode val="edge"/>
          <c:yMode val="edge"/>
          <c:x val="0.14997939843428101"/>
          <c:y val="0.36057757798665002"/>
          <c:w val="0.713590050943962"/>
          <c:h val="6.906886451876570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Menores con acceso a una asignación familiar de ANSES</a:t>
            </a:r>
          </a:p>
        </c:rich>
      </c:tx>
      <c:layout/>
      <c:overlay val="0"/>
      <c:spPr>
        <a:noFill/>
        <a:ln>
          <a:noFill/>
        </a:ln>
      </c:spPr>
    </c:title>
    <c:autoTitleDeleted val="0"/>
    <c:plotArea>
      <c:layout/>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contribuyentes'!$K$5:$K$28</c:f>
              <c:numCache>
                <c:formatCode>0.0%</c:formatCode>
                <c:ptCount val="24"/>
                <c:pt idx="0">
                  <c:v>5.9132707766009962E-3</c:v>
                </c:pt>
                <c:pt idx="1">
                  <c:v>1.3031773828899548E-2</c:v>
                </c:pt>
                <c:pt idx="2">
                  <c:v>3.7343572537091974E-2</c:v>
                </c:pt>
                <c:pt idx="3">
                  <c:v>3.609056886778917E-2</c:v>
                </c:pt>
                <c:pt idx="4">
                  <c:v>3.6491797424597107E-2</c:v>
                </c:pt>
                <c:pt idx="5">
                  <c:v>4.2482619331599192E-2</c:v>
                </c:pt>
                <c:pt idx="6">
                  <c:v>4.0775323794718071E-2</c:v>
                </c:pt>
                <c:pt idx="7">
                  <c:v>5.2755095033639621E-2</c:v>
                </c:pt>
                <c:pt idx="8">
                  <c:v>4.4711858462140527E-2</c:v>
                </c:pt>
                <c:pt idx="9">
                  <c:v>5.705319319561987E-2</c:v>
                </c:pt>
                <c:pt idx="10">
                  <c:v>9.3323717114691104E-2</c:v>
                </c:pt>
                <c:pt idx="11">
                  <c:v>0.12701205890710263</c:v>
                </c:pt>
                <c:pt idx="12">
                  <c:v>0.15402780144904724</c:v>
                </c:pt>
                <c:pt idx="13">
                  <c:v>0.18408596602722191</c:v>
                </c:pt>
                <c:pt idx="14">
                  <c:v>0.24231054564797364</c:v>
                </c:pt>
                <c:pt idx="15">
                  <c:v>0.2599204160158885</c:v>
                </c:pt>
                <c:pt idx="16">
                  <c:v>0.28353316403093731</c:v>
                </c:pt>
                <c:pt idx="17">
                  <c:v>0.2563035616189463</c:v>
                </c:pt>
                <c:pt idx="18">
                  <c:v>0.2982804268896741</c:v>
                </c:pt>
                <c:pt idx="19">
                  <c:v>0.32756951643436383</c:v>
                </c:pt>
                <c:pt idx="20">
                  <c:v>0.29526736977493701</c:v>
                </c:pt>
                <c:pt idx="21">
                  <c:v>0.34754421200772179</c:v>
                </c:pt>
                <c:pt idx="22">
                  <c:v>0.37774033997675532</c:v>
                </c:pt>
                <c:pt idx="23">
                  <c:v>0.38653020837011354</c:v>
                </c:pt>
              </c:numCache>
            </c:numRef>
          </c:val>
          <c:extLst>
            <c:ext xmlns:c16="http://schemas.microsoft.com/office/drawing/2014/chart" uri="{C3380CC4-5D6E-409C-BE32-E72D297353CC}">
              <c16:uniqueId val="{00000000-E6E7-48D4-8EAB-CBA75232819C}"/>
            </c:ext>
          </c:extLst>
        </c:ser>
        <c:ser>
          <c:idx val="1"/>
          <c:order val="1"/>
          <c:tx>
            <c:strRef>
              <c:f>'Cobertura y contribuyentes'!$L$3</c:f>
              <c:strCache>
                <c:ptCount val="1"/>
                <c:pt idx="0">
                  <c:v>Menores con acceso a la AUH</c:v>
                </c:pt>
              </c:strCache>
            </c:strRef>
          </c:tx>
          <c:spPr>
            <a:solidFill>
              <a:srgbClr val="ED7D3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contribuyentes'!$J$5:$J$28</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cat>
          <c:val>
            <c:numRef>
              <c:f>'Cobertura y contribuyentes'!$L$5:$L$28</c:f>
              <c:numCache>
                <c:formatCode>0.0%</c:formatCode>
                <c:ptCount val="24"/>
                <c:pt idx="14">
                  <c:v>0.265905834578891</c:v>
                </c:pt>
                <c:pt idx="15">
                  <c:v>0.27491758019364371</c:v>
                </c:pt>
                <c:pt idx="16">
                  <c:v>0.27743240319584522</c:v>
                </c:pt>
                <c:pt idx="17">
                  <c:v>0.26541984060735785</c:v>
                </c:pt>
                <c:pt idx="18">
                  <c:v>0.26031641384661869</c:v>
                </c:pt>
                <c:pt idx="19">
                  <c:v>0.265648822789121</c:v>
                </c:pt>
                <c:pt idx="20">
                  <c:v>0.27559584541219723</c:v>
                </c:pt>
                <c:pt idx="21">
                  <c:v>0.29809686416947373</c:v>
                </c:pt>
                <c:pt idx="22">
                  <c:v>0.29930350075142381</c:v>
                </c:pt>
                <c:pt idx="23">
                  <c:v>0.30119300212248246</c:v>
                </c:pt>
              </c:numCache>
            </c:numRef>
          </c:val>
          <c:extLst>
            <c:ext xmlns:c16="http://schemas.microsoft.com/office/drawing/2014/chart" uri="{C3380CC4-5D6E-409C-BE32-E72D297353CC}">
              <c16:uniqueId val="{00000001-E6E7-48D4-8EAB-CBA75232819C}"/>
            </c:ext>
          </c:extLst>
        </c:ser>
        <c:dLbls>
          <c:showLegendKey val="0"/>
          <c:showVal val="0"/>
          <c:showCatName val="0"/>
          <c:showSerName val="0"/>
          <c:showPercent val="0"/>
          <c:showBubbleSize val="0"/>
        </c:dLbls>
        <c:gapWidth val="150"/>
        <c:overlap val="100"/>
        <c:axId val="98977328"/>
        <c:axId val="28159310"/>
      </c:barChart>
      <c:catAx>
        <c:axId val="9897732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28159310"/>
        <c:crosses val="autoZero"/>
        <c:auto val="1"/>
        <c:lblAlgn val="ctr"/>
        <c:lblOffset val="100"/>
        <c:noMultiLvlLbl val="1"/>
      </c:catAx>
      <c:valAx>
        <c:axId val="28159310"/>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98977328"/>
        <c:crosses val="autoZero"/>
        <c:crossBetween val="between"/>
      </c:valAx>
      <c:spPr>
        <a:noFill/>
        <a:ln>
          <a:noFill/>
        </a:ln>
      </c:spPr>
    </c:plotArea>
    <c:legend>
      <c:legendPos val="b"/>
      <c:layout/>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00">
                <a:solidFill>
                  <a:srgbClr val="595959"/>
                </a:solidFill>
                <a:latin typeface="Calibri"/>
              </a:defRPr>
            </a:pPr>
            <a:r>
              <a:rPr lang="es-AR" sz="1600" b="1" strike="noStrike" spc="100">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28329978351"/>
          <c:y val="0.142619151093727"/>
          <c:w val="0.87659994682669296"/>
          <c:h val="0.69288715051426897"/>
        </c:manualLayout>
      </c:layout>
      <c:lineChart>
        <c:grouping val="standard"/>
        <c:varyColors val="0"/>
        <c:ser>
          <c:idx val="0"/>
          <c:order val="0"/>
          <c:tx>
            <c:strRef>
              <c:f>'Cobertura y contribuyentes'!$K$31</c:f>
              <c:strCache>
                <c:ptCount val="1"/>
                <c:pt idx="0">
                  <c:v>Total de aportantes(1)</c:v>
                </c:pt>
              </c:strCache>
            </c:strRef>
          </c:tx>
          <c:spPr>
            <a:ln w="15840">
              <a:solidFill>
                <a:srgbClr val="5B9BD5"/>
              </a:solidFill>
              <a:round/>
            </a:ln>
          </c:spPr>
          <c:marker>
            <c:symbol val="diamond"/>
            <c:size val="9"/>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contribuyentes'!$K$32:$K$56</c:f>
              <c:numCache>
                <c:formatCode>#,##0</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9950337.666666666</c:v>
                </c:pt>
              </c:numCache>
            </c:numRef>
          </c:val>
          <c:smooth val="0"/>
          <c:extLst>
            <c:ext xmlns:c16="http://schemas.microsoft.com/office/drawing/2014/chart" uri="{C3380CC4-5D6E-409C-BE32-E72D297353CC}">
              <c16:uniqueId val="{00000000-3BAE-4CB4-B1A9-8E215BB8D2A0}"/>
            </c:ext>
          </c:extLst>
        </c:ser>
        <c:ser>
          <c:idx val="1"/>
          <c:order val="1"/>
          <c:tx>
            <c:strRef>
              <c:f>'Cobertura y contribuyentes'!$L$31</c:f>
              <c:strCache>
                <c:ptCount val="1"/>
                <c:pt idx="0">
                  <c:v>Relación de
dependencia</c:v>
                </c:pt>
              </c:strCache>
            </c:strRef>
          </c:tx>
          <c:spPr>
            <a:ln w="15840">
              <a:solidFill>
                <a:srgbClr val="ED7D31"/>
              </a:solidFill>
              <a:round/>
            </a:ln>
          </c:spPr>
          <c:marker>
            <c:symbol val="square"/>
            <c:size val="9"/>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contribuyentes'!$L$32:$L$56</c:f>
              <c:numCache>
                <c:formatCode>#,##0</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7195407.166666667</c:v>
                </c:pt>
              </c:numCache>
            </c:numRef>
          </c:val>
          <c:smooth val="0"/>
          <c:extLst>
            <c:ext xmlns:c16="http://schemas.microsoft.com/office/drawing/2014/chart" uri="{C3380CC4-5D6E-409C-BE32-E72D297353CC}">
              <c16:uniqueId val="{00000001-3BAE-4CB4-B1A9-8E215BB8D2A0}"/>
            </c:ext>
          </c:extLst>
        </c:ser>
        <c:ser>
          <c:idx val="2"/>
          <c:order val="2"/>
          <c:tx>
            <c:strRef>
              <c:f>'Cobertura y contribuyentes'!$M$31</c:f>
              <c:strCache>
                <c:ptCount val="1"/>
                <c:pt idx="0">
                  <c:v>Casas Particulares</c:v>
                </c:pt>
              </c:strCache>
            </c:strRef>
          </c:tx>
          <c:spPr>
            <a:ln w="15840">
              <a:solidFill>
                <a:srgbClr val="A5A5A5"/>
              </a:solidFill>
              <a:round/>
            </a:ln>
          </c:spPr>
          <c:marker>
            <c:symbol val="triangle"/>
            <c:size val="9"/>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contribuyentes'!$M$32:$M$56</c:f>
              <c:numCache>
                <c:formatCode>#,##0</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extLst>
            <c:ext xmlns:c16="http://schemas.microsoft.com/office/drawing/2014/chart" uri="{C3380CC4-5D6E-409C-BE32-E72D297353CC}">
              <c16:uniqueId val="{00000002-3BAE-4CB4-B1A9-8E215BB8D2A0}"/>
            </c:ext>
          </c:extLst>
        </c:ser>
        <c:ser>
          <c:idx val="3"/>
          <c:order val="3"/>
          <c:tx>
            <c:strRef>
              <c:f>'Cobertura y contribuyentes'!$N$31</c:f>
              <c:strCache>
                <c:ptCount val="1"/>
                <c:pt idx="0">
                  <c:v>Autónomos</c:v>
                </c:pt>
              </c:strCache>
            </c:strRef>
          </c:tx>
          <c:spPr>
            <a:ln w="15840">
              <a:solidFill>
                <a:srgbClr val="FFC000"/>
              </a:solidFill>
              <a:round/>
            </a:ln>
          </c:spPr>
          <c:marker>
            <c:symbol val="x"/>
            <c:size val="9"/>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contribuyentes'!$N$32:$N$56</c:f>
              <c:numCache>
                <c:formatCode>#,##0</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extLst>
            <c:ext xmlns:c16="http://schemas.microsoft.com/office/drawing/2014/chart" uri="{C3380CC4-5D6E-409C-BE32-E72D297353CC}">
              <c16:uniqueId val="{00000003-3BAE-4CB4-B1A9-8E215BB8D2A0}"/>
            </c:ext>
          </c:extLst>
        </c:ser>
        <c:ser>
          <c:idx val="4"/>
          <c:order val="4"/>
          <c:tx>
            <c:strRef>
              <c:f>'Cobertura y contribuyentes'!$O$31</c:f>
              <c:strCache>
                <c:ptCount val="1"/>
                <c:pt idx="0">
                  <c:v>Monotributo(2)</c:v>
                </c:pt>
              </c:strCache>
            </c:strRef>
          </c:tx>
          <c:spPr>
            <a:ln w="15840">
              <a:solidFill>
                <a:srgbClr val="4472C4"/>
              </a:solidFill>
              <a:round/>
            </a:ln>
          </c:spPr>
          <c:marker>
            <c:symbol val="square"/>
            <c:size val="9"/>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contribuyentes'!$O$32:$O$56</c:f>
              <c:numCache>
                <c:formatCode>#,##0</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extLst>
            <c:ext xmlns:c16="http://schemas.microsoft.com/office/drawing/2014/chart" uri="{C3380CC4-5D6E-409C-BE32-E72D297353CC}">
              <c16:uniqueId val="{00000004-3BAE-4CB4-B1A9-8E215BB8D2A0}"/>
            </c:ext>
          </c:extLst>
        </c:ser>
        <c:ser>
          <c:idx val="5"/>
          <c:order val="5"/>
          <c:tx>
            <c:strRef>
              <c:f>'Cobertura y contribuyentes'!$P$31</c:f>
              <c:strCache>
                <c:ptCount val="1"/>
                <c:pt idx="0">
                  <c:v>Pilar privado</c:v>
                </c:pt>
              </c:strCache>
            </c:strRef>
          </c:tx>
          <c:spPr>
            <a:ln w="22320">
              <a:solidFill>
                <a:srgbClr val="70AD47"/>
              </a:solidFill>
              <a:round/>
            </a:ln>
          </c:spPr>
          <c:marker>
            <c:symbol val="circle"/>
            <c:size val="9"/>
            <c:spPr>
              <a:solidFill>
                <a:srgbClr val="70AD47"/>
              </a:solidFill>
            </c:spPr>
          </c:marker>
          <c:dPt>
            <c:idx val="14"/>
            <c:bubble3D val="0"/>
            <c:extLst>
              <c:ext xmlns:c16="http://schemas.microsoft.com/office/drawing/2014/chart" uri="{C3380CC4-5D6E-409C-BE32-E72D297353CC}">
                <c16:uniqueId val="{00000005-3BAE-4CB4-B1A9-8E215BB8D2A0}"/>
              </c:ext>
            </c:extLst>
          </c:dPt>
          <c:dLbls>
            <c:dLbl>
              <c:idx val="14"/>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3BAE-4CB4-B1A9-8E215BB8D2A0}"/>
                </c:ext>
              </c:extLst>
            </c:dLbl>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'Cobertura y contribuyentes'!$J$32:$J$56</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'Cobertura y contribuyentes'!$P$32:$P$56</c:f>
              <c:numCache>
                <c:formatCode>General</c:formatCode>
                <c:ptCount val="25"/>
                <c:pt idx="0">
                  <c:v>2600000</c:v>
                </c:pt>
                <c:pt idx="1">
                  <c:v>2900000</c:v>
                </c:pt>
                <c:pt idx="2">
                  <c:v>3500000</c:v>
                </c:pt>
                <c:pt idx="3">
                  <c:v>4099999.9999999995</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extLst>
            <c:ext xmlns:c16="http://schemas.microsoft.com/office/drawing/2014/chart" uri="{C3380CC4-5D6E-409C-BE32-E72D297353CC}">
              <c16:uniqueId val="{00000006-3BAE-4CB4-B1A9-8E215BB8D2A0}"/>
            </c:ext>
          </c:extLst>
        </c:ser>
        <c:dLbls>
          <c:showLegendKey val="0"/>
          <c:showVal val="0"/>
          <c:showCatName val="0"/>
          <c:showSerName val="0"/>
          <c:showPercent val="0"/>
          <c:showBubbleSize val="0"/>
        </c:dLbls>
        <c:hiLowLines>
          <c:spPr>
            <a:ln>
              <a:noFill/>
            </a:ln>
          </c:spPr>
        </c:hiLowLines>
        <c:marker val="1"/>
        <c:smooth val="0"/>
        <c:axId val="52367872"/>
        <c:axId val="88763806"/>
      </c:lineChart>
      <c:catAx>
        <c:axId val="52367872"/>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lang="es-AR" sz="800" b="0" strike="noStrike" spc="100">
                <a:solidFill>
                  <a:srgbClr val="595959"/>
                </a:solidFill>
                <a:latin typeface="Calibri"/>
              </a:defRPr>
            </a:pPr>
            <a:endParaRPr lang="es-ES"/>
          </a:p>
        </c:txPr>
        <c:crossAx val="88763806"/>
        <c:crosses val="autoZero"/>
        <c:auto val="1"/>
        <c:lblAlgn val="ctr"/>
        <c:lblOffset val="100"/>
        <c:noMultiLvlLbl val="1"/>
      </c:catAx>
      <c:valAx>
        <c:axId val="88763806"/>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52367872"/>
        <c:crosses val="autoZero"/>
        <c:crossBetween val="midCat"/>
        <c:majorUnit val="1000000"/>
      </c:valAx>
      <c:spPr>
        <a:noFill/>
        <a:ln>
          <a:noFill/>
        </a:ln>
      </c:spPr>
    </c:plotArea>
    <c:legend>
      <c:legendPos val="b"/>
      <c:overlay val="0"/>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(1993-2018)</a:t>
            </a:r>
          </a:p>
        </c:rich>
      </c:tx>
      <c:layout/>
      <c:overlay val="0"/>
      <c:spPr>
        <a:noFill/>
        <a:ln>
          <a:noFill/>
        </a:ln>
      </c:spPr>
    </c:title>
    <c:autoTitleDeleted val="0"/>
    <c:plotArea>
      <c:layout/>
      <c:barChart>
        <c:barDir val="col"/>
        <c:grouping val="stacked"/>
        <c:varyColors val="0"/>
        <c:ser>
          <c:idx val="0"/>
          <c:order val="0"/>
          <c:tx>
            <c:strRef>
              <c:f>'Resultado ANSES por etapas'!$B$3:$B$4</c:f>
              <c:strCache>
                <c:ptCount val="2"/>
                <c:pt idx="0">
                  <c:v>Contribuciones a la seguridad social</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etapas'!$B$5:$B$30</c:f>
              <c:numCache>
                <c:formatCode>0.00%</c:formatCode>
                <c:ptCount val="26"/>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numCache>
            </c:numRef>
          </c:val>
          <c:extLst>
            <c:ext xmlns:c16="http://schemas.microsoft.com/office/drawing/2014/chart" uri="{C3380CC4-5D6E-409C-BE32-E72D297353CC}">
              <c16:uniqueId val="{00000000-D2C2-453C-BCCB-97A3F221AF49}"/>
            </c:ext>
          </c:extLst>
        </c:ser>
        <c:ser>
          <c:idx val="1"/>
          <c:order val="1"/>
          <c:tx>
            <c:strRef>
              <c:f>'Resultado ANSES por etapas'!$C$3:$C$4</c:f>
              <c:strCache>
                <c:ptCount val="2"/>
                <c:pt idx="0">
                  <c:v>Ingresos tributarios no extraordinarios</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etapas'!$C$5:$C$30</c:f>
              <c:numCache>
                <c:formatCode>0.00%</c:formatCode>
                <c:ptCount val="26"/>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numCache>
            </c:numRef>
          </c:val>
          <c:extLst>
            <c:ext xmlns:c16="http://schemas.microsoft.com/office/drawing/2014/chart" uri="{C3380CC4-5D6E-409C-BE32-E72D297353CC}">
              <c16:uniqueId val="{00000001-D2C2-453C-BCCB-97A3F221AF49}"/>
            </c:ext>
          </c:extLst>
        </c:ser>
        <c:ser>
          <c:idx val="2"/>
          <c:order val="2"/>
          <c:tx>
            <c:strRef>
              <c:f>'Resultado ANSES por etapas'!$D$3:$D$4</c:f>
              <c:strCache>
                <c:ptCount val="2"/>
                <c:pt idx="0">
                  <c:v>Contribuciones figurativas por coparticipación, tras detracción acuerdo provincias % PIB</c:v>
                </c:pt>
              </c:strCache>
            </c:strRef>
          </c:tx>
          <c:spPr>
            <a:solidFill>
              <a:srgbClr val="FFC000"/>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etapas'!$D$5:$D$30</c:f>
              <c:numCache>
                <c:formatCode>0.00%</c:formatCode>
                <c:ptCount val="26"/>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numCache>
            </c:numRef>
          </c:val>
          <c:extLst>
            <c:ext xmlns:c16="http://schemas.microsoft.com/office/drawing/2014/chart" uri="{C3380CC4-5D6E-409C-BE32-E72D297353CC}">
              <c16:uniqueId val="{00000002-D2C2-453C-BCCB-97A3F221AF49}"/>
            </c:ext>
          </c:extLst>
        </c:ser>
        <c:ser>
          <c:idx val="3"/>
          <c:order val="3"/>
          <c:tx>
            <c:strRef>
              <c:f>'Resultado ANSES por etapas'!$F$3:$F$4</c:f>
              <c:strCache>
                <c:ptCount val="2"/>
                <c:pt idx="0">
                  <c:v>Contribuciones figurativas por programas financiados por el Tesoro extra PUAM, % PIB</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etapas'!$F$5:$F$30</c:f>
              <c:numCache>
                <c:formatCode>0.00%</c:formatCode>
                <c:ptCount val="26"/>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numCache>
            </c:numRef>
          </c:val>
          <c:extLst>
            <c:ext xmlns:c16="http://schemas.microsoft.com/office/drawing/2014/chart" uri="{C3380CC4-5D6E-409C-BE32-E72D297353CC}">
              <c16:uniqueId val="{00000003-D2C2-453C-BCCB-97A3F221AF49}"/>
            </c:ext>
          </c:extLst>
        </c:ser>
        <c:ser>
          <c:idx val="4"/>
          <c:order val="4"/>
          <c:tx>
            <c:strRef>
              <c:f>'Resultado ANSES por etapas'!$E$3:$E$4</c:f>
              <c:strCache>
                <c:ptCount val="2"/>
                <c:pt idx="0">
                  <c:v>Rentas de la propiedad, % PIB</c:v>
                </c:pt>
              </c:strCache>
            </c:strRef>
          </c:tx>
          <c:spPr>
            <a:solidFill>
              <a:srgbClr val="A5A5A5"/>
            </a:solidFill>
            <a:ln>
              <a:noFill/>
            </a:ln>
          </c:spPr>
          <c:invertIfNegative val="0"/>
          <c:dPt>
            <c:idx val="16"/>
            <c:invertIfNegative val="0"/>
            <c:bubble3D val="0"/>
            <c:extLst>
              <c:ext xmlns:c16="http://schemas.microsoft.com/office/drawing/2014/chart" uri="{C3380CC4-5D6E-409C-BE32-E72D297353CC}">
                <c16:uniqueId val="{00000005-D2C2-453C-BCCB-97A3F221AF49}"/>
              </c:ext>
            </c:extLst>
          </c:dPt>
          <c:dPt>
            <c:idx val="17"/>
            <c:invertIfNegative val="0"/>
            <c:bubble3D val="0"/>
            <c:extLst>
              <c:ext xmlns:c16="http://schemas.microsoft.com/office/drawing/2014/chart" uri="{C3380CC4-5D6E-409C-BE32-E72D297353CC}">
                <c16:uniqueId val="{00000007-D2C2-453C-BCCB-97A3F221AF49}"/>
              </c:ext>
            </c:extLst>
          </c:dPt>
          <c:dPt>
            <c:idx val="18"/>
            <c:invertIfNegative val="0"/>
            <c:bubble3D val="0"/>
            <c:extLst>
              <c:ext xmlns:c16="http://schemas.microsoft.com/office/drawing/2014/chart" uri="{C3380CC4-5D6E-409C-BE32-E72D297353CC}">
                <c16:uniqueId val="{00000009-D2C2-453C-BCCB-97A3F221AF49}"/>
              </c:ext>
            </c:extLst>
          </c:dPt>
          <c:dPt>
            <c:idx val="19"/>
            <c:invertIfNegative val="0"/>
            <c:bubble3D val="0"/>
            <c:extLst>
              <c:ext xmlns:c16="http://schemas.microsoft.com/office/drawing/2014/chart" uri="{C3380CC4-5D6E-409C-BE32-E72D297353CC}">
                <c16:uniqueId val="{0000000B-D2C2-453C-BCCB-97A3F221AF49}"/>
              </c:ext>
            </c:extLst>
          </c:dPt>
          <c:dPt>
            <c:idx val="20"/>
            <c:invertIfNegative val="0"/>
            <c:bubble3D val="0"/>
            <c:extLst>
              <c:ext xmlns:c16="http://schemas.microsoft.com/office/drawing/2014/chart" uri="{C3380CC4-5D6E-409C-BE32-E72D297353CC}">
                <c16:uniqueId val="{0000000D-D2C2-453C-BCCB-97A3F221AF49}"/>
              </c:ext>
            </c:extLst>
          </c:dPt>
          <c:dPt>
            <c:idx val="21"/>
            <c:invertIfNegative val="0"/>
            <c:bubble3D val="0"/>
            <c:extLst>
              <c:ext xmlns:c16="http://schemas.microsoft.com/office/drawing/2014/chart" uri="{C3380CC4-5D6E-409C-BE32-E72D297353CC}">
                <c16:uniqueId val="{0000000F-D2C2-453C-BCCB-97A3F221AF49}"/>
              </c:ext>
            </c:extLst>
          </c:dPt>
          <c:dPt>
            <c:idx val="22"/>
            <c:invertIfNegative val="0"/>
            <c:bubble3D val="0"/>
            <c:extLst>
              <c:ext xmlns:c16="http://schemas.microsoft.com/office/drawing/2014/chart" uri="{C3380CC4-5D6E-409C-BE32-E72D297353CC}">
                <c16:uniqueId val="{00000011-D2C2-453C-BCCB-97A3F221AF49}"/>
              </c:ext>
            </c:extLst>
          </c:dPt>
          <c:dPt>
            <c:idx val="23"/>
            <c:invertIfNegative val="0"/>
            <c:bubble3D val="0"/>
            <c:extLst>
              <c:ext xmlns:c16="http://schemas.microsoft.com/office/drawing/2014/chart" uri="{C3380CC4-5D6E-409C-BE32-E72D297353CC}">
                <c16:uniqueId val="{00000013-D2C2-453C-BCCB-97A3F221AF49}"/>
              </c:ext>
            </c:extLst>
          </c:dPt>
          <c:dPt>
            <c:idx val="24"/>
            <c:invertIfNegative val="0"/>
            <c:bubble3D val="0"/>
            <c:extLst>
              <c:ext xmlns:c16="http://schemas.microsoft.com/office/drawing/2014/chart" uri="{C3380CC4-5D6E-409C-BE32-E72D297353CC}">
                <c16:uniqueId val="{00000015-D2C2-453C-BCCB-97A3F221AF49}"/>
              </c:ext>
            </c:extLst>
          </c:dPt>
          <c:dPt>
            <c:idx val="25"/>
            <c:invertIfNegative val="0"/>
            <c:bubble3D val="0"/>
            <c:extLst>
              <c:ext xmlns:c16="http://schemas.microsoft.com/office/drawing/2014/chart" uri="{C3380CC4-5D6E-409C-BE32-E72D297353CC}">
                <c16:uniqueId val="{00000017-D2C2-453C-BCCB-97A3F221AF49}"/>
              </c:ext>
            </c:extLst>
          </c:dPt>
          <c:dLbls>
            <c:dLbl>
              <c:idx val="1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5-D2C2-453C-BCCB-97A3F221AF49}"/>
                </c:ext>
              </c:extLst>
            </c:dLbl>
            <c:dLbl>
              <c:idx val="1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7-D2C2-453C-BCCB-97A3F221AF49}"/>
                </c:ext>
              </c:extLst>
            </c:dLbl>
            <c:dLbl>
              <c:idx val="1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9-D2C2-453C-BCCB-97A3F221AF49}"/>
                </c:ext>
              </c:extLst>
            </c:dLbl>
            <c:dLbl>
              <c:idx val="1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B-D2C2-453C-BCCB-97A3F221AF49}"/>
                </c:ext>
              </c:extLst>
            </c:dLbl>
            <c:dLbl>
              <c:idx val="2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D-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0F-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1-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3-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5-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7-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etapas'!$E$5:$E$30</c:f>
              <c:numCache>
                <c:formatCode>0.00%</c:formatCode>
                <c:ptCount val="26"/>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numCache>
            </c:numRef>
          </c:val>
          <c:extLst>
            <c:ext xmlns:c16="http://schemas.microsoft.com/office/drawing/2014/chart" uri="{C3380CC4-5D6E-409C-BE32-E72D297353CC}">
              <c16:uniqueId val="{00000018-D2C2-453C-BCCB-97A3F221AF49}"/>
            </c:ext>
          </c:extLst>
        </c:ser>
        <c:ser>
          <c:idx val="5"/>
          <c:order val="5"/>
          <c:tx>
            <c:strRef>
              <c:f>'Resultado ANSES por etapas'!$G$3:$G$4</c:f>
              <c:strCache>
                <c:ptCount val="2"/>
                <c:pt idx="0">
                  <c:v>Contribuciones figurativas para compensar devolución de coparticipación y PUAM</c:v>
                </c:pt>
              </c:strCache>
            </c:strRef>
          </c:tx>
          <c:spPr>
            <a:solidFill>
              <a:srgbClr val="70AD47"/>
            </a:solidFill>
            <a:ln>
              <a:noFill/>
            </a:ln>
          </c:spPr>
          <c:invertIfNegative val="0"/>
          <c:dPt>
            <c:idx val="24"/>
            <c:invertIfNegative val="0"/>
            <c:bubble3D val="0"/>
            <c:extLst>
              <c:ext xmlns:c16="http://schemas.microsoft.com/office/drawing/2014/chart" uri="{C3380CC4-5D6E-409C-BE32-E72D297353CC}">
                <c16:uniqueId val="{0000001A-D2C2-453C-BCCB-97A3F221AF49}"/>
              </c:ext>
            </c:extLst>
          </c:dPt>
          <c:dPt>
            <c:idx val="25"/>
            <c:invertIfNegative val="0"/>
            <c:bubble3D val="0"/>
            <c:extLst>
              <c:ext xmlns:c16="http://schemas.microsoft.com/office/drawing/2014/chart" uri="{C3380CC4-5D6E-409C-BE32-E72D297353CC}">
                <c16:uniqueId val="{0000001C-D2C2-453C-BCCB-97A3F221AF49}"/>
              </c:ext>
            </c:extLst>
          </c:dPt>
          <c:dLbls>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A-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C-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etapas'!$G$5:$G$30</c:f>
              <c:numCache>
                <c:formatCode>0.00%</c:formatCode>
                <c:ptCount val="26"/>
                <c:pt idx="23">
                  <c:v>3.8062867430678814E-3</c:v>
                </c:pt>
                <c:pt idx="24">
                  <c:v>7.6045316092612043E-3</c:v>
                </c:pt>
                <c:pt idx="25">
                  <c:v>1.213366048836579E-2</c:v>
                </c:pt>
              </c:numCache>
            </c:numRef>
          </c:val>
          <c:extLst>
            <c:ext xmlns:c16="http://schemas.microsoft.com/office/drawing/2014/chart" uri="{C3380CC4-5D6E-409C-BE32-E72D297353CC}">
              <c16:uniqueId val="{0000001D-D2C2-453C-BCCB-97A3F221AF49}"/>
            </c:ext>
          </c:extLst>
        </c:ser>
        <c:ser>
          <c:idx val="6"/>
          <c:order val="6"/>
          <c:tx>
            <c:strRef>
              <c:f>'Resultado ANSES por etapas'!$H$3:$H$4</c:f>
              <c:strCache>
                <c:ptCount val="2"/>
                <c:pt idx="0">
                  <c:v>Contribuciones figurativas para tapar déficit,  % PIB</c:v>
                </c:pt>
              </c:strCache>
            </c:strRef>
          </c:tx>
          <c:spPr>
            <a:solidFill>
              <a:srgbClr val="FFFF99"/>
            </a:solidFill>
            <a:ln>
              <a:noFill/>
            </a:ln>
          </c:spPr>
          <c:invertIfNegative val="0"/>
          <c:dPt>
            <c:idx val="3"/>
            <c:invertIfNegative val="0"/>
            <c:bubble3D val="0"/>
            <c:extLst>
              <c:ext xmlns:c16="http://schemas.microsoft.com/office/drawing/2014/chart" uri="{C3380CC4-5D6E-409C-BE32-E72D297353CC}">
                <c16:uniqueId val="{0000001F-D2C2-453C-BCCB-97A3F221AF49}"/>
              </c:ext>
            </c:extLst>
          </c:dPt>
          <c:dPt>
            <c:idx val="5"/>
            <c:invertIfNegative val="0"/>
            <c:bubble3D val="0"/>
            <c:extLst>
              <c:ext xmlns:c16="http://schemas.microsoft.com/office/drawing/2014/chart" uri="{C3380CC4-5D6E-409C-BE32-E72D297353CC}">
                <c16:uniqueId val="{00000021-D2C2-453C-BCCB-97A3F221AF49}"/>
              </c:ext>
            </c:extLst>
          </c:dPt>
          <c:dPt>
            <c:idx val="6"/>
            <c:invertIfNegative val="0"/>
            <c:bubble3D val="0"/>
            <c:extLst>
              <c:ext xmlns:c16="http://schemas.microsoft.com/office/drawing/2014/chart" uri="{C3380CC4-5D6E-409C-BE32-E72D297353CC}">
                <c16:uniqueId val="{00000023-D2C2-453C-BCCB-97A3F221AF49}"/>
              </c:ext>
            </c:extLst>
          </c:dPt>
          <c:dPt>
            <c:idx val="7"/>
            <c:invertIfNegative val="0"/>
            <c:bubble3D val="0"/>
            <c:extLst>
              <c:ext xmlns:c16="http://schemas.microsoft.com/office/drawing/2014/chart" uri="{C3380CC4-5D6E-409C-BE32-E72D297353CC}">
                <c16:uniqueId val="{00000025-D2C2-453C-BCCB-97A3F221AF49}"/>
              </c:ext>
            </c:extLst>
          </c:dPt>
          <c:dPt>
            <c:idx val="8"/>
            <c:invertIfNegative val="0"/>
            <c:bubble3D val="0"/>
            <c:extLst>
              <c:ext xmlns:c16="http://schemas.microsoft.com/office/drawing/2014/chart" uri="{C3380CC4-5D6E-409C-BE32-E72D297353CC}">
                <c16:uniqueId val="{00000027-D2C2-453C-BCCB-97A3F221AF49}"/>
              </c:ext>
            </c:extLst>
          </c:dPt>
          <c:dPt>
            <c:idx val="9"/>
            <c:invertIfNegative val="0"/>
            <c:bubble3D val="0"/>
            <c:extLst>
              <c:ext xmlns:c16="http://schemas.microsoft.com/office/drawing/2014/chart" uri="{C3380CC4-5D6E-409C-BE32-E72D297353CC}">
                <c16:uniqueId val="{00000029-D2C2-453C-BCCB-97A3F221AF49}"/>
              </c:ext>
            </c:extLst>
          </c:dPt>
          <c:dPt>
            <c:idx val="10"/>
            <c:invertIfNegative val="0"/>
            <c:bubble3D val="0"/>
            <c:extLst>
              <c:ext xmlns:c16="http://schemas.microsoft.com/office/drawing/2014/chart" uri="{C3380CC4-5D6E-409C-BE32-E72D297353CC}">
                <c16:uniqueId val="{0000002B-D2C2-453C-BCCB-97A3F221AF49}"/>
              </c:ext>
            </c:extLst>
          </c:dPt>
          <c:dPt>
            <c:idx val="21"/>
            <c:invertIfNegative val="0"/>
            <c:bubble3D val="0"/>
            <c:extLst>
              <c:ext xmlns:c16="http://schemas.microsoft.com/office/drawing/2014/chart" uri="{C3380CC4-5D6E-409C-BE32-E72D297353CC}">
                <c16:uniqueId val="{0000002D-D2C2-453C-BCCB-97A3F221AF49}"/>
              </c:ext>
            </c:extLst>
          </c:dPt>
          <c:dPt>
            <c:idx val="22"/>
            <c:invertIfNegative val="0"/>
            <c:bubble3D val="0"/>
            <c:extLst>
              <c:ext xmlns:c16="http://schemas.microsoft.com/office/drawing/2014/chart" uri="{C3380CC4-5D6E-409C-BE32-E72D297353CC}">
                <c16:uniqueId val="{0000002F-D2C2-453C-BCCB-97A3F221AF49}"/>
              </c:ext>
            </c:extLst>
          </c:dPt>
          <c:dPt>
            <c:idx val="23"/>
            <c:invertIfNegative val="0"/>
            <c:bubble3D val="0"/>
            <c:extLst>
              <c:ext xmlns:c16="http://schemas.microsoft.com/office/drawing/2014/chart" uri="{C3380CC4-5D6E-409C-BE32-E72D297353CC}">
                <c16:uniqueId val="{00000031-D2C2-453C-BCCB-97A3F221AF49}"/>
              </c:ext>
            </c:extLst>
          </c:dPt>
          <c:dPt>
            <c:idx val="24"/>
            <c:invertIfNegative val="0"/>
            <c:bubble3D val="0"/>
            <c:extLst>
              <c:ext xmlns:c16="http://schemas.microsoft.com/office/drawing/2014/chart" uri="{C3380CC4-5D6E-409C-BE32-E72D297353CC}">
                <c16:uniqueId val="{00000033-D2C2-453C-BCCB-97A3F221AF49}"/>
              </c:ext>
            </c:extLst>
          </c:dPt>
          <c:dPt>
            <c:idx val="25"/>
            <c:invertIfNegative val="0"/>
            <c:bubble3D val="0"/>
            <c:extLst>
              <c:ext xmlns:c16="http://schemas.microsoft.com/office/drawing/2014/chart" uri="{C3380CC4-5D6E-409C-BE32-E72D297353CC}">
                <c16:uniqueId val="{00000035-D2C2-453C-BCCB-97A3F221AF49}"/>
              </c:ext>
            </c:extLst>
          </c:dPt>
          <c:dLbls>
            <c:dLbl>
              <c:idx val="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1F-D2C2-453C-BCCB-97A3F221AF49}"/>
                </c:ext>
              </c:extLst>
            </c:dLbl>
            <c:dLbl>
              <c:idx val="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1-D2C2-453C-BCCB-97A3F221AF49}"/>
                </c:ext>
              </c:extLst>
            </c:dLbl>
            <c:dLbl>
              <c:idx val="6"/>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3-D2C2-453C-BCCB-97A3F221AF49}"/>
                </c:ext>
              </c:extLst>
            </c:dLbl>
            <c:dLbl>
              <c:idx val="7"/>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5-D2C2-453C-BCCB-97A3F221AF49}"/>
                </c:ext>
              </c:extLst>
            </c:dLbl>
            <c:dLbl>
              <c:idx val="8"/>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7-D2C2-453C-BCCB-97A3F221AF49}"/>
                </c:ext>
              </c:extLst>
            </c:dLbl>
            <c:dLbl>
              <c:idx val="9"/>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9-D2C2-453C-BCCB-97A3F221AF49}"/>
                </c:ext>
              </c:extLst>
            </c:dLbl>
            <c:dLbl>
              <c:idx val="10"/>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B-D2C2-453C-BCCB-97A3F221AF49}"/>
                </c:ext>
              </c:extLst>
            </c:dLbl>
            <c:dLbl>
              <c:idx val="21"/>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D-D2C2-453C-BCCB-97A3F221AF49}"/>
                </c:ext>
              </c:extLst>
            </c:dLbl>
            <c:dLbl>
              <c:idx val="22"/>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2F-D2C2-453C-BCCB-97A3F221AF49}"/>
                </c:ext>
              </c:extLst>
            </c:dLbl>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1-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3-D2C2-453C-BCCB-97A3F221AF49}"/>
                </c:ext>
              </c:extLst>
            </c:dLbl>
            <c:dLbl>
              <c:idx val="25"/>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5-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etapas'!$H$5:$H$30</c:f>
              <c:numCache>
                <c:formatCode>0.00%</c:formatCode>
                <c:ptCount val="26"/>
                <c:pt idx="0">
                  <c:v>-2.7469112626968316E-4</c:v>
                </c:pt>
                <c:pt idx="1">
                  <c:v>-2.2192507992865131E-3</c:v>
                </c:pt>
                <c:pt idx="2">
                  <c:v>8.8214038134443011E-4</c:v>
                </c:pt>
                <c:pt idx="3">
                  <c:v>1.0275315257448573E-2</c:v>
                </c:pt>
                <c:pt idx="4">
                  <c:v>2.2414038883355279E-3</c:v>
                </c:pt>
                <c:pt idx="5">
                  <c:v>5.5918188215259819E-3</c:v>
                </c:pt>
                <c:pt idx="6">
                  <c:v>1.1485564688022469E-2</c:v>
                </c:pt>
                <c:pt idx="7">
                  <c:v>8.0484713432928175E-3</c:v>
                </c:pt>
                <c:pt idx="8">
                  <c:v>1.1697903302661466E-2</c:v>
                </c:pt>
                <c:pt idx="9">
                  <c:v>1.3770862410291317E-2</c:v>
                </c:pt>
                <c:pt idx="10">
                  <c:v>7.9385508089974081E-3</c:v>
                </c:pt>
                <c:pt idx="11">
                  <c:v>-3.0840825992267836E-4</c:v>
                </c:pt>
                <c:pt idx="12">
                  <c:v>-2.2335882915916267E-5</c:v>
                </c:pt>
                <c:pt idx="13">
                  <c:v>6.3911582522232536E-5</c:v>
                </c:pt>
                <c:pt idx="14">
                  <c:v>-4.9152714044835038E-7</c:v>
                </c:pt>
                <c:pt idx="15">
                  <c:v>3.0930256660071542E-4</c:v>
                </c:pt>
                <c:pt idx="16">
                  <c:v>3.7429630447113779E-4</c:v>
                </c:pt>
                <c:pt idx="17">
                  <c:v>1.4211115778405336E-5</c:v>
                </c:pt>
                <c:pt idx="18">
                  <c:v>-3.7533377191067106E-4</c:v>
                </c:pt>
                <c:pt idx="19">
                  <c:v>-2.2831449533804661E-6</c:v>
                </c:pt>
                <c:pt idx="20">
                  <c:v>5.0113909748751524E-5</c:v>
                </c:pt>
                <c:pt idx="21">
                  <c:v>4.5815231024300043E-3</c:v>
                </c:pt>
                <c:pt idx="22">
                  <c:v>8.4741870868829706E-3</c:v>
                </c:pt>
                <c:pt idx="23">
                  <c:v>1.853676908063186E-2</c:v>
                </c:pt>
                <c:pt idx="24">
                  <c:v>1.8409237804635183E-2</c:v>
                </c:pt>
                <c:pt idx="25">
                  <c:v>7.5005076602780657E-3</c:v>
                </c:pt>
              </c:numCache>
            </c:numRef>
          </c:val>
          <c:extLst>
            <c:ext xmlns:c16="http://schemas.microsoft.com/office/drawing/2014/chart" uri="{C3380CC4-5D6E-409C-BE32-E72D297353CC}">
              <c16:uniqueId val="{00000036-D2C2-453C-BCCB-97A3F221AF49}"/>
            </c:ext>
          </c:extLst>
        </c:ser>
        <c:ser>
          <c:idx val="7"/>
          <c:order val="7"/>
          <c:tx>
            <c:strRef>
              <c:f>'Resultado ANSES por etapas'!$I$3:$I$4</c:f>
              <c:strCache>
                <c:ptCount val="2"/>
                <c:pt idx="0">
                  <c:v>Ingreso extraordinario del blanqueo</c:v>
                </c:pt>
              </c:strCache>
            </c:strRef>
          </c:tx>
          <c:spPr>
            <a:solidFill>
              <a:srgbClr val="FF0000"/>
            </a:solidFill>
            <a:ln>
              <a:noFill/>
            </a:ln>
          </c:spPr>
          <c:invertIfNegative val="0"/>
          <c:dPt>
            <c:idx val="23"/>
            <c:invertIfNegative val="0"/>
            <c:bubble3D val="0"/>
            <c:extLst>
              <c:ext xmlns:c16="http://schemas.microsoft.com/office/drawing/2014/chart" uri="{C3380CC4-5D6E-409C-BE32-E72D297353CC}">
                <c16:uniqueId val="{00000038-D2C2-453C-BCCB-97A3F221AF49}"/>
              </c:ext>
            </c:extLst>
          </c:dPt>
          <c:dPt>
            <c:idx val="24"/>
            <c:invertIfNegative val="0"/>
            <c:bubble3D val="0"/>
            <c:extLst>
              <c:ext xmlns:c16="http://schemas.microsoft.com/office/drawing/2014/chart" uri="{C3380CC4-5D6E-409C-BE32-E72D297353CC}">
                <c16:uniqueId val="{0000003A-D2C2-453C-BCCB-97A3F221AF49}"/>
              </c:ext>
            </c:extLst>
          </c:dPt>
          <c:dLbls>
            <c:dLbl>
              <c:idx val="23"/>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8-D2C2-453C-BCCB-97A3F221AF49}"/>
                </c:ext>
              </c:extLst>
            </c:dLbl>
            <c:dLbl>
              <c:idx val="24"/>
              <c:layout/>
              <c:spPr/>
              <c:txPr>
                <a:bodyPr/>
                <a:lstStyle/>
                <a:p>
                  <a:pPr>
                    <a:defRPr lang="es-AR" sz="1000" b="0" strike="noStrike" spc="-1">
                      <a:solidFill>
                        <a:srgbClr val="000000"/>
                      </a:solidFill>
                      <a:latin typeface="Calibri"/>
                    </a:defRPr>
                  </a:pPr>
                  <a:endParaRPr lang="es-ES"/>
                </a:p>
              </c:txPr>
              <c:dLblPos val="ctr"/>
              <c:showLegendKey val="0"/>
              <c:showVal val="1"/>
              <c:showCatName val="0"/>
              <c:showSerName val="0"/>
              <c:showPercent val="0"/>
              <c:showBubbleSize val="1"/>
              <c:separator>; </c:separator>
              <c:extLst>
                <c:ext xmlns:c15="http://schemas.microsoft.com/office/drawing/2012/chart" uri="{CE6537A1-D6FC-4f65-9D91-7224C49458BB}">
                  <c15:layout/>
                </c:ext>
                <c:ext xmlns:c16="http://schemas.microsoft.com/office/drawing/2014/chart" uri="{C3380CC4-5D6E-409C-BE32-E72D297353CC}">
                  <c16:uniqueId val="{0000003A-D2C2-453C-BCCB-97A3F221AF49}"/>
                </c:ext>
              </c:extLst>
            </c:dLbl>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etapas'!$A$5:$A$30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etapas'!$I$5:$I$30</c:f>
              <c:numCache>
                <c:formatCode>0.00%</c:formatCode>
                <c:ptCount val="26"/>
                <c:pt idx="23">
                  <c:v>1.2582496643220224E-2</c:v>
                </c:pt>
                <c:pt idx="24">
                  <c:v>4.2096363400800623E-3</c:v>
                </c:pt>
              </c:numCache>
            </c:numRef>
          </c:val>
          <c:extLst>
            <c:ext xmlns:c16="http://schemas.microsoft.com/office/drawing/2014/chart" uri="{C3380CC4-5D6E-409C-BE32-E72D297353CC}">
              <c16:uniqueId val="{0000003B-D2C2-453C-BCCB-97A3F221AF49}"/>
            </c:ext>
          </c:extLst>
        </c:ser>
        <c:dLbls>
          <c:showLegendKey val="0"/>
          <c:showVal val="0"/>
          <c:showCatName val="0"/>
          <c:showSerName val="0"/>
          <c:showPercent val="0"/>
          <c:showBubbleSize val="0"/>
        </c:dLbls>
        <c:gapWidth val="150"/>
        <c:overlap val="100"/>
        <c:axId val="82811173"/>
        <c:axId val="47842389"/>
      </c:barChart>
      <c:catAx>
        <c:axId val="8281117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47842389"/>
        <c:crosses val="autoZero"/>
        <c:auto val="1"/>
        <c:lblAlgn val="ctr"/>
        <c:lblOffset val="100"/>
        <c:noMultiLvlLbl val="1"/>
      </c:catAx>
      <c:valAx>
        <c:axId val="47842389"/>
        <c:scaling>
          <c:orientation val="minMax"/>
          <c:max val="0.14000000000000001"/>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82811173"/>
        <c:crosses val="autoZero"/>
        <c:crossBetween val="between"/>
      </c:valAx>
      <c:spPr>
        <a:noFill/>
        <a:ln>
          <a:noFill/>
        </a:ln>
      </c:spPr>
    </c:plotArea>
    <c:legend>
      <c:legendPos val="r"/>
      <c:layout>
        <c:manualLayout>
          <c:xMode val="edge"/>
          <c:yMode val="edge"/>
          <c:x val="6.9908814589665705E-2"/>
          <c:y val="0.81550055219905104"/>
          <c:w val="0.90369567834356601"/>
          <c:h val="0.170543139293139"/>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layout/>
      <c:overlay val="0"/>
      <c:spPr>
        <a:noFill/>
        <a:ln>
          <a:noFill/>
        </a:ln>
      </c:spPr>
    </c:title>
    <c:autoTitleDeleted val="0"/>
    <c:plotArea>
      <c:layout/>
      <c:barChart>
        <c:barDir val="col"/>
        <c:grouping val="stacked"/>
        <c:varyColors val="0"/>
        <c:ser>
          <c:idx val="0"/>
          <c:order val="0"/>
          <c:tx>
            <c:strRef>
              <c:f>'Resultado ANSES por etapas'!$M$3:$M$4</c:f>
              <c:strCache>
                <c:ptCount val="2"/>
                <c:pt idx="0">
                  <c:v>Prestaciones de la seguridad social, excluyendo reparación histórica % PIB</c:v>
                </c:pt>
              </c:strCache>
            </c:strRef>
          </c:tx>
          <c:spPr>
            <a:solidFill>
              <a:srgbClr val="5B9BD5"/>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etapas'!$M$5:$M$30</c:f>
              <c:numCache>
                <c:formatCode>0.00%</c:formatCode>
                <c:ptCount val="26"/>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pt idx="23">
                  <c:v>7.304107438047823E-2</c:v>
                </c:pt>
                <c:pt idx="24">
                  <c:v>7.6386424051846549E-2</c:v>
                </c:pt>
                <c:pt idx="25">
                  <c:v>7.1977106562574236E-2</c:v>
                </c:pt>
              </c:numCache>
            </c:numRef>
          </c:val>
          <c:extLst>
            <c:ext xmlns:c16="http://schemas.microsoft.com/office/drawing/2014/chart" uri="{C3380CC4-5D6E-409C-BE32-E72D297353CC}">
              <c16:uniqueId val="{00000000-CDDF-4454-8627-F3A96F7EBE73}"/>
            </c:ext>
          </c:extLst>
        </c:ser>
        <c:ser>
          <c:idx val="1"/>
          <c:order val="1"/>
          <c:tx>
            <c:strRef>
              <c:f>'Resultado ANSES por etapas'!$N$3:$N$4</c:f>
              <c:strCache>
                <c:ptCount val="2"/>
                <c:pt idx="0">
                  <c:v>Transferencias corrientes menos al PAMI</c:v>
                </c:pt>
              </c:strCache>
            </c:strRef>
          </c:tx>
          <c:spPr>
            <a:solidFill>
              <a:srgbClr val="ED7D31"/>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etapas'!$N$5:$N$30</c:f>
              <c:numCache>
                <c:formatCode>0.00%</c:formatCode>
                <c:ptCount val="26"/>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numCache>
            </c:numRef>
          </c:val>
          <c:extLst>
            <c:ext xmlns:c16="http://schemas.microsoft.com/office/drawing/2014/chart" uri="{C3380CC4-5D6E-409C-BE32-E72D297353CC}">
              <c16:uniqueId val="{00000001-CDDF-4454-8627-F3A96F7EBE73}"/>
            </c:ext>
          </c:extLst>
        </c:ser>
        <c:ser>
          <c:idx val="2"/>
          <c:order val="2"/>
          <c:tx>
            <c:strRef>
              <c:f>'Resultado ANSES por etapas'!$O$3:$O$4</c:f>
              <c:strCache>
                <c:ptCount val="2"/>
                <c:pt idx="0">
                  <c:v>Transferencias al PAMI</c:v>
                </c:pt>
              </c:strCache>
            </c:strRef>
          </c:tx>
          <c:spPr>
            <a:solidFill>
              <a:srgbClr val="A5A5A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etapas'!$O$5:$O$30</c:f>
              <c:numCache>
                <c:formatCode>0.00%</c:formatCode>
                <c:ptCount val="26"/>
                <c:pt idx="11">
                  <c:v>1.4784185938701185E-3</c:v>
                </c:pt>
                <c:pt idx="12">
                  <c:v>1.3544936722025961E-3</c:v>
                </c:pt>
                <c:pt idx="13">
                  <c:v>1.4208986349060009E-3</c:v>
                </c:pt>
                <c:pt idx="14">
                  <c:v>1.8084480471693978E-3</c:v>
                </c:pt>
                <c:pt idx="15">
                  <c:v>1.7582872865716456E-3</c:v>
                </c:pt>
                <c:pt idx="16">
                  <c:v>2.0413731238184958E-3</c:v>
                </c:pt>
                <c:pt idx="17">
                  <c:v>1.904159634724085E-3</c:v>
                </c:pt>
                <c:pt idx="18">
                  <c:v>2.006924517633056E-3</c:v>
                </c:pt>
                <c:pt idx="19">
                  <c:v>2.2917701706974044E-3</c:v>
                </c:pt>
                <c:pt idx="20">
                  <c:v>2.3856199639117528E-3</c:v>
                </c:pt>
                <c:pt idx="21">
                  <c:v>2.3272132721660977E-3</c:v>
                </c:pt>
                <c:pt idx="22">
                  <c:v>2.6068870526325806E-3</c:v>
                </c:pt>
                <c:pt idx="23">
                  <c:v>2.6363088474017208E-3</c:v>
                </c:pt>
                <c:pt idx="24">
                  <c:v>2.9707973317415659E-3</c:v>
                </c:pt>
                <c:pt idx="25">
                  <c:v>2.8175310521751772E-3</c:v>
                </c:pt>
              </c:numCache>
            </c:numRef>
          </c:val>
          <c:extLst>
            <c:ext xmlns:c16="http://schemas.microsoft.com/office/drawing/2014/chart" uri="{C3380CC4-5D6E-409C-BE32-E72D297353CC}">
              <c16:uniqueId val="{00000002-CDDF-4454-8627-F3A96F7EBE73}"/>
            </c:ext>
          </c:extLst>
        </c:ser>
        <c:ser>
          <c:idx val="3"/>
          <c:order val="3"/>
          <c:tx>
            <c:strRef>
              <c:f>'Resultado ANSES por etapas'!$P$3:$P$4</c:f>
              <c:strCache>
                <c:ptCount val="2"/>
                <c:pt idx="0">
                  <c:v>Gastos de consumo y rentas de la propiedad</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etapas'!$P$5:$P$30</c:f>
              <c:numCache>
                <c:formatCode>0.00%</c:formatCode>
                <c:ptCount val="26"/>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numCache>
            </c:numRef>
          </c:val>
          <c:extLst>
            <c:ext xmlns:c16="http://schemas.microsoft.com/office/drawing/2014/chart" uri="{C3380CC4-5D6E-409C-BE32-E72D297353CC}">
              <c16:uniqueId val="{00000003-CDDF-4454-8627-F3A96F7EBE73}"/>
            </c:ext>
          </c:extLst>
        </c:ser>
        <c:ser>
          <c:idx val="4"/>
          <c:order val="4"/>
          <c:tx>
            <c:strRef>
              <c:f>'Resultado ANSES por etapas'!$Q$3:$Q$4</c:f>
              <c:strCache>
                <c:ptCount val="2"/>
                <c:pt idx="0">
                  <c:v>Gastos figurativos pagados por ANSES, sin sentencias</c:v>
                </c:pt>
              </c:strCache>
            </c:strRef>
          </c:tx>
          <c:spPr>
            <a:solidFill>
              <a:srgbClr val="F8CBAD"/>
            </a:solidFill>
            <a:ln>
              <a:noFill/>
            </a:ln>
          </c:spPr>
          <c:invertIfNegative val="0"/>
          <c:dLbls>
            <c:spPr>
              <a:noFill/>
              <a:ln>
                <a:noFill/>
              </a:ln>
              <a:effectLst/>
            </c:spPr>
            <c:txPr>
              <a:bodyPr/>
              <a:lstStyle/>
              <a:p>
                <a:pPr>
                  <a:defRPr lang="es-AR" sz="900" b="0"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etapas'!$Q$5:$Q$30</c:f>
              <c:numCache>
                <c:formatCode>0.00%</c:formatCode>
                <c:ptCount val="26"/>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numCache>
            </c:numRef>
          </c:val>
          <c:extLst>
            <c:ext xmlns:c16="http://schemas.microsoft.com/office/drawing/2014/chart" uri="{C3380CC4-5D6E-409C-BE32-E72D297353CC}">
              <c16:uniqueId val="{00000004-CDDF-4454-8627-F3A96F7EBE73}"/>
            </c:ext>
          </c:extLst>
        </c:ser>
        <c:ser>
          <c:idx val="5"/>
          <c:order val="5"/>
          <c:tx>
            <c:strRef>
              <c:f>'Resultado ANSES por etapas'!$R$3:$R$4</c:f>
              <c:strCache>
                <c:ptCount val="2"/>
                <c:pt idx="0">
                  <c:v>Sentencias judiciales sin Reparación Histórica</c:v>
                </c:pt>
              </c:strCache>
            </c:strRef>
          </c:tx>
          <c:spPr>
            <a:solidFill>
              <a:srgbClr val="70AD4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etapas'!$R$5:$R$30</c:f>
              <c:numCache>
                <c:formatCode>0.00%</c:formatCode>
                <c:ptCount val="26"/>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numCache>
            </c:numRef>
          </c:val>
          <c:extLst>
            <c:ext xmlns:c16="http://schemas.microsoft.com/office/drawing/2014/chart" uri="{C3380CC4-5D6E-409C-BE32-E72D297353CC}">
              <c16:uniqueId val="{00000005-CDDF-4454-8627-F3A96F7EBE73}"/>
            </c:ext>
          </c:extLst>
        </c:ser>
        <c:ser>
          <c:idx val="6"/>
          <c:order val="6"/>
          <c:tx>
            <c:strRef>
              <c:f>'Resultado ANSES por etapas'!$T$3:$T$4</c:f>
              <c:strCache>
                <c:ptCount val="2"/>
                <c:pt idx="0">
                  <c:v>Gastos PNRH, % PIB, sin sentencias PNRH</c:v>
                </c:pt>
              </c:strCache>
            </c:strRef>
          </c:tx>
          <c:spPr>
            <a:solidFill>
              <a:srgbClr val="255E9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etapas'!$T$5:$T$30</c:f>
              <c:numCache>
                <c:formatCode>0.00%</c:formatCode>
                <c:ptCount val="26"/>
                <c:pt idx="23">
                  <c:v>7.7108373463174616E-4</c:v>
                </c:pt>
                <c:pt idx="24">
                  <c:v>3.7188875483721521E-3</c:v>
                </c:pt>
                <c:pt idx="25">
                  <c:v>5.091301115412567E-3</c:v>
                </c:pt>
              </c:numCache>
            </c:numRef>
          </c:val>
          <c:extLst>
            <c:ext xmlns:c16="http://schemas.microsoft.com/office/drawing/2014/chart" uri="{C3380CC4-5D6E-409C-BE32-E72D297353CC}">
              <c16:uniqueId val="{00000006-CDDF-4454-8627-F3A96F7EBE73}"/>
            </c:ext>
          </c:extLst>
        </c:ser>
        <c:dLbls>
          <c:showLegendKey val="0"/>
          <c:showVal val="0"/>
          <c:showCatName val="0"/>
          <c:showSerName val="0"/>
          <c:showPercent val="0"/>
          <c:showBubbleSize val="0"/>
        </c:dLbls>
        <c:gapWidth val="150"/>
        <c:overlap val="100"/>
        <c:axId val="56969425"/>
        <c:axId val="59772224"/>
      </c:barChart>
      <c:catAx>
        <c:axId val="56969425"/>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59772224"/>
        <c:crosses val="autoZero"/>
        <c:auto val="1"/>
        <c:lblAlgn val="ctr"/>
        <c:lblOffset val="100"/>
        <c:noMultiLvlLbl val="1"/>
      </c:catAx>
      <c:valAx>
        <c:axId val="5977222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56969425"/>
        <c:crosses val="autoZero"/>
        <c:crossBetween val="between"/>
      </c:valAx>
      <c:spPr>
        <a:noFill/>
        <a:ln>
          <a:noFill/>
        </a:ln>
      </c:spPr>
    </c:plotArea>
    <c:legend>
      <c:legendPos val="b"/>
      <c:layout/>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(1993-2019)</a:t>
            </a:r>
          </a:p>
        </c:rich>
      </c:tx>
      <c:layout/>
      <c:overlay val="0"/>
      <c:spPr>
        <a:noFill/>
        <a:ln w="25560">
          <a:noFill/>
        </a:ln>
      </c:spPr>
    </c:title>
    <c:autoTitleDeleted val="0"/>
    <c:plotArea>
      <c:layout/>
      <c:lineChart>
        <c:grouping val="standard"/>
        <c:varyColors val="0"/>
        <c:ser>
          <c:idx val="0"/>
          <c:order val="0"/>
          <c:tx>
            <c:strRef>
              <c:f>'Resultado ANSES por etapas'!$X$4</c:f>
              <c:strCache>
                <c:ptCount val="1"/>
                <c:pt idx="0">
                  <c:v>Resultado económico con sentencias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etapas'!$X$5:$X$31</c:f>
              <c:numCache>
                <c:formatCode>0.00%</c:formatCode>
                <c:ptCount val="27"/>
                <c:pt idx="0">
                  <c:v>-4.460692754638812E-4</c:v>
                </c:pt>
                <c:pt idx="1">
                  <c:v>-1.3085329461061557E-2</c:v>
                </c:pt>
                <c:pt idx="2">
                  <c:v>-6.3793495975882006E-3</c:v>
                </c:pt>
                <c:pt idx="3">
                  <c:v>-5.2873047307913923E-3</c:v>
                </c:pt>
                <c:pt idx="4">
                  <c:v>-3.1559452881122635E-3</c:v>
                </c:pt>
                <c:pt idx="5">
                  <c:v>-2.6600621239856251E-3</c:v>
                </c:pt>
                <c:pt idx="6">
                  <c:v>-7.7596880146274944E-3</c:v>
                </c:pt>
                <c:pt idx="7">
                  <c:v>-6.738544453774073E-3</c:v>
                </c:pt>
                <c:pt idx="8">
                  <c:v>-1.0164928737260208E-2</c:v>
                </c:pt>
                <c:pt idx="9">
                  <c:v>-1.1440063069673385E-2</c:v>
                </c:pt>
                <c:pt idx="10">
                  <c:v>-4.9272697890347869E-3</c:v>
                </c:pt>
                <c:pt idx="11">
                  <c:v>3.8211717262572401E-3</c:v>
                </c:pt>
                <c:pt idx="12">
                  <c:v>7.5775362261544105E-3</c:v>
                </c:pt>
                <c:pt idx="13">
                  <c:v>9.1777951462507154E-3</c:v>
                </c:pt>
                <c:pt idx="14">
                  <c:v>1.0846575949303092E-2</c:v>
                </c:pt>
                <c:pt idx="15">
                  <c:v>5.7008153111213905E-3</c:v>
                </c:pt>
                <c:pt idx="16">
                  <c:v>1.0279134035040188E-2</c:v>
                </c:pt>
                <c:pt idx="17">
                  <c:v>9.3562367949252823E-3</c:v>
                </c:pt>
                <c:pt idx="18">
                  <c:v>9.6054677433510954E-3</c:v>
                </c:pt>
                <c:pt idx="19">
                  <c:v>8.1030092954473831E-3</c:v>
                </c:pt>
                <c:pt idx="20">
                  <c:v>5.8795781936787361E-3</c:v>
                </c:pt>
                <c:pt idx="21">
                  <c:v>7.0895515151458838E-3</c:v>
                </c:pt>
                <c:pt idx="22">
                  <c:v>1.4238762631140073E-3</c:v>
                </c:pt>
                <c:pt idx="23">
                  <c:v>-7.7329279831847841E-3</c:v>
                </c:pt>
                <c:pt idx="24">
                  <c:v>-6.1404828582900806E-3</c:v>
                </c:pt>
                <c:pt idx="25">
                  <c:v>6.4407496228680861E-3</c:v>
                </c:pt>
                <c:pt idx="26">
                  <c:v>-2.1474004815555392E-4</c:v>
                </c:pt>
              </c:numCache>
            </c:numRef>
          </c:val>
          <c:smooth val="0"/>
          <c:extLst>
            <c:ext xmlns:c16="http://schemas.microsoft.com/office/drawing/2014/chart" uri="{C3380CC4-5D6E-409C-BE32-E72D297353CC}">
              <c16:uniqueId val="{00000000-D077-4B74-8859-20287FC99AD1}"/>
            </c:ext>
          </c:extLst>
        </c:ser>
        <c:ser>
          <c:idx val="1"/>
          <c:order val="1"/>
          <c:tx>
            <c:strRef>
              <c:f>'Resultado ANSES por etapas'!$Y$4</c:f>
              <c:strCache>
                <c:ptCount val="1"/>
                <c:pt idx="0">
                  <c:v>… sin rentabilidad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etapas'!$Y$5:$Y$30</c:f>
              <c:numCache>
                <c:formatCode>0.00%</c:formatCode>
                <c:ptCount val="26"/>
                <c:pt idx="15">
                  <c:v>4.7288347607567834E-3</c:v>
                </c:pt>
                <c:pt idx="16">
                  <c:v>3.4781770318673298E-3</c:v>
                </c:pt>
                <c:pt idx="17">
                  <c:v>4.1118378022266464E-3</c:v>
                </c:pt>
                <c:pt idx="18">
                  <c:v>4.5395856653525505E-3</c:v>
                </c:pt>
                <c:pt idx="19">
                  <c:v>1.5261126349722367E-3</c:v>
                </c:pt>
                <c:pt idx="20">
                  <c:v>-9.5166855816114504E-4</c:v>
                </c:pt>
                <c:pt idx="21">
                  <c:v>-1.2928637559684562E-3</c:v>
                </c:pt>
                <c:pt idx="22">
                  <c:v>-7.5073330617732113E-3</c:v>
                </c:pt>
                <c:pt idx="23">
                  <c:v>-1.6540512952781038E-2</c:v>
                </c:pt>
                <c:pt idx="24">
                  <c:v>-1.6500170398928433E-2</c:v>
                </c:pt>
                <c:pt idx="25">
                  <c:v>-6.1381373118466719E-3</c:v>
                </c:pt>
              </c:numCache>
            </c:numRef>
          </c:val>
          <c:smooth val="0"/>
          <c:extLst>
            <c:ext xmlns:c16="http://schemas.microsoft.com/office/drawing/2014/chart" uri="{C3380CC4-5D6E-409C-BE32-E72D297353CC}">
              <c16:uniqueId val="{00000001-D077-4B74-8859-20287FC99AD1}"/>
            </c:ext>
          </c:extLst>
        </c:ser>
        <c:ser>
          <c:idx val="2"/>
          <c:order val="2"/>
          <c:tx>
            <c:strRef>
              <c:f>'Resultado ANSES por etapas'!$Z$4</c:f>
              <c:strCache>
                <c:ptCount val="1"/>
                <c:pt idx="0">
                  <c:v>... ni financiamiento del Tesoro</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etapas'!$L$5:$L$31</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'Resultado ANSES por etapas'!$Z$5:$Z$31</c:f>
              <c:numCache>
                <c:formatCode>0.00%</c:formatCode>
                <c:ptCount val="27"/>
                <c:pt idx="23">
                  <c:v>-2.0346799695848919E-2</c:v>
                </c:pt>
                <c:pt idx="24">
                  <c:v>-2.4104702008189639E-2</c:v>
                </c:pt>
                <c:pt idx="25">
                  <c:v>-1.8271797800212462E-2</c:v>
                </c:pt>
                <c:pt idx="26">
                  <c:v>-2.8895731756698722E-2</c:v>
                </c:pt>
              </c:numCache>
            </c:numRef>
          </c:val>
          <c:smooth val="0"/>
          <c:extLst>
            <c:ext xmlns:c16="http://schemas.microsoft.com/office/drawing/2014/chart" uri="{C3380CC4-5D6E-409C-BE32-E72D297353CC}">
              <c16:uniqueId val="{00000002-D077-4B74-8859-20287FC99AD1}"/>
            </c:ext>
          </c:extLst>
        </c:ser>
        <c:dLbls>
          <c:showLegendKey val="0"/>
          <c:showVal val="0"/>
          <c:showCatName val="0"/>
          <c:showSerName val="0"/>
          <c:showPercent val="0"/>
          <c:showBubbleSize val="0"/>
        </c:dLbls>
        <c:hiLowLines>
          <c:spPr>
            <a:ln>
              <a:noFill/>
            </a:ln>
          </c:spPr>
        </c:hiLowLines>
        <c:marker val="1"/>
        <c:smooth val="0"/>
        <c:axId val="34039814"/>
        <c:axId val="4622199"/>
      </c:lineChart>
      <c:catAx>
        <c:axId val="340398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4622199"/>
        <c:crosses val="autoZero"/>
        <c:auto val="1"/>
        <c:lblAlgn val="ctr"/>
        <c:lblOffset val="100"/>
        <c:noMultiLvlLbl val="1"/>
      </c:catAx>
      <c:valAx>
        <c:axId val="462219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34039814"/>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Ingresos corrientes de ANSES, % PIB (1993-2018)</a:t>
            </a:r>
          </a:p>
        </c:rich>
      </c:tx>
      <c:overlay val="0"/>
      <c:spPr>
        <a:noFill/>
        <a:ln>
          <a:noFill/>
        </a:ln>
      </c:spPr>
    </c:title>
    <c:autoTitleDeleted val="0"/>
    <c:plotArea>
      <c:layout>
        <c:manualLayout>
          <c:layoutTarget val="inner"/>
          <c:xMode val="edge"/>
          <c:yMode val="edge"/>
          <c:x val="6.055853814934721E-2"/>
          <c:y val="6.1453750815394649E-2"/>
          <c:w val="0.92151467372411511"/>
          <c:h val="0.701612133072407"/>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etapas'!$B$69:$B$94</c:f>
              <c:numCache>
                <c:formatCode>0.0%</c:formatCode>
                <c:ptCount val="26"/>
                <c:pt idx="0">
                  <c:v>4.5352832912549039E-2</c:v>
                </c:pt>
                <c:pt idx="1">
                  <c:v>4.1240641070148722E-2</c:v>
                </c:pt>
                <c:pt idx="2">
                  <c:v>3.671628422629266E-2</c:v>
                </c:pt>
                <c:pt idx="3">
                  <c:v>3.6384675884464944E-2</c:v>
                </c:pt>
                <c:pt idx="4">
                  <c:v>2.8181988867876529E-2</c:v>
                </c:pt>
                <c:pt idx="5">
                  <c:v>2.6496521923346422E-2</c:v>
                </c:pt>
                <c:pt idx="6">
                  <c:v>2.4905564668713822E-2</c:v>
                </c:pt>
                <c:pt idx="7">
                  <c:v>2.36198765665383E-2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pt idx="23">
                  <c:v>5.4687527495474855E-2</c:v>
                </c:pt>
                <c:pt idx="24">
                  <c:v>5.5590096056665005E-2</c:v>
                </c:pt>
                <c:pt idx="25">
                  <c:v>5.0704846491994214E-2</c:v>
                </c:pt>
              </c:numCache>
            </c:numRef>
          </c:val>
          <c:extLst>
            <c:ext xmlns:c16="http://schemas.microsoft.com/office/drawing/2014/chart" uri="{C3380CC4-5D6E-409C-BE32-E72D297353CC}">
              <c16:uniqueId val="{00000000-58A3-4A38-A731-173063ABD09E}"/>
            </c:ext>
          </c:extLst>
        </c:ser>
        <c:ser>
          <c:idx val="1"/>
          <c:order val="1"/>
          <c:tx>
            <c:strRef>
              <c:f>'Resultado ANSES por etapas'!$C$68</c:f>
              <c:strCache>
                <c:ptCount val="1"/>
                <c:pt idx="0">
                  <c:v>Ingresos tributarios</c:v>
                </c:pt>
              </c:strCache>
            </c:strRef>
          </c:tx>
          <c:spPr>
            <a:solidFill>
              <a:srgbClr val="F4B183"/>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etapas'!$C$69:$C$94</c:f>
              <c:numCache>
                <c:formatCode>0.0%</c:formatCode>
                <c:ptCount val="26"/>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pt idx="23">
                  <c:v>2.1229363568431997E-2</c:v>
                </c:pt>
                <c:pt idx="24">
                  <c:v>2.1365199313940306E-2</c:v>
                </c:pt>
                <c:pt idx="25">
                  <c:v>2.6720252660672565E-2</c:v>
                </c:pt>
              </c:numCache>
            </c:numRef>
          </c:val>
          <c:extLst>
            <c:ext xmlns:c16="http://schemas.microsoft.com/office/drawing/2014/chart" uri="{C3380CC4-5D6E-409C-BE32-E72D297353CC}">
              <c16:uniqueId val="{00000001-58A3-4A38-A731-173063ABD09E}"/>
            </c:ext>
          </c:extLst>
        </c:ser>
        <c:ser>
          <c:idx val="2"/>
          <c:order val="2"/>
          <c:tx>
            <c:strRef>
              <c:f>'Resultado ANSES por etapas'!$D$68</c:f>
              <c:strCache>
                <c:ptCount val="1"/>
                <c:pt idx="0">
                  <c:v>Coparticipación que va a ANSES</c:v>
                </c:pt>
              </c:strCache>
            </c:strRef>
          </c:tx>
          <c:spPr>
            <a:solidFill>
              <a:srgbClr val="A9D18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etapas'!$D$69:$D$94</c:f>
              <c:numCache>
                <c:formatCode>0.0%</c:formatCode>
                <c:ptCount val="26"/>
                <c:pt idx="0">
                  <c:v>1.2477115671008975E-2</c:v>
                </c:pt>
                <c:pt idx="1">
                  <c:v>1.0313805580301925E-2</c:v>
                </c:pt>
                <c:pt idx="2">
                  <c:v>1.1591546064282976E-2</c:v>
                </c:pt>
                <c:pt idx="3">
                  <c:v>1.1873413888874359E-2</c:v>
                </c:pt>
                <c:pt idx="4">
                  <c:v>1.2286423141515632E-2</c:v>
                </c:pt>
                <c:pt idx="5">
                  <c:v>1.2703332712976441E-2</c:v>
                </c:pt>
                <c:pt idx="6">
                  <c:v>1.3059061033359248E-2</c:v>
                </c:pt>
                <c:pt idx="7">
                  <c:v>1.3248290446669314E-2</c:v>
                </c:pt>
                <c:pt idx="8">
                  <c:v>1.2445044343194066E-2</c:v>
                </c:pt>
                <c:pt idx="9">
                  <c:v>9.6369580470071613E-3</c:v>
                </c:pt>
                <c:pt idx="10">
                  <c:v>1.1802672712088739E-2</c:v>
                </c:pt>
                <c:pt idx="11">
                  <c:v>1.3324283644975191E-2</c:v>
                </c:pt>
                <c:pt idx="12">
                  <c:v>1.3961831821235454E-2</c:v>
                </c:pt>
                <c:pt idx="13">
                  <c:v>1.4113123533386727E-2</c:v>
                </c:pt>
                <c:pt idx="14">
                  <c:v>1.4906804729574941E-2</c:v>
                </c:pt>
                <c:pt idx="15">
                  <c:v>1.4573037647607418E-2</c:v>
                </c:pt>
                <c:pt idx="16">
                  <c:v>1.4617359798054395E-2</c:v>
                </c:pt>
                <c:pt idx="17">
                  <c:v>1.4744221894204591E-2</c:v>
                </c:pt>
                <c:pt idx="18">
                  <c:v>1.4885606544660831E-2</c:v>
                </c:pt>
                <c:pt idx="19">
                  <c:v>1.5558304996599116E-2</c:v>
                </c:pt>
                <c:pt idx="20">
                  <c:v>1.5914800261768496E-2</c:v>
                </c:pt>
                <c:pt idx="21">
                  <c:v>1.5871302582137044E-2</c:v>
                </c:pt>
                <c:pt idx="22">
                  <c:v>1.6055108102521049E-2</c:v>
                </c:pt>
                <c:pt idx="23">
                  <c:v>1.1533398062803835E-2</c:v>
                </c:pt>
                <c:pt idx="24">
                  <c:v>8.3124002766656289E-3</c:v>
                </c:pt>
                <c:pt idx="25">
                  <c:v>6.3356487062846906E-3</c:v>
                </c:pt>
              </c:numCache>
            </c:numRef>
          </c:val>
          <c:extLst>
            <c:ext xmlns:c16="http://schemas.microsoft.com/office/drawing/2014/chart" uri="{C3380CC4-5D6E-409C-BE32-E72D297353CC}">
              <c16:uniqueId val="{00000002-58A3-4A38-A731-173063ABD09E}"/>
            </c:ext>
          </c:extLst>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etapas'!$E$69:$E$94</c:f>
              <c:numCache>
                <c:formatCode>0.0%</c:formatCode>
                <c:ptCount val="26"/>
                <c:pt idx="17">
                  <c:v>4.7841968382753223E-5</c:v>
                </c:pt>
                <c:pt idx="18">
                  <c:v>1.2765066065424809E-3</c:v>
                </c:pt>
                <c:pt idx="19">
                  <c:v>4.7449512468222062E-4</c:v>
                </c:pt>
                <c:pt idx="20">
                  <c:v>1.2219304208036792E-3</c:v>
                </c:pt>
                <c:pt idx="21">
                  <c:v>1.6327062141724975E-3</c:v>
                </c:pt>
                <c:pt idx="22">
                  <c:v>1.7480835825710128E-3</c:v>
                </c:pt>
                <c:pt idx="23">
                  <c:v>1.7105917554574937E-3</c:v>
                </c:pt>
                <c:pt idx="24">
                  <c:v>1.1053546467209253E-3</c:v>
                </c:pt>
                <c:pt idx="25">
                  <c:v>3.2264996405817985E-4</c:v>
                </c:pt>
              </c:numCache>
            </c:numRef>
          </c:val>
          <c:extLst>
            <c:ext xmlns:c16="http://schemas.microsoft.com/office/drawing/2014/chart" uri="{C3380CC4-5D6E-409C-BE32-E72D297353CC}">
              <c16:uniqueId val="{00000003-58A3-4A38-A731-173063ABD09E}"/>
            </c:ext>
          </c:extLst>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etapas'!$G$69:$G$94</c:f>
              <c:numCache>
                <c:formatCode>0.0%</c:formatCode>
                <c:ptCount val="26"/>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pt idx="23">
                  <c:v>8.8075849695962542E-3</c:v>
                </c:pt>
                <c:pt idx="24">
                  <c:v>1.0359687540638353E-2</c:v>
                </c:pt>
                <c:pt idx="25">
                  <c:v>1.2578886934714758E-2</c:v>
                </c:pt>
              </c:numCache>
            </c:numRef>
          </c:val>
          <c:extLst>
            <c:ext xmlns:c16="http://schemas.microsoft.com/office/drawing/2014/chart" uri="{C3380CC4-5D6E-409C-BE32-E72D297353CC}">
              <c16:uniqueId val="{00000004-58A3-4A38-A731-173063ABD09E}"/>
            </c:ext>
          </c:extLst>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etapas'!$H$69:$H$94</c:f>
              <c:numCache>
                <c:formatCode>0.0%</c:formatCode>
                <c:ptCount val="26"/>
                <c:pt idx="23">
                  <c:v>3.8062867430678814E-3</c:v>
                </c:pt>
                <c:pt idx="24">
                  <c:v>7.6045316092612043E-3</c:v>
                </c:pt>
                <c:pt idx="25">
                  <c:v>1.213366048836579E-2</c:v>
                </c:pt>
              </c:numCache>
            </c:numRef>
          </c:val>
          <c:extLst>
            <c:ext xmlns:c16="http://schemas.microsoft.com/office/drawing/2014/chart" uri="{C3380CC4-5D6E-409C-BE32-E72D297353CC}">
              <c16:uniqueId val="{00000005-58A3-4A38-A731-173063ABD09E}"/>
            </c:ext>
          </c:extLst>
        </c:ser>
        <c:ser>
          <c:idx val="6"/>
          <c:order val="6"/>
          <c:tx>
            <c:strRef>
              <c:f>'Resultado ANSES por etapas'!$I$68</c:f>
              <c:strCache>
                <c:ptCount val="1"/>
                <c:pt idx="0">
                  <c:v>Blanqueo de capitales</c:v>
                </c:pt>
              </c:strCache>
            </c:strRef>
          </c:tx>
          <c:spPr>
            <a:solidFill>
              <a:schemeClr val="bg1">
                <a:lumMod val="85000"/>
              </a:schemeClr>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etapas'!$I$69:$I$94</c:f>
              <c:numCache>
                <c:formatCode>0.0%</c:formatCode>
                <c:ptCount val="26"/>
                <c:pt idx="23">
                  <c:v>1.2582496643220224E-2</c:v>
                </c:pt>
                <c:pt idx="24">
                  <c:v>4.2096363400800623E-3</c:v>
                </c:pt>
              </c:numCache>
            </c:numRef>
          </c:val>
          <c:extLst>
            <c:ext xmlns:c16="http://schemas.microsoft.com/office/drawing/2014/chart" uri="{C3380CC4-5D6E-409C-BE32-E72D297353CC}">
              <c16:uniqueId val="{00000006-58A3-4A38-A731-173063ABD09E}"/>
            </c:ext>
          </c:extLst>
        </c:ser>
        <c:dLbls>
          <c:showLegendKey val="0"/>
          <c:showVal val="0"/>
          <c:showCatName val="0"/>
          <c:showSerName val="0"/>
          <c:showPercent val="0"/>
          <c:showBubbleSize val="0"/>
        </c:dLbls>
        <c:gapWidth val="150"/>
        <c:overlap val="100"/>
        <c:axId val="22519606"/>
        <c:axId val="43506320"/>
      </c:barChart>
      <c:lineChart>
        <c:grouping val="stacked"/>
        <c:varyColors val="0"/>
        <c:ser>
          <c:idx val="7"/>
          <c:order val="7"/>
          <c:tx>
            <c:strRef>
              <c:f>'Resultado ANSES por etapas'!$F$68</c:f>
              <c:strCache>
                <c:ptCount val="1"/>
                <c:pt idx="0">
                  <c:v>Ingresos genuinos de ANSES</c:v>
                </c:pt>
              </c:strCache>
            </c:strRef>
          </c:tx>
          <c:spPr>
            <a:ln w="28440">
              <a:solidFill>
                <a:srgbClr val="A5A5A5"/>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etapas'!$A$69:$A$94</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etapas'!$F$69:$F$94</c:f>
              <c:numCache>
                <c:formatCode>0.0%</c:formatCode>
                <c:ptCount val="26"/>
                <c:pt idx="0">
                  <c:v>6.925610727499093E-2</c:v>
                </c:pt>
                <c:pt idx="1">
                  <c:v>6.3641365230536776E-2</c:v>
                </c:pt>
                <c:pt idx="2">
                  <c:v>6.0420014344093831E-2</c:v>
                </c:pt>
                <c:pt idx="3">
                  <c:v>6.2932221781088218E-2</c:v>
                </c:pt>
                <c:pt idx="4">
                  <c:v>6.0553806698148679E-2</c:v>
                </c:pt>
                <c:pt idx="5">
                  <c:v>6.0457694984081968E-2</c:v>
                </c:pt>
                <c:pt idx="6">
                  <c:v>5.9394955933610605E-2</c:v>
                </c:pt>
                <c:pt idx="7">
                  <c:v>6.0425037783505574E-2</c:v>
                </c:pt>
                <c:pt idx="8">
                  <c:v>5.7766687610176386E-2</c:v>
                </c:pt>
                <c:pt idx="9">
                  <c:v>4.7143677662144251E-2</c:v>
                </c:pt>
                <c:pt idx="10">
                  <c:v>5.2130738309672811E-2</c:v>
                </c:pt>
                <c:pt idx="11">
                  <c:v>5.4856874329774631E-2</c:v>
                </c:pt>
                <c:pt idx="12">
                  <c:v>5.7333950170998162E-2</c:v>
                </c:pt>
                <c:pt idx="13">
                  <c:v>6.0590391220958231E-2</c:v>
                </c:pt>
                <c:pt idx="14">
                  <c:v>7.4366469363717297E-2</c:v>
                </c:pt>
                <c:pt idx="15">
                  <c:v>7.1863067222955726E-2</c:v>
                </c:pt>
                <c:pt idx="16">
                  <c:v>8.5779615114622135E-2</c:v>
                </c:pt>
                <c:pt idx="17">
                  <c:v>8.5920138547097832E-2</c:v>
                </c:pt>
                <c:pt idx="18">
                  <c:v>8.88415857082379E-2</c:v>
                </c:pt>
                <c:pt idx="19">
                  <c:v>9.4251177299117042E-2</c:v>
                </c:pt>
                <c:pt idx="20">
                  <c:v>9.7140486489086963E-2</c:v>
                </c:pt>
                <c:pt idx="21">
                  <c:v>9.42931907423325E-2</c:v>
                </c:pt>
                <c:pt idx="22">
                  <c:v>9.7875512780156992E-2</c:v>
                </c:pt>
                <c:pt idx="23">
                  <c:v>8.9160880882168184E-2</c:v>
                </c:pt>
                <c:pt idx="24">
                  <c:v>8.6373050293991865E-2</c:v>
                </c:pt>
                <c:pt idx="25">
                  <c:v>8.4083397823009651E-2</c:v>
                </c:pt>
              </c:numCache>
            </c:numRef>
          </c:val>
          <c:smooth val="0"/>
          <c:extLst>
            <c:ext xmlns:c16="http://schemas.microsoft.com/office/drawing/2014/chart" uri="{C3380CC4-5D6E-409C-BE32-E72D297353CC}">
              <c16:uniqueId val="{00000007-58A3-4A38-A731-173063ABD09E}"/>
            </c:ext>
          </c:extLst>
        </c:ser>
        <c:dLbls>
          <c:showLegendKey val="0"/>
          <c:showVal val="0"/>
          <c:showCatName val="0"/>
          <c:showSerName val="0"/>
          <c:showPercent val="0"/>
          <c:showBubbleSize val="0"/>
        </c:dLbls>
        <c:hiLowLines>
          <c:spPr>
            <a:ln>
              <a:noFill/>
            </a:ln>
          </c:spPr>
        </c:hiLowLines>
        <c:marker val="1"/>
        <c:smooth val="0"/>
        <c:axId val="22519606"/>
        <c:axId val="43506320"/>
      </c:lineChart>
      <c:catAx>
        <c:axId val="225196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43506320"/>
        <c:crosses val="autoZero"/>
        <c:auto val="1"/>
        <c:lblAlgn val="ctr"/>
        <c:lblOffset val="100"/>
        <c:noMultiLvlLbl val="1"/>
      </c:catAx>
      <c:valAx>
        <c:axId val="43506320"/>
        <c:scaling>
          <c:orientation val="minMax"/>
          <c:max val="0.14000000000000001"/>
          <c:min val="-0.02"/>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22519606"/>
        <c:crosses val="autoZero"/>
        <c:crossBetween val="between"/>
      </c:valAx>
      <c:spPr>
        <a:noFill/>
        <a:ln>
          <a:noFill/>
        </a:ln>
      </c:spPr>
    </c:plotArea>
    <c:legend>
      <c:legendPos val="r"/>
      <c:layout>
        <c:manualLayout>
          <c:xMode val="edge"/>
          <c:yMode val="edge"/>
          <c:x val="9.5738287885225402E-3"/>
          <c:y val="0.78203996026051403"/>
          <c:w val="0.97195105691697481"/>
          <c:h val="0.217806480101562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Gastos corrientes de ANSES, % PIB</a:t>
            </a:r>
          </a:p>
        </c:rich>
      </c:tx>
      <c:layout/>
      <c:overlay val="0"/>
      <c:spPr>
        <a:noFill/>
        <a:ln>
          <a:noFill/>
        </a:ln>
      </c:spPr>
    </c:title>
    <c:autoTitleDeleted val="0"/>
    <c:plotArea>
      <c:layout/>
      <c:barChart>
        <c:barDir val="col"/>
        <c:grouping val="stacked"/>
        <c:varyColors val="0"/>
        <c:ser>
          <c:idx val="0"/>
          <c:order val="0"/>
          <c:tx>
            <c:strRef>
              <c:f>'Resultado ANSES por etapas'!$M$34</c:f>
              <c:strCache>
                <c:ptCount val="1"/>
                <c:pt idx="0">
                  <c:v>Jubilaciones y pensiones con contribuciones al PAMI, sin reparación histórica</c:v>
                </c:pt>
              </c:strCache>
            </c:strRef>
          </c:tx>
          <c:spPr>
            <a:solidFill>
              <a:srgbClr val="BDD7E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etapas'!$M$35:$M$61</c:f>
              <c:numCache>
                <c:formatCode>#,#00%</c:formatCode>
                <c:ptCount val="27"/>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3.8183854690142072E-2</c:v>
                </c:pt>
                <c:pt idx="12">
                  <c:v>3.5905084940214153E-2</c:v>
                </c:pt>
                <c:pt idx="13">
                  <c:v>3.8262785751156547E-2</c:v>
                </c:pt>
                <c:pt idx="14">
                  <c:v>5.0789303915794337E-2</c:v>
                </c:pt>
                <c:pt idx="15">
                  <c:v>5.0134758704350135E-2</c:v>
                </c:pt>
                <c:pt idx="16">
                  <c:v>5.8857647680850375E-2</c:v>
                </c:pt>
                <c:pt idx="17">
                  <c:v>5.5076484873527037E-2</c:v>
                </c:pt>
                <c:pt idx="18">
                  <c:v>5.7999274922662644E-2</c:v>
                </c:pt>
                <c:pt idx="19">
                  <c:v>6.6249457600258174E-2</c:v>
                </c:pt>
                <c:pt idx="20">
                  <c:v>6.8977914462646672E-2</c:v>
                </c:pt>
                <c:pt idx="21">
                  <c:v>6.688313609866868E-2</c:v>
                </c:pt>
                <c:pt idx="22">
                  <c:v>7.5397363256175409E-2</c:v>
                </c:pt>
                <c:pt idx="23">
                  <c:v>7.5677383227879952E-2</c:v>
                </c:pt>
                <c:pt idx="24">
                  <c:v>7.9357221383588111E-2</c:v>
                </c:pt>
                <c:pt idx="25">
                  <c:v>7.4794637614749415E-2</c:v>
                </c:pt>
                <c:pt idx="26">
                  <c:v>7.3989083667096084E-2</c:v>
                </c:pt>
              </c:numCache>
            </c:numRef>
          </c:val>
          <c:extLst>
            <c:ext xmlns:c16="http://schemas.microsoft.com/office/drawing/2014/chart" uri="{C3380CC4-5D6E-409C-BE32-E72D297353CC}">
              <c16:uniqueId val="{00000000-FE5C-46CA-886C-A153D0DBABAB}"/>
            </c:ext>
          </c:extLst>
        </c:ser>
        <c:ser>
          <c:idx val="1"/>
          <c:order val="1"/>
          <c:tx>
            <c:strRef>
              <c:f>'Resultado ANSES por etapas'!$N$34</c:f>
              <c:strCache>
                <c:ptCount val="1"/>
                <c:pt idx="0">
                  <c:v>Asignaciones familiares. Desde 2017, también pensiones no contributivas.</c:v>
                </c:pt>
              </c:strCache>
            </c:strRef>
          </c:tx>
          <c:spPr>
            <a:solidFill>
              <a:srgbClr val="F8CBAD"/>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etapas'!$N$35:$N$60</c:f>
              <c:numCache>
                <c:formatCode>0.0%</c:formatCode>
                <c:ptCount val="26"/>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6.012535225050874E-3</c:v>
                </c:pt>
                <c:pt idx="12">
                  <c:v>7.1714132424585859E-3</c:v>
                </c:pt>
                <c:pt idx="13">
                  <c:v>6.4501306174308062E-3</c:v>
                </c:pt>
                <c:pt idx="14">
                  <c:v>5.5903438281324118E-3</c:v>
                </c:pt>
                <c:pt idx="15">
                  <c:v>7.1767305900126265E-3</c:v>
                </c:pt>
                <c:pt idx="16">
                  <c:v>1.0354874411312815E-2</c:v>
                </c:pt>
                <c:pt idx="17">
                  <c:v>1.3401132173323003E-2</c:v>
                </c:pt>
                <c:pt idx="18">
                  <c:v>1.0979992404900015E-2</c:v>
                </c:pt>
                <c:pt idx="19">
                  <c:v>9.9551530889321754E-3</c:v>
                </c:pt>
                <c:pt idx="20">
                  <c:v>1.0714672094145936E-2</c:v>
                </c:pt>
                <c:pt idx="21">
                  <c:v>1.0675145393542581E-2</c:v>
                </c:pt>
                <c:pt idx="22">
                  <c:v>1.1632850375665672E-2</c:v>
                </c:pt>
                <c:pt idx="23">
                  <c:v>1.6346028618893924E-2</c:v>
                </c:pt>
                <c:pt idx="24">
                  <c:v>1.4913625060521157E-2</c:v>
                </c:pt>
                <c:pt idx="25">
                  <c:v>1.4872065107734521E-2</c:v>
                </c:pt>
              </c:numCache>
            </c:numRef>
          </c:val>
          <c:extLst>
            <c:ext xmlns:c16="http://schemas.microsoft.com/office/drawing/2014/chart" uri="{C3380CC4-5D6E-409C-BE32-E72D297353CC}">
              <c16:uniqueId val="{00000001-FE5C-46CA-886C-A153D0DBABAB}"/>
            </c:ext>
          </c:extLst>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spPr>
              <a:noFill/>
              <a:ln>
                <a:noFill/>
              </a:ln>
              <a:effectLst/>
            </c:spPr>
            <c:txPr>
              <a:bodyPr/>
              <a:lstStyle/>
              <a:p>
                <a:pPr>
                  <a:defRPr lang="es-AR" sz="900" b="1" strike="noStrike" spc="-1">
                    <a:solidFill>
                      <a:srgbClr val="404040"/>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etapas'!$O$35:$O$60</c:f>
              <c:numCache>
                <c:formatCode>0.0%</c:formatCode>
                <c:ptCount val="26"/>
                <c:pt idx="0">
                  <c:v>5.2886285344030236E-3</c:v>
                </c:pt>
                <c:pt idx="1">
                  <c:v>6.7753088693605253E-3</c:v>
                </c:pt>
                <c:pt idx="2">
                  <c:v>6.6383579073520721E-3</c:v>
                </c:pt>
                <c:pt idx="3">
                  <c:v>7.4607589826252985E-3</c:v>
                </c:pt>
                <c:pt idx="4">
                  <c:v>7.21746011483045E-3</c:v>
                </c:pt>
                <c:pt idx="5">
                  <c:v>8.1807347779316829E-3</c:v>
                </c:pt>
                <c:pt idx="6">
                  <c:v>8.6815783052517515E-3</c:v>
                </c:pt>
                <c:pt idx="7">
                  <c:v>8.4237934290853547E-3</c:v>
                </c:pt>
                <c:pt idx="8">
                  <c:v>8.5061734591231671E-3</c:v>
                </c:pt>
                <c:pt idx="9">
                  <c:v>6.7987279389676355E-3</c:v>
                </c:pt>
                <c:pt idx="10">
                  <c:v>6.7961754609359255E-3</c:v>
                </c:pt>
                <c:pt idx="11">
                  <c:v>6.2422259511127967E-3</c:v>
                </c:pt>
                <c:pt idx="12">
                  <c:v>5.9711153834111769E-3</c:v>
                </c:pt>
                <c:pt idx="13">
                  <c:v>6.2637242419292328E-3</c:v>
                </c:pt>
                <c:pt idx="14">
                  <c:v>6.9437408213559055E-3</c:v>
                </c:pt>
                <c:pt idx="15">
                  <c:v>7.5547174932076733E-3</c:v>
                </c:pt>
                <c:pt idx="16">
                  <c:v>9.632664602317504E-3</c:v>
                </c:pt>
                <c:pt idx="17">
                  <c:v>1.0106337029217921E-2</c:v>
                </c:pt>
                <c:pt idx="18">
                  <c:v>1.2099265132152627E-2</c:v>
                </c:pt>
                <c:pt idx="19">
                  <c:v>1.2918271633261261E-2</c:v>
                </c:pt>
                <c:pt idx="20">
                  <c:v>1.4621820030758721E-2</c:v>
                </c:pt>
                <c:pt idx="21">
                  <c:v>1.4141231944009588E-2</c:v>
                </c:pt>
                <c:pt idx="22">
                  <c:v>1.453913181567601E-2</c:v>
                </c:pt>
                <c:pt idx="23">
                  <c:v>1.3742470621615904E-2</c:v>
                </c:pt>
                <c:pt idx="24">
                  <c:v>1.2786672143228515E-2</c:v>
                </c:pt>
                <c:pt idx="25">
                  <c:v>9.6504177783760716E-3</c:v>
                </c:pt>
              </c:numCache>
            </c:numRef>
          </c:val>
          <c:extLst>
            <c:ext xmlns:c16="http://schemas.microsoft.com/office/drawing/2014/chart" uri="{C3380CC4-5D6E-409C-BE32-E72D297353CC}">
              <c16:uniqueId val="{00000002-FE5C-46CA-886C-A153D0DBABAB}"/>
            </c:ext>
          </c:extLst>
        </c:ser>
        <c:ser>
          <c:idx val="3"/>
          <c:order val="3"/>
          <c:tx>
            <c:strRef>
              <c:f>'Resultado ANSES por etapas'!$P$34</c:f>
              <c:strCache>
                <c:ptCount val="1"/>
                <c:pt idx="0">
                  <c:v>Gastos de consumo de ANSES</c:v>
                </c:pt>
              </c:strCache>
            </c:strRef>
          </c:tx>
          <c:spPr>
            <a:solidFill>
              <a:srgbClr val="FFC000"/>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etapas'!$P$35:$P$60</c:f>
              <c:numCache>
                <c:formatCode>0.0%</c:formatCode>
                <c:ptCount val="26"/>
                <c:pt idx="0">
                  <c:v>1.4899099917563394E-3</c:v>
                </c:pt>
                <c:pt idx="1">
                  <c:v>1.146258007796943E-3</c:v>
                </c:pt>
                <c:pt idx="2">
                  <c:v>1.1921532722603625E-3</c:v>
                </c:pt>
                <c:pt idx="3">
                  <c:v>1.7103134529435297E-3</c:v>
                </c:pt>
                <c:pt idx="4">
                  <c:v>1.13559901995312E-3</c:v>
                </c:pt>
                <c:pt idx="5">
                  <c:v>1.0248131568665125E-3</c:v>
                </c:pt>
                <c:pt idx="6">
                  <c:v>8.5904797363688221E-4</c:v>
                </c:pt>
                <c:pt idx="7">
                  <c:v>7.6389914743401916E-4</c:v>
                </c:pt>
                <c:pt idx="8">
                  <c:v>6.8849236067155802E-4</c:v>
                </c:pt>
                <c:pt idx="9">
                  <c:v>6.741155799202933E-4</c:v>
                </c:pt>
                <c:pt idx="10">
                  <c:v>6.9561124327544065E-4</c:v>
                </c:pt>
                <c:pt idx="11">
                  <c:v>6.201748342075749E-4</c:v>
                </c:pt>
                <c:pt idx="12">
                  <c:v>7.7527622947488732E-4</c:v>
                </c:pt>
                <c:pt idx="13">
                  <c:v>8.3738426362242894E-4</c:v>
                </c:pt>
                <c:pt idx="14">
                  <c:v>9.3443366631513894E-4</c:v>
                </c:pt>
                <c:pt idx="15">
                  <c:v>1.1011291376003744E-3</c:v>
                </c:pt>
                <c:pt idx="16">
                  <c:v>1.7812244536541564E-3</c:v>
                </c:pt>
                <c:pt idx="17">
                  <c:v>1.9327338796220422E-3</c:v>
                </c:pt>
                <c:pt idx="18">
                  <c:v>2.1921343380464898E-3</c:v>
                </c:pt>
                <c:pt idx="19">
                  <c:v>2.3668122016848488E-3</c:v>
                </c:pt>
                <c:pt idx="20">
                  <c:v>2.1080695696970185E-3</c:v>
                </c:pt>
                <c:pt idx="21">
                  <c:v>2.0813338150341737E-3</c:v>
                </c:pt>
                <c:pt idx="22">
                  <c:v>2.0992538040870605E-3</c:v>
                </c:pt>
                <c:pt idx="23">
                  <c:v>1.770725491435783E-3</c:v>
                </c:pt>
                <c:pt idx="24">
                  <c:v>1.7270509378138103E-3</c:v>
                </c:pt>
                <c:pt idx="25">
                  <c:v>1.4822546905173355E-3</c:v>
                </c:pt>
              </c:numCache>
            </c:numRef>
          </c:val>
          <c:extLst>
            <c:ext xmlns:c16="http://schemas.microsoft.com/office/drawing/2014/chart" uri="{C3380CC4-5D6E-409C-BE32-E72D297353CC}">
              <c16:uniqueId val="{00000003-FE5C-46CA-886C-A153D0DBABAB}"/>
            </c:ext>
          </c:extLst>
        </c:ser>
        <c:ser>
          <c:idx val="4"/>
          <c:order val="4"/>
          <c:tx>
            <c:strRef>
              <c:f>'Resultado ANSES por etapas'!$Q$34</c:f>
              <c:strCache>
                <c:ptCount val="1"/>
                <c:pt idx="0">
                  <c:v>Pago de sentencias</c:v>
                </c:pt>
              </c:strCache>
            </c:strRef>
          </c:tx>
          <c:spPr>
            <a:solidFill>
              <a:srgbClr val="4472C4"/>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etapas'!$Q$35:$Q$60</c:f>
              <c:numCache>
                <c:formatCode>0.0%</c:formatCode>
                <c:ptCount val="26"/>
                <c:pt idx="15">
                  <c:v>1.1668965370281548E-3</c:v>
                </c:pt>
                <c:pt idx="16">
                  <c:v>1.6750269346199568E-3</c:v>
                </c:pt>
                <c:pt idx="17">
                  <c:v>1.2916127891811728E-3</c:v>
                </c:pt>
                <c:pt idx="18">
                  <c:v>1.0313332451235664E-3</c:v>
                </c:pt>
                <c:pt idx="19">
                  <c:v>1.2353701400083462E-3</c:v>
                </c:pt>
                <c:pt idx="20">
                  <c:v>1.6696788899997676E-3</c:v>
                </c:pt>
                <c:pt idx="21">
                  <c:v>1.80520724704594E-3</c:v>
                </c:pt>
                <c:pt idx="22">
                  <c:v>1.7142465903260647E-3</c:v>
                </c:pt>
                <c:pt idx="23">
                  <c:v>1.9710726181915404E-3</c:v>
                </c:pt>
                <c:pt idx="24">
                  <c:v>1.6931827770299091E-3</c:v>
                </c:pt>
                <c:pt idx="25">
                  <c:v>1.5558204318447749E-3</c:v>
                </c:pt>
              </c:numCache>
            </c:numRef>
          </c:val>
          <c:extLst>
            <c:ext xmlns:c16="http://schemas.microsoft.com/office/drawing/2014/chart" uri="{C3380CC4-5D6E-409C-BE32-E72D297353CC}">
              <c16:uniqueId val="{00000004-FE5C-46CA-886C-A153D0DBABAB}"/>
            </c:ext>
          </c:extLst>
        </c:ser>
        <c:ser>
          <c:idx val="5"/>
          <c:order val="5"/>
          <c:tx>
            <c:strRef>
              <c:f>'Resultado ANSES por etapas'!$S$34</c:f>
              <c:strCache>
                <c:ptCount val="1"/>
                <c:pt idx="0">
                  <c:v>Gastos Reparación Histórica</c:v>
                </c:pt>
              </c:strCache>
            </c:strRef>
          </c:tx>
          <c:spPr>
            <a:solidFill>
              <a:srgbClr val="E7E6E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etapas'!$S$35:$S$60</c:f>
              <c:numCache>
                <c:formatCode>0.0%</c:formatCode>
                <c:ptCount val="26"/>
                <c:pt idx="23">
                  <c:v>7.7108373463174616E-4</c:v>
                </c:pt>
                <c:pt idx="24">
                  <c:v>3.7188875483721521E-3</c:v>
                </c:pt>
                <c:pt idx="25">
                  <c:v>5.091301115412567E-3</c:v>
                </c:pt>
              </c:numCache>
            </c:numRef>
          </c:val>
          <c:extLst>
            <c:ext xmlns:c16="http://schemas.microsoft.com/office/drawing/2014/chart" uri="{C3380CC4-5D6E-409C-BE32-E72D297353CC}">
              <c16:uniqueId val="{00000005-FE5C-46CA-886C-A153D0DBABAB}"/>
            </c:ext>
          </c:extLst>
        </c:ser>
        <c:dLbls>
          <c:showLegendKey val="0"/>
          <c:showVal val="0"/>
          <c:showCatName val="0"/>
          <c:showSerName val="0"/>
          <c:showPercent val="0"/>
          <c:showBubbleSize val="0"/>
        </c:dLbls>
        <c:gapWidth val="150"/>
        <c:overlap val="100"/>
        <c:axId val="21755851"/>
        <c:axId val="6043035"/>
      </c:barChart>
      <c:lineChart>
        <c:grouping val="stacked"/>
        <c:varyColors val="0"/>
        <c:ser>
          <c:idx val="6"/>
          <c:order val="6"/>
          <c:tx>
            <c:strRef>
              <c:f>'Resultado ANSES por etapas'!$R$34</c:f>
              <c:strCache>
                <c:ptCount val="1"/>
                <c:pt idx="0">
                  <c:v>Gastos totales de ANSES, sin Reparación Histórica</c:v>
                </c:pt>
              </c:strCache>
            </c:strRef>
          </c:tx>
          <c:spPr>
            <a:ln w="28440">
              <a:solidFill>
                <a:srgbClr val="70AD47"/>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'Resultado ANSES por etapas'!$L$35:$L$60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'Resultado ANSES por etapas'!$R$35:$R$60</c:f>
              <c:numCache>
                <c:formatCode>0.0%</c:formatCode>
                <c:ptCount val="26"/>
                <c:pt idx="0">
                  <c:v>7.105793541767054E-2</c:v>
                </c:pt>
                <c:pt idx="1">
                  <c:v>7.6822014201286246E-2</c:v>
                </c:pt>
                <c:pt idx="2">
                  <c:v>6.6831061462354499E-2</c:v>
                </c:pt>
                <c:pt idx="3">
                  <c:v>6.8336049786620084E-2</c:v>
                </c:pt>
                <c:pt idx="4">
                  <c:v>6.3818055886723915E-2</c:v>
                </c:pt>
                <c:pt idx="5">
                  <c:v>6.31662534132158E-2</c:v>
                </c:pt>
                <c:pt idx="6">
                  <c:v>6.7163544838241912E-2</c:v>
                </c:pt>
                <c:pt idx="7">
                  <c:v>6.7168662818673411E-2</c:v>
                </c:pt>
                <c:pt idx="8">
                  <c:v>6.7932895851236588E-2</c:v>
                </c:pt>
                <c:pt idx="9">
                  <c:v>5.8600923821356427E-2</c:v>
                </c:pt>
                <c:pt idx="10">
                  <c:v>5.7063467807724616E-2</c:v>
                </c:pt>
                <c:pt idx="11">
                  <c:v>5.1058790700513314E-2</c:v>
                </c:pt>
                <c:pt idx="12">
                  <c:v>4.9822889795558808E-2</c:v>
                </c:pt>
                <c:pt idx="13">
                  <c:v>5.1814024874139011E-2</c:v>
                </c:pt>
                <c:pt idx="14">
                  <c:v>6.4257822231597803E-2</c:v>
                </c:pt>
                <c:pt idx="15">
                  <c:v>6.7134232462198962E-2</c:v>
                </c:pt>
                <c:pt idx="16">
                  <c:v>8.2301438082754808E-2</c:v>
                </c:pt>
                <c:pt idx="17">
                  <c:v>8.1808300744871193E-2</c:v>
                </c:pt>
                <c:pt idx="18">
                  <c:v>8.4302000042885336E-2</c:v>
                </c:pt>
                <c:pt idx="19">
                  <c:v>9.2725064664144805E-2</c:v>
                </c:pt>
                <c:pt idx="20">
                  <c:v>9.8092155047248109E-2</c:v>
                </c:pt>
                <c:pt idx="21">
                  <c:v>9.558605449830096E-2</c:v>
                </c:pt>
                <c:pt idx="22">
                  <c:v>0.10538284584193021</c:v>
                </c:pt>
                <c:pt idx="23">
                  <c:v>0.1095076805780171</c:v>
                </c:pt>
                <c:pt idx="24">
                  <c:v>0.1104777523021815</c:v>
                </c:pt>
                <c:pt idx="25">
                  <c:v>0.10235519562322212</c:v>
                </c:pt>
              </c:numCache>
            </c:numRef>
          </c:val>
          <c:smooth val="0"/>
          <c:extLst>
            <c:ext xmlns:c16="http://schemas.microsoft.com/office/drawing/2014/chart" uri="{C3380CC4-5D6E-409C-BE32-E72D297353CC}">
              <c16:uniqueId val="{00000006-FE5C-46CA-886C-A153D0DBABAB}"/>
            </c:ext>
          </c:extLst>
        </c:ser>
        <c:dLbls>
          <c:showLegendKey val="0"/>
          <c:showVal val="0"/>
          <c:showCatName val="0"/>
          <c:showSerName val="0"/>
          <c:showPercent val="0"/>
          <c:showBubbleSize val="0"/>
        </c:dLbls>
        <c:hiLowLines>
          <c:spPr>
            <a:ln>
              <a:noFill/>
            </a:ln>
          </c:spPr>
        </c:hiLowLines>
        <c:marker val="1"/>
        <c:smooth val="0"/>
        <c:axId val="21755851"/>
        <c:axId val="6043035"/>
      </c:lineChart>
      <c:catAx>
        <c:axId val="2175585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6043035"/>
        <c:crosses val="autoZero"/>
        <c:auto val="1"/>
        <c:lblAlgn val="ctr"/>
        <c:lblOffset val="100"/>
        <c:noMultiLvlLbl val="1"/>
      </c:catAx>
      <c:valAx>
        <c:axId val="604303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21755851"/>
        <c:crosses val="autoZero"/>
        <c:crossBetween val="between"/>
      </c:valAx>
      <c:spPr>
        <a:noFill/>
        <a:ln>
          <a:noFill/>
        </a:ln>
      </c:spPr>
    </c:plotArea>
    <c:legend>
      <c:legendPos val="b"/>
      <c:layout/>
      <c:overlay val="0"/>
      <c:spPr>
        <a:noFill/>
        <a:ln>
          <a:noFill/>
        </a:ln>
      </c:spPr>
      <c:txPr>
        <a:bodyPr/>
        <a:lstStyle/>
        <a:p>
          <a:pPr>
            <a:defRPr lang="es-AR" sz="900" b="0" strike="noStrike" spc="-1">
              <a:solidFill>
                <a:srgbClr val="595959"/>
              </a:solidFill>
              <a:latin typeface="Calibri"/>
            </a:defRPr>
          </a:pPr>
          <a:endParaRPr lang="es-ES"/>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600" b="1" strike="noStrike" spc="-1">
                <a:solidFill>
                  <a:srgbClr val="44546A"/>
                </a:solidFill>
                <a:latin typeface="Calibri"/>
              </a:defRPr>
            </a:pPr>
            <a:r>
              <a:rPr lang="es-AR" sz="1600" b="1" strike="noStrike" spc="-1">
                <a:solidFill>
                  <a:srgbClr val="44546A"/>
                </a:solidFill>
                <a:latin typeface="Calibri"/>
              </a:rPr>
              <a:t>Gastos contributivos y no contributivos de ANSES (1993-2018)</a:t>
            </a:r>
          </a:p>
        </c:rich>
      </c:tx>
      <c:layout/>
      <c:overlay val="0"/>
      <c:spPr>
        <a:noFill/>
        <a:ln>
          <a:noFill/>
        </a:ln>
      </c:spPr>
    </c:title>
    <c:autoTitleDeleted val="0"/>
    <c:plotArea>
      <c:layout>
        <c:manualLayout>
          <c:layoutTarget val="inner"/>
          <c:xMode val="edge"/>
          <c:yMode val="edge"/>
          <c:x val="5.8813036138251416E-2"/>
          <c:y val="6.7256063613909359E-2"/>
          <c:w val="0.58589975571915021"/>
          <c:h val="0.86418839962590732"/>
        </c:manualLayout>
      </c:layout>
      <c:barChart>
        <c:barDir val="col"/>
        <c:grouping val="stacked"/>
        <c:varyColors val="0"/>
        <c:ser>
          <c:idx val="0"/>
          <c:order val="0"/>
          <c:tx>
            <c:strRef>
              <c:f>'Contrib gastos ANSES'!$D$34:$D$35</c:f>
              <c:strCache>
                <c:ptCount val="2"/>
                <c:pt idx="0">
                  <c:v>Jubilaciones contributivas + sentencias</c:v>
                </c:pt>
              </c:strCache>
            </c:strRef>
          </c:tx>
          <c:spPr>
            <a:solidFill>
              <a:srgbClr val="FFCC00">
                <a:alpha val="80000"/>
              </a:srgbClr>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ANSES'!$D$36:$D$61</c:f>
              <c:numCache>
                <c:formatCode>0.0%</c:formatCode>
                <c:ptCount val="26"/>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3.6705436096271998E-2</c:v>
                </c:pt>
                <c:pt idx="12">
                  <c:v>3.45505912680115E-2</c:v>
                </c:pt>
                <c:pt idx="13">
                  <c:v>3.6841887116250499E-2</c:v>
                </c:pt>
                <c:pt idx="14">
                  <c:v>3.5489775896817302E-2</c:v>
                </c:pt>
                <c:pt idx="15">
                  <c:v>3.4656582926936415E-2</c:v>
                </c:pt>
                <c:pt idx="16">
                  <c:v>4.0416051787555599E-2</c:v>
                </c:pt>
                <c:pt idx="17">
                  <c:v>3.6348260537861471E-2</c:v>
                </c:pt>
                <c:pt idx="18">
                  <c:v>3.7471895440921416E-2</c:v>
                </c:pt>
                <c:pt idx="19">
                  <c:v>4.32445144444151E-2</c:v>
                </c:pt>
                <c:pt idx="20">
                  <c:v>4.5654600508621655E-2</c:v>
                </c:pt>
                <c:pt idx="21">
                  <c:v>4.4544938245054434E-2</c:v>
                </c:pt>
                <c:pt idx="22">
                  <c:v>4.7130472176589992E-2</c:v>
                </c:pt>
                <c:pt idx="23">
                  <c:v>4.6694023650467237E-2</c:v>
                </c:pt>
                <c:pt idx="24">
                  <c:v>4.7455043033728807E-2</c:v>
                </c:pt>
                <c:pt idx="25">
                  <c:v>4.3690559434116788E-2</c:v>
                </c:pt>
              </c:numCache>
            </c:numRef>
          </c:val>
          <c:extLst>
            <c:ext xmlns:c16="http://schemas.microsoft.com/office/drawing/2014/chart" uri="{C3380CC4-5D6E-409C-BE32-E72D297353CC}">
              <c16:uniqueId val="{00000000-074C-4EC3-9C87-FC8D32B94961}"/>
            </c:ext>
          </c:extLst>
        </c:ser>
        <c:ser>
          <c:idx val="1"/>
          <c:order val="1"/>
          <c:tx>
            <c:strRef>
              <c:f>'Contrib gastos ANSES'!$L$34:$L$35</c:f>
              <c:strCache>
                <c:ptCount val="2"/>
                <c:pt idx="0">
                  <c:v>Transferencias al PAMI</c:v>
                </c:pt>
              </c:strCache>
            </c:strRef>
          </c:tx>
          <c:spPr>
            <a:solidFill>
              <a:srgbClr val="C55A11"/>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ANSES'!$L$36:$L$61</c:f>
              <c:numCache>
                <c:formatCode>0.0%</c:formatCode>
                <c:ptCount val="26"/>
                <c:pt idx="11">
                  <c:v>1.47841859387012E-3</c:v>
                </c:pt>
                <c:pt idx="12">
                  <c:v>1.3544936722026E-3</c:v>
                </c:pt>
                <c:pt idx="13">
                  <c:v>1.420898634906E-3</c:v>
                </c:pt>
                <c:pt idx="14">
                  <c:v>1.8084480471693999E-3</c:v>
                </c:pt>
                <c:pt idx="15">
                  <c:v>1.75828728657165E-3</c:v>
                </c:pt>
                <c:pt idx="16">
                  <c:v>2.0413731238185001E-3</c:v>
                </c:pt>
                <c:pt idx="17">
                  <c:v>1.90415963472408E-3</c:v>
                </c:pt>
                <c:pt idx="18">
                  <c:v>2.0069245176330599E-3</c:v>
                </c:pt>
                <c:pt idx="19">
                  <c:v>2.29177017069741E-3</c:v>
                </c:pt>
                <c:pt idx="20">
                  <c:v>2.3856199639117502E-3</c:v>
                </c:pt>
                <c:pt idx="21">
                  <c:v>2.3272132721660998E-3</c:v>
                </c:pt>
                <c:pt idx="22">
                  <c:v>2.6068870526325802E-3</c:v>
                </c:pt>
                <c:pt idx="23">
                  <c:v>2.6363088474017199E-3</c:v>
                </c:pt>
                <c:pt idx="24">
                  <c:v>2.9707973317415599E-3</c:v>
                </c:pt>
                <c:pt idx="25">
                  <c:v>2.8175310521751699E-3</c:v>
                </c:pt>
              </c:numCache>
            </c:numRef>
          </c:val>
          <c:extLst>
            <c:ext xmlns:c16="http://schemas.microsoft.com/office/drawing/2014/chart" uri="{C3380CC4-5D6E-409C-BE32-E72D297353CC}">
              <c16:uniqueId val="{00000001-074C-4EC3-9C87-FC8D32B94961}"/>
            </c:ext>
          </c:extLst>
        </c:ser>
        <c:ser>
          <c:idx val="2"/>
          <c:order val="2"/>
          <c:tx>
            <c:strRef>
              <c:f>'Contrib gastos ANSES'!$F$34:$F$35</c:f>
              <c:strCache>
                <c:ptCount val="2"/>
                <c:pt idx="0">
                  <c:v>Transferencias corrientes contributivas (asignaciones familiares)</c:v>
                </c:pt>
              </c:strCache>
            </c:strRef>
          </c:tx>
          <c:spPr>
            <a:solidFill>
              <a:srgbClr val="FF9933"/>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ANSES'!$F$36:$F$61</c:f>
              <c:numCache>
                <c:formatCode>0.0%</c:formatCode>
                <c:ptCount val="26"/>
                <c:pt idx="0">
                  <c:v>1.1642303700453001E-2</c:v>
                </c:pt>
                <c:pt idx="1">
                  <c:v>1.0724084071542199E-2</c:v>
                </c:pt>
                <c:pt idx="2">
                  <c:v>3.37186702375018E-3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6.0125352250508697E-3</c:v>
                </c:pt>
                <c:pt idx="12">
                  <c:v>7.1714132424585799E-3</c:v>
                </c:pt>
                <c:pt idx="13">
                  <c:v>6.4501306174308097E-3</c:v>
                </c:pt>
                <c:pt idx="14">
                  <c:v>5.5903438281324101E-3</c:v>
                </c:pt>
                <c:pt idx="15">
                  <c:v>7.17673059001263E-3</c:v>
                </c:pt>
                <c:pt idx="16">
                  <c:v>1.03548744113128E-2</c:v>
                </c:pt>
                <c:pt idx="17">
                  <c:v>9.5858996177142896E-3</c:v>
                </c:pt>
                <c:pt idx="18">
                  <c:v>6.8328806074936599E-3</c:v>
                </c:pt>
                <c:pt idx="19">
                  <c:v>5.7212871165634796E-3</c:v>
                </c:pt>
                <c:pt idx="20">
                  <c:v>5.9944408584129303E-3</c:v>
                </c:pt>
                <c:pt idx="21">
                  <c:v>5.33065417293667E-3</c:v>
                </c:pt>
                <c:pt idx="22">
                  <c:v>4.7634745984560098E-3</c:v>
                </c:pt>
                <c:pt idx="23">
                  <c:v>9.1123502299378396E-3</c:v>
                </c:pt>
                <c:pt idx="24">
                  <c:v>8.4999227567963097E-3</c:v>
                </c:pt>
                <c:pt idx="25">
                  <c:v>8.7005508727895295E-3</c:v>
                </c:pt>
              </c:numCache>
            </c:numRef>
          </c:val>
          <c:extLst>
            <c:ext xmlns:c16="http://schemas.microsoft.com/office/drawing/2014/chart" uri="{C3380CC4-5D6E-409C-BE32-E72D297353CC}">
              <c16:uniqueId val="{00000002-074C-4EC3-9C87-FC8D32B94961}"/>
            </c:ext>
          </c:extLst>
        </c:ser>
        <c:ser>
          <c:idx val="3"/>
          <c:order val="3"/>
          <c:tx>
            <c:strRef>
              <c:f>'Contrib gastos ANSES'!$E$34:$E$35</c:f>
              <c:strCache>
                <c:ptCount val="2"/>
                <c:pt idx="0">
                  <c:v>Gastos figurativos (ISS y Admin. Cent), de consumo y rentas de la propiedad</c:v>
                </c:pt>
              </c:strCache>
            </c:strRef>
          </c:tx>
          <c:spPr>
            <a:solidFill>
              <a:srgbClr val="FFFF66"/>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ANSES'!$E$36:$E$61</c:f>
              <c:numCache>
                <c:formatCode>0.0%</c:formatCode>
                <c:ptCount val="26"/>
                <c:pt idx="0">
                  <c:v>6.7785385261593632E-3</c:v>
                </c:pt>
                <c:pt idx="1">
                  <c:v>7.9215668771574679E-3</c:v>
                </c:pt>
                <c:pt idx="2">
                  <c:v>7.8305111796124344E-3</c:v>
                </c:pt>
                <c:pt idx="3">
                  <c:v>7.1998984259195199E-3</c:v>
                </c:pt>
                <c:pt idx="4">
                  <c:v>6.4869708468569464E-3</c:v>
                </c:pt>
                <c:pt idx="5">
                  <c:v>7.4267108222887688E-3</c:v>
                </c:pt>
                <c:pt idx="6">
                  <c:v>7.6325527803960611E-3</c:v>
                </c:pt>
                <c:pt idx="7">
                  <c:v>6.8353685392557153E-3</c:v>
                </c:pt>
                <c:pt idx="8">
                  <c:v>6.6701200193906825E-3</c:v>
                </c:pt>
                <c:pt idx="9">
                  <c:v>5.5559808175333052E-3</c:v>
                </c:pt>
                <c:pt idx="10">
                  <c:v>5.6618809736537021E-3</c:v>
                </c:pt>
                <c:pt idx="11">
                  <c:v>4.5687049424158232E-3</c:v>
                </c:pt>
                <c:pt idx="12">
                  <c:v>4.461229480595485E-3</c:v>
                </c:pt>
                <c:pt idx="13">
                  <c:v>4.3205737939079189E-3</c:v>
                </c:pt>
                <c:pt idx="14">
                  <c:v>4.2981635834583665E-3</c:v>
                </c:pt>
                <c:pt idx="15">
                  <c:v>4.6063679098509031E-3</c:v>
                </c:pt>
                <c:pt idx="16">
                  <c:v>5.941243361682445E-3</c:v>
                </c:pt>
                <c:pt idx="17">
                  <c:v>6.0589604617374785E-3</c:v>
                </c:pt>
                <c:pt idx="18">
                  <c:v>7.4482857567049997E-3</c:v>
                </c:pt>
                <c:pt idx="19">
                  <c:v>6.5779109508667059E-3</c:v>
                </c:pt>
                <c:pt idx="20">
                  <c:v>7.2530389013463177E-3</c:v>
                </c:pt>
                <c:pt idx="21">
                  <c:v>6.5773848338126963E-3</c:v>
                </c:pt>
                <c:pt idx="22">
                  <c:v>6.1815189197769139E-3</c:v>
                </c:pt>
                <c:pt idx="23">
                  <c:v>5.7971604926908924E-3</c:v>
                </c:pt>
                <c:pt idx="24">
                  <c:v>5.8260065366792443E-3</c:v>
                </c:pt>
                <c:pt idx="25">
                  <c:v>5.0226827800829094E-3</c:v>
                </c:pt>
              </c:numCache>
            </c:numRef>
          </c:val>
          <c:extLst>
            <c:ext xmlns:c16="http://schemas.microsoft.com/office/drawing/2014/chart" uri="{C3380CC4-5D6E-409C-BE32-E72D297353CC}">
              <c16:uniqueId val="{00000003-074C-4EC3-9C87-FC8D32B94961}"/>
            </c:ext>
          </c:extLst>
        </c:ser>
        <c:ser>
          <c:idx val="4"/>
          <c:order val="4"/>
          <c:tx>
            <c:strRef>
              <c:f>'Contrib gastos ANSES'!$H$34:$H$35</c:f>
              <c:strCache>
                <c:ptCount val="2"/>
                <c:pt idx="0">
                  <c:v>Jubilaciones por moratoria y PUAM</c:v>
                </c:pt>
              </c:strCache>
            </c:strRef>
          </c:tx>
          <c:spPr>
            <a:solidFill>
              <a:srgbClr val="8FAADC"/>
            </a:solidFill>
            <a:ln>
              <a:noFill/>
            </a:ln>
          </c:spPr>
          <c:invertIfNegative val="0"/>
          <c:dLbls>
            <c:spPr>
              <a:noFill/>
              <a:ln>
                <a:noFill/>
              </a:ln>
              <a:effectLst/>
            </c:spPr>
            <c:txPr>
              <a:bodyPr rot="-5400000"/>
              <a:lstStyle/>
              <a:p>
                <a:pPr>
                  <a:defRPr lang="es-AR" sz="1200" b="1" strike="noStrike" spc="-1">
                    <a:solidFill>
                      <a:srgbClr val="44546A"/>
                    </a:solidFill>
                    <a:latin typeface="Calibri"/>
                  </a:defRPr>
                </a:pPr>
                <a:endParaRPr lang="es-ES"/>
              </a:p>
            </c:txPr>
            <c:dLblPos val="ctr"/>
            <c:showLegendKey val="0"/>
            <c:showVal val="1"/>
            <c:showCatName val="0"/>
            <c:showSerName val="0"/>
            <c:showPercent val="0"/>
            <c:showBubbleSize val="1"/>
            <c:separator>; </c:separator>
            <c:showLeaderLines val="0"/>
            <c:extLst>
              <c:ext xmlns:c15="http://schemas.microsoft.com/office/drawing/2012/chart" uri="{CE6537A1-D6FC-4f65-9D91-7224C49458BB}">
                <c15:layout/>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ANSES'!$H$36:$H$61</c:f>
              <c:numCache>
                <c:formatCode>0.0%</c:formatCode>
                <c:ptCount val="26"/>
                <c:pt idx="14">
                  <c:v>1.34910799718077E-2</c:v>
                </c:pt>
                <c:pt idx="15">
                  <c:v>1.4886785027870201E-2</c:v>
                </c:pt>
                <c:pt idx="16">
                  <c:v>1.80752497040962E-2</c:v>
                </c:pt>
                <c:pt idx="17">
                  <c:v>1.8115677490122599E-2</c:v>
                </c:pt>
                <c:pt idx="18">
                  <c:v>1.9551788209231698E-2</c:v>
                </c:pt>
                <c:pt idx="19">
                  <c:v>2.1948543125153999E-2</c:v>
                </c:pt>
                <c:pt idx="20">
                  <c:v>2.2607372880113E-2</c:v>
                </c:pt>
                <c:pt idx="21">
                  <c:v>2.1816191828494098E-2</c:v>
                </c:pt>
                <c:pt idx="22">
                  <c:v>2.7374250617278901E-2</c:v>
                </c:pt>
                <c:pt idx="23">
                  <c:v>2.8318123348202499E-2</c:v>
                </c:pt>
                <c:pt idx="24">
                  <c:v>2.97439698167444E-2</c:v>
                </c:pt>
                <c:pt idx="25">
                  <c:v>2.7220021984051199E-2</c:v>
                </c:pt>
              </c:numCache>
            </c:numRef>
          </c:val>
          <c:extLst>
            <c:ext xmlns:c16="http://schemas.microsoft.com/office/drawing/2014/chart" uri="{C3380CC4-5D6E-409C-BE32-E72D297353CC}">
              <c16:uniqueId val="{00000004-074C-4EC3-9C87-FC8D32B94961}"/>
            </c:ext>
          </c:extLst>
        </c:ser>
        <c:ser>
          <c:idx val="5"/>
          <c:order val="5"/>
          <c:tx>
            <c:strRef>
              <c:f>'Contrib gastos ANSES'!$I$34:$I$35</c:f>
              <c:strCache>
                <c:ptCount val="2"/>
                <c:pt idx="0">
                  <c:v>Transferencias corrientes no contributivas (AUH y PROGRESAR)</c:v>
                </c:pt>
              </c:strCache>
            </c:strRef>
          </c:tx>
          <c:spPr>
            <a:solidFill>
              <a:srgbClr val="2F5597"/>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ANSES'!$I$36:$I$61</c:f>
              <c:numCache>
                <c:formatCode>0.0%</c:formatCode>
                <c:ptCount val="26"/>
                <c:pt idx="17">
                  <c:v>3.8152325556087001E-3</c:v>
                </c:pt>
                <c:pt idx="18">
                  <c:v>4.1471117974063504E-3</c:v>
                </c:pt>
                <c:pt idx="19">
                  <c:v>4.2338659723687097E-3</c:v>
                </c:pt>
                <c:pt idx="20">
                  <c:v>4.720231235733E-3</c:v>
                </c:pt>
                <c:pt idx="21">
                  <c:v>5.3444912206059196E-3</c:v>
                </c:pt>
                <c:pt idx="22">
                  <c:v>6.8693757772096704E-3</c:v>
                </c:pt>
                <c:pt idx="23">
                  <c:v>7.2336783889560803E-3</c:v>
                </c:pt>
                <c:pt idx="24">
                  <c:v>6.4137023037248199E-3</c:v>
                </c:pt>
                <c:pt idx="25">
                  <c:v>6.1715142349449701E-3</c:v>
                </c:pt>
              </c:numCache>
            </c:numRef>
          </c:val>
          <c:extLst>
            <c:ext xmlns:c16="http://schemas.microsoft.com/office/drawing/2014/chart" uri="{C3380CC4-5D6E-409C-BE32-E72D297353CC}">
              <c16:uniqueId val="{00000005-074C-4EC3-9C87-FC8D32B94961}"/>
            </c:ext>
          </c:extLst>
        </c:ser>
        <c:ser>
          <c:idx val="6"/>
          <c:order val="6"/>
          <c:tx>
            <c:strRef>
              <c:f>'Contrib gastos ANSES'!$J$34:$J$35</c:f>
              <c:strCache>
                <c:ptCount val="2"/>
                <c:pt idx="0">
                  <c:v>Gastos figurativos: PNC</c:v>
                </c:pt>
              </c:strCache>
            </c:strRef>
          </c:tx>
          <c:spPr>
            <a:solidFill>
              <a:srgbClr val="548235"/>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ANSES'!$J$36:$J$61</c:f>
              <c:numCache>
                <c:formatCode>0.0%</c:formatCode>
                <c:ptCount val="26"/>
                <c:pt idx="0">
                  <c:v>0</c:v>
                </c:pt>
                <c:pt idx="1">
                  <c:v>1.7119370322330599E-3</c:v>
                </c:pt>
                <c:pt idx="2">
                  <c:v>1.98401285923971E-3</c:v>
                </c:pt>
                <c:pt idx="3">
                  <c:v>1.97117400964931E-3</c:v>
                </c:pt>
                <c:pt idx="4">
                  <c:v>1.86608828792662E-3</c:v>
                </c:pt>
                <c:pt idx="5">
                  <c:v>1.7788371125094301E-3</c:v>
                </c:pt>
                <c:pt idx="6">
                  <c:v>1.9080734984925701E-3</c:v>
                </c:pt>
                <c:pt idx="7">
                  <c:v>2.3523240372636599E-3</c:v>
                </c:pt>
                <c:pt idx="8">
                  <c:v>2.5245458004040399E-3</c:v>
                </c:pt>
                <c:pt idx="9">
                  <c:v>1.9168627013546201E-3</c:v>
                </c:pt>
                <c:pt idx="10">
                  <c:v>1.8299057305576601E-3</c:v>
                </c:pt>
                <c:pt idx="11">
                  <c:v>2.2936958429045501E-3</c:v>
                </c:pt>
                <c:pt idx="12">
                  <c:v>2.2851621322905798E-3</c:v>
                </c:pt>
                <c:pt idx="13">
                  <c:v>2.7805347116437399E-3</c:v>
                </c:pt>
                <c:pt idx="14">
                  <c:v>3.5800109042126802E-3</c:v>
                </c:pt>
                <c:pt idx="15">
                  <c:v>4.0494787209571399E-3</c:v>
                </c:pt>
                <c:pt idx="16">
                  <c:v>5.4726456942892198E-3</c:v>
                </c:pt>
                <c:pt idx="17">
                  <c:v>5.9801104471024803E-3</c:v>
                </c:pt>
                <c:pt idx="18">
                  <c:v>6.8431137134941202E-3</c:v>
                </c:pt>
                <c:pt idx="19">
                  <c:v>8.7071728840794095E-3</c:v>
                </c:pt>
                <c:pt idx="20">
                  <c:v>9.4768506991094199E-3</c:v>
                </c:pt>
                <c:pt idx="21">
                  <c:v>9.6451809252310703E-3</c:v>
                </c:pt>
                <c:pt idx="22">
                  <c:v>1.04568666999862E-2</c:v>
                </c:pt>
                <c:pt idx="23">
                  <c:v>9.7160356203607901E-3</c:v>
                </c:pt>
                <c:pt idx="24">
                  <c:v>9.5683105227662695E-3</c:v>
                </c:pt>
                <c:pt idx="25">
                  <c:v>8.7323352650614701E-3</c:v>
                </c:pt>
              </c:numCache>
            </c:numRef>
          </c:val>
          <c:extLst>
            <c:ext xmlns:c16="http://schemas.microsoft.com/office/drawing/2014/chart" uri="{C3380CC4-5D6E-409C-BE32-E72D297353CC}">
              <c16:uniqueId val="{00000006-074C-4EC3-9C87-FC8D32B94961}"/>
            </c:ext>
          </c:extLst>
        </c:ser>
        <c:ser>
          <c:idx val="7"/>
          <c:order val="7"/>
          <c:tx>
            <c:strRef>
              <c:f>'Contrib gastos ANSES'!$N$34:$N$35</c:f>
              <c:strCache>
                <c:ptCount val="2"/>
                <c:pt idx="0">
                  <c:v>PNRH</c:v>
                </c:pt>
              </c:strCache>
            </c:strRef>
          </c:tx>
          <c:spPr>
            <a:solidFill>
              <a:srgbClr val="AFABAB"/>
            </a:solidFill>
            <a:ln>
              <a:noFill/>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ANSES'!$N$36:$N$61</c:f>
              <c:numCache>
                <c:formatCode>0.0%</c:formatCode>
                <c:ptCount val="26"/>
                <c:pt idx="23">
                  <c:v>7.7108373463174605E-4</c:v>
                </c:pt>
                <c:pt idx="24">
                  <c:v>3.9079209240223097E-3</c:v>
                </c:pt>
                <c:pt idx="25">
                  <c:v>4.0000000000000001E-3</c:v>
                </c:pt>
              </c:numCache>
            </c:numRef>
          </c:val>
          <c:extLst>
            <c:ext xmlns:c16="http://schemas.microsoft.com/office/drawing/2014/chart" uri="{C3380CC4-5D6E-409C-BE32-E72D297353CC}">
              <c16:uniqueId val="{00000007-074C-4EC3-9C87-FC8D32B94961}"/>
            </c:ext>
          </c:extLst>
        </c:ser>
        <c:dLbls>
          <c:showLegendKey val="0"/>
          <c:showVal val="0"/>
          <c:showCatName val="0"/>
          <c:showSerName val="0"/>
          <c:showPercent val="0"/>
          <c:showBubbleSize val="0"/>
        </c:dLbls>
        <c:gapWidth val="55"/>
        <c:overlap val="100"/>
        <c:axId val="71979470"/>
        <c:axId val="43549660"/>
      </c:barChart>
      <c:lineChart>
        <c:grouping val="stacked"/>
        <c:varyColors val="0"/>
        <c:ser>
          <c:idx val="8"/>
          <c:order val="8"/>
          <c:tx>
            <c:strRef>
              <c:f>'Contrib gastos ANSES'!$G$34:$G$35</c:f>
              <c:strCache>
                <c:ptCount val="2"/>
                <c:pt idx="0">
                  <c:v>Gastos contributivos</c:v>
                </c:pt>
              </c:strCache>
            </c:strRef>
          </c:tx>
          <c:spPr>
            <a:ln w="31680">
              <a:solidFill>
                <a:srgbClr val="BF9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ANSES'!$G$36:$G$61</c:f>
              <c:numCache>
                <c:formatCode>0.0%</c:formatCode>
                <c:ptCount val="26"/>
                <c:pt idx="0">
                  <c:v>7.105793541767054E-2</c:v>
                </c:pt>
                <c:pt idx="1">
                  <c:v>7.5110077169053199E-2</c:v>
                </c:pt>
                <c:pt idx="2">
                  <c:v>6.4847048603114785E-2</c:v>
                </c:pt>
                <c:pt idx="3">
                  <c:v>6.6364875776970783E-2</c:v>
                </c:pt>
                <c:pt idx="4">
                  <c:v>6.1951967598797286E-2</c:v>
                </c:pt>
                <c:pt idx="5">
                  <c:v>6.1387416300706363E-2</c:v>
                </c:pt>
                <c:pt idx="6">
                  <c:v>6.5255471339749335E-2</c:v>
                </c:pt>
                <c:pt idx="7">
                  <c:v>6.4816338781409744E-2</c:v>
                </c:pt>
                <c:pt idx="8">
                  <c:v>6.5408350050832537E-2</c:v>
                </c:pt>
                <c:pt idx="9">
                  <c:v>5.6684061120001801E-2</c:v>
                </c:pt>
                <c:pt idx="10">
                  <c:v>5.5233562077166953E-2</c:v>
                </c:pt>
                <c:pt idx="11">
                  <c:v>4.8765094857608771E-2</c:v>
                </c:pt>
                <c:pt idx="12">
                  <c:v>4.7537727663268227E-2</c:v>
                </c:pt>
                <c:pt idx="13">
                  <c:v>4.9033490162495273E-2</c:v>
                </c:pt>
                <c:pt idx="14">
                  <c:v>4.7186731355577459E-2</c:v>
                </c:pt>
                <c:pt idx="15">
                  <c:v>4.8197968713371592E-2</c:v>
                </c:pt>
                <c:pt idx="16">
                  <c:v>5.8753542684369352E-2</c:v>
                </c:pt>
                <c:pt idx="17">
                  <c:v>5.3897280252037334E-2</c:v>
                </c:pt>
                <c:pt idx="18">
                  <c:v>5.3759986322753139E-2</c:v>
                </c:pt>
                <c:pt idx="19">
                  <c:v>5.7835482682542683E-2</c:v>
                </c:pt>
                <c:pt idx="20">
                  <c:v>6.1287700232292658E-2</c:v>
                </c:pt>
                <c:pt idx="21">
                  <c:v>5.8780190523969898E-2</c:v>
                </c:pt>
                <c:pt idx="22">
                  <c:v>6.0682352747455502E-2</c:v>
                </c:pt>
                <c:pt idx="23">
                  <c:v>6.4239843220497694E-2</c:v>
                </c:pt>
                <c:pt idx="24">
                  <c:v>6.475176965894594E-2</c:v>
                </c:pt>
                <c:pt idx="25">
                  <c:v>6.0231324139164419E-2</c:v>
                </c:pt>
              </c:numCache>
            </c:numRef>
          </c:val>
          <c:smooth val="0"/>
          <c:extLst>
            <c:ext xmlns:c16="http://schemas.microsoft.com/office/drawing/2014/chart" uri="{C3380CC4-5D6E-409C-BE32-E72D297353CC}">
              <c16:uniqueId val="{00000008-074C-4EC3-9C87-FC8D32B94961}"/>
            </c:ext>
          </c:extLst>
        </c:ser>
        <c:dLbls>
          <c:showLegendKey val="0"/>
          <c:showVal val="0"/>
          <c:showCatName val="0"/>
          <c:showSerName val="0"/>
          <c:showPercent val="0"/>
          <c:showBubbleSize val="0"/>
        </c:dLbls>
        <c:hiLowLines>
          <c:spPr>
            <a:ln>
              <a:noFill/>
            </a:ln>
          </c:spPr>
        </c:hiLowLines>
        <c:marker val="1"/>
        <c:smooth val="0"/>
        <c:axId val="71979470"/>
        <c:axId val="43549660"/>
      </c:lineChart>
      <c:lineChart>
        <c:grouping val="stacked"/>
        <c:varyColors val="0"/>
        <c:ser>
          <c:idx val="9"/>
          <c:order val="9"/>
          <c:tx>
            <c:strRef>
              <c:f>'Contrib gastos ANSES'!$M$34:$M$35</c:f>
              <c:strCache>
                <c:ptCount val="2"/>
                <c:pt idx="0">
                  <c:v>Gasto total de ANSES, sin PNRH</c:v>
                </c:pt>
              </c:strCache>
            </c:strRef>
          </c:tx>
          <c:spPr>
            <a:ln w="31680">
              <a:solidFill>
                <a:srgbClr val="000000"/>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ANSES'!$C$36:$C$61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ANSES'!$M$36:$M$61</c:f>
              <c:numCache>
                <c:formatCode>0.0%</c:formatCode>
                <c:ptCount val="26"/>
                <c:pt idx="0">
                  <c:v>7.1057935417670498E-2</c:v>
                </c:pt>
                <c:pt idx="1">
                  <c:v>7.6822014201286301E-2</c:v>
                </c:pt>
                <c:pt idx="2">
                  <c:v>6.6831061462354499E-2</c:v>
                </c:pt>
                <c:pt idx="3">
                  <c:v>6.8336049786620098E-2</c:v>
                </c:pt>
                <c:pt idx="4">
                  <c:v>6.3818055886723901E-2</c:v>
                </c:pt>
                <c:pt idx="5">
                  <c:v>6.31662534132158E-2</c:v>
                </c:pt>
                <c:pt idx="6">
                  <c:v>6.7163544838241898E-2</c:v>
                </c:pt>
                <c:pt idx="7">
                  <c:v>6.7168662818673397E-2</c:v>
                </c:pt>
                <c:pt idx="8">
                  <c:v>6.7932895851236602E-2</c:v>
                </c:pt>
                <c:pt idx="9">
                  <c:v>5.8600923821356399E-2</c:v>
                </c:pt>
                <c:pt idx="10">
                  <c:v>5.7063467807724602E-2</c:v>
                </c:pt>
                <c:pt idx="11">
                  <c:v>5.10587907005133E-2</c:v>
                </c:pt>
                <c:pt idx="12">
                  <c:v>4.9822889795558802E-2</c:v>
                </c:pt>
                <c:pt idx="13">
                  <c:v>5.1814024874138997E-2</c:v>
                </c:pt>
                <c:pt idx="14">
                  <c:v>6.4257822231597803E-2</c:v>
                </c:pt>
                <c:pt idx="15">
                  <c:v>6.7134232462199003E-2</c:v>
                </c:pt>
                <c:pt idx="16">
                  <c:v>8.2301438082754794E-2</c:v>
                </c:pt>
                <c:pt idx="17">
                  <c:v>8.1808300744871096E-2</c:v>
                </c:pt>
                <c:pt idx="18">
                  <c:v>8.4302000042885405E-2</c:v>
                </c:pt>
                <c:pt idx="19">
                  <c:v>9.2725064664144805E-2</c:v>
                </c:pt>
                <c:pt idx="20">
                  <c:v>9.8092155047248095E-2</c:v>
                </c:pt>
                <c:pt idx="21">
                  <c:v>9.5586054498301001E-2</c:v>
                </c:pt>
                <c:pt idx="22">
                  <c:v>0.10538284584193</c:v>
                </c:pt>
                <c:pt idx="23">
                  <c:v>0.10950768057801701</c:v>
                </c:pt>
                <c:pt idx="24">
                  <c:v>0.110288718926531</c:v>
                </c:pt>
                <c:pt idx="25">
                  <c:v>0.103446496738635</c:v>
                </c:pt>
              </c:numCache>
            </c:numRef>
          </c:val>
          <c:smooth val="0"/>
          <c:extLst>
            <c:ext xmlns:c16="http://schemas.microsoft.com/office/drawing/2014/chart" uri="{C3380CC4-5D6E-409C-BE32-E72D297353CC}">
              <c16:uniqueId val="{00000009-074C-4EC3-9C87-FC8D32B94961}"/>
            </c:ext>
          </c:extLst>
        </c:ser>
        <c:dLbls>
          <c:showLegendKey val="0"/>
          <c:showVal val="0"/>
          <c:showCatName val="0"/>
          <c:showSerName val="0"/>
          <c:showPercent val="0"/>
          <c:showBubbleSize val="0"/>
        </c:dLbls>
        <c:marker val="1"/>
        <c:smooth val="0"/>
        <c:axId val="1514636335"/>
        <c:axId val="1514625935"/>
      </c:lineChart>
      <c:catAx>
        <c:axId val="71979470"/>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lang="es-AR" sz="1200" b="0" strike="noStrike" spc="-1">
                <a:solidFill>
                  <a:srgbClr val="44546A"/>
                </a:solidFill>
                <a:latin typeface="Calibri"/>
              </a:defRPr>
            </a:pPr>
            <a:endParaRPr lang="es-ES"/>
          </a:p>
        </c:txPr>
        <c:crossAx val="43549660"/>
        <c:crosses val="autoZero"/>
        <c:auto val="1"/>
        <c:lblAlgn val="ctr"/>
        <c:lblOffset val="100"/>
        <c:noMultiLvlLbl val="1"/>
      </c:catAx>
      <c:valAx>
        <c:axId val="43549660"/>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lang="es-AR" sz="1200" b="0" strike="noStrike" spc="-1">
                <a:solidFill>
                  <a:srgbClr val="44546A"/>
                </a:solidFill>
                <a:latin typeface="Calibri"/>
              </a:defRPr>
            </a:pPr>
            <a:endParaRPr lang="es-ES"/>
          </a:p>
        </c:txPr>
        <c:crossAx val="71979470"/>
        <c:crosses val="autoZero"/>
        <c:crossBetween val="between"/>
      </c:valAx>
      <c:valAx>
        <c:axId val="1514625935"/>
        <c:scaling>
          <c:orientation val="minMax"/>
        </c:scaling>
        <c:delete val="0"/>
        <c:axPos val="r"/>
        <c:numFmt formatCode="0.0%" sourceLinked="1"/>
        <c:majorTickMark val="out"/>
        <c:minorTickMark val="none"/>
        <c:tickLblPos val="nextTo"/>
        <c:crossAx val="1514636335"/>
        <c:crosses val="max"/>
        <c:crossBetween val="between"/>
      </c:valAx>
      <c:catAx>
        <c:axId val="1514636335"/>
        <c:scaling>
          <c:orientation val="minMax"/>
        </c:scaling>
        <c:delete val="1"/>
        <c:axPos val="b"/>
        <c:numFmt formatCode="General" sourceLinked="1"/>
        <c:majorTickMark val="out"/>
        <c:minorTickMark val="none"/>
        <c:tickLblPos val="nextTo"/>
        <c:crossAx val="1514625935"/>
        <c:crosses val="autoZero"/>
        <c:auto val="1"/>
        <c:lblAlgn val="ctr"/>
        <c:lblOffset val="100"/>
        <c:noMultiLvlLbl val="0"/>
      </c:catAx>
      <c:spPr>
        <a:noFill/>
        <a:ln>
          <a:noFill/>
        </a:ln>
      </c:spPr>
    </c:plotArea>
    <c:legend>
      <c:legendPos val="r"/>
      <c:layout>
        <c:manualLayout>
          <c:xMode val="edge"/>
          <c:yMode val="edge"/>
          <c:x val="0.7024166243347979"/>
          <c:y val="6.3700627311749775E-2"/>
          <c:w val="0.29330610566855725"/>
          <c:h val="0.82358948833163848"/>
        </c:manualLayout>
      </c:layout>
      <c:overlay val="1"/>
      <c:spPr>
        <a:noFill/>
        <a:ln>
          <a:noFill/>
        </a:ln>
      </c:spPr>
      <c:txPr>
        <a:bodyPr/>
        <a:lstStyle/>
        <a:p>
          <a:pPr>
            <a:defRPr lang="es-AR" sz="1200" b="0" strike="noStrike" spc="-1">
              <a:solidFill>
                <a:srgbClr val="44546A"/>
              </a:solidFill>
              <a:latin typeface="Calibri"/>
            </a:defRPr>
          </a:pPr>
          <a:endParaRPr lang="es-ES"/>
        </a:p>
      </c:txPr>
    </c:legend>
    <c:plotVisOnly val="1"/>
    <c:dispBlanksAs val="gap"/>
    <c:showDLblsOverMax val="1"/>
  </c:chart>
  <c:spPr>
    <a:solidFill>
      <a:srgbClr val="FFFFFF"/>
    </a:solidFill>
    <a:ln w="9360">
      <a:solidFill>
        <a:srgbClr val="E0E5EB"/>
      </a:solidFill>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000000"/>
                </a:solidFill>
                <a:latin typeface="Calibri"/>
              </a:defRPr>
            </a:pPr>
            <a:r>
              <a:rPr lang="es-AR" sz="1400" b="0" strike="noStrike" spc="1">
                <a:solidFill>
                  <a:srgbClr val="000000"/>
                </a:solidFill>
                <a:latin typeface="Calibri"/>
              </a:rPr>
              <a:t>Resultado contributivo y no contributivo de ANSES (1993-2018)</a:t>
            </a:r>
          </a:p>
        </c:rich>
      </c:tx>
      <c:layout/>
      <c:overlay val="0"/>
      <c:spPr>
        <a:noFill/>
        <a:ln>
          <a:noFill/>
        </a:ln>
      </c:spPr>
    </c:title>
    <c:autoTitleDeleted val="0"/>
    <c:plotArea>
      <c:layout/>
      <c:barChart>
        <c:barDir val="col"/>
        <c:grouping val="stacked"/>
        <c:varyColors val="0"/>
        <c:ser>
          <c:idx val="0"/>
          <c:order val="0"/>
          <c:tx>
            <c:strRef>
              <c:f>'Contrib gastos ANSES'!$I$64:$I$65</c:f>
              <c:strCache>
                <c:ptCount val="2"/>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ANSES'!$I$66:$I$91</c:f>
              <c:numCache>
                <c:formatCode>0.00%</c:formatCode>
                <c:ptCount val="26"/>
                <c:pt idx="0">
                  <c:v>-2.5705102505121501E-2</c:v>
                </c:pt>
                <c:pt idx="1">
                  <c:v>-3.3869436098904478E-2</c:v>
                </c:pt>
                <c:pt idx="2">
                  <c:v>-2.8130764376822125E-2</c:v>
                </c:pt>
                <c:pt idx="3">
                  <c:v>-2.9980199892505839E-2</c:v>
                </c:pt>
                <c:pt idx="4">
                  <c:v>-3.3769978730920761E-2</c:v>
                </c:pt>
                <c:pt idx="5">
                  <c:v>-3.4890894377359941E-2</c:v>
                </c:pt>
                <c:pt idx="6">
                  <c:v>-4.034990667103551E-2</c:v>
                </c:pt>
                <c:pt idx="7">
                  <c:v>-4.1196462214871443E-2</c:v>
                </c:pt>
                <c:pt idx="8">
                  <c:v>-4.1532480417027597E-2</c:v>
                </c:pt>
                <c:pt idx="9">
                  <c:v>-3.6232861476605191E-2</c:v>
                </c:pt>
                <c:pt idx="10">
                  <c:v>-3.4760888094064052E-2</c:v>
                </c:pt>
                <c:pt idx="11">
                  <c:v>-2.8906711788993626E-2</c:v>
                </c:pt>
                <c:pt idx="12">
                  <c:v>-2.6112749902962907E-2</c:v>
                </c:pt>
                <c:pt idx="13">
                  <c:v>-2.3775902418051213E-2</c:v>
                </c:pt>
                <c:pt idx="14">
                  <c:v>-8.6819347174286049E-3</c:v>
                </c:pt>
                <c:pt idx="15">
                  <c:v>-1.1347167039673402E-2</c:v>
                </c:pt>
                <c:pt idx="16">
                  <c:v>-7.9834055024304434E-3</c:v>
                </c:pt>
                <c:pt idx="17">
                  <c:v>-3.4099686740774529E-3</c:v>
                </c:pt>
                <c:pt idx="18">
                  <c:v>-2.1360393133671787E-3</c:v>
                </c:pt>
                <c:pt idx="19">
                  <c:v>-2.057204417244704E-3</c:v>
                </c:pt>
                <c:pt idx="20">
                  <c:v>-3.615797457082591E-3</c:v>
                </c:pt>
                <c:pt idx="21">
                  <c:v>-4.5703836586804825E-3</c:v>
                </c:pt>
                <c:pt idx="22">
                  <c:v>-4.2526369175390835E-3</c:v>
                </c:pt>
                <c:pt idx="23">
                  <c:v>-9.5523157250228391E-3</c:v>
                </c:pt>
                <c:pt idx="24">
                  <c:v>-9.1616736022809356E-3</c:v>
                </c:pt>
                <c:pt idx="25">
                  <c:v>-9.5264776471702048E-3</c:v>
                </c:pt>
              </c:numCache>
            </c:numRef>
          </c:val>
          <c:extLst>
            <c:ext xmlns:c16="http://schemas.microsoft.com/office/drawing/2014/chart" uri="{C3380CC4-5D6E-409C-BE32-E72D297353CC}">
              <c16:uniqueId val="{00000000-9F29-4CE5-84DC-AB4916385A0D}"/>
            </c:ext>
          </c:extLst>
        </c:ser>
        <c:ser>
          <c:idx val="1"/>
          <c:order val="1"/>
          <c:tx>
            <c:strRef>
              <c:f>'Contrib gastos ANSES'!$J$64:$J$65</c:f>
              <c:strCache>
                <c:ptCount val="2"/>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spPr>
              <a:noFill/>
              <a:ln>
                <a:noFill/>
              </a:ln>
              <a:effectLst/>
            </c:spPr>
            <c:txPr>
              <a:bodyPr/>
              <a:lstStyle/>
              <a:p>
                <a:pPr>
                  <a:defRPr lang="es-AR" sz="1000" b="0" strike="noStrike" spc="-1">
                    <a:solidFill>
                      <a:srgbClr val="000000"/>
                    </a:solidFill>
                    <a:latin typeface="Calibri"/>
                  </a:defRPr>
                </a:pPr>
                <a:endParaRPr lang="es-E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ANSES'!$J$66:$J$91</c:f>
              <c:numCache>
                <c:formatCode>0.00%</c:formatCode>
                <c:ptCount val="26"/>
                <c:pt idx="0">
                  <c:v>2.5259033229657609E-2</c:v>
                </c:pt>
                <c:pt idx="1">
                  <c:v>2.0784106637842931E-2</c:v>
                </c:pt>
                <c:pt idx="2">
                  <c:v>2.1751414779233921E-2</c:v>
                </c:pt>
                <c:pt idx="3">
                  <c:v>2.4692895161714436E-2</c:v>
                </c:pt>
                <c:pt idx="4">
                  <c:v>3.0614033442808518E-2</c:v>
                </c:pt>
                <c:pt idx="5">
                  <c:v>3.2230832253374329E-2</c:v>
                </c:pt>
                <c:pt idx="6">
                  <c:v>3.2590218656408022E-2</c:v>
                </c:pt>
                <c:pt idx="7">
                  <c:v>3.445791776109737E-2</c:v>
                </c:pt>
                <c:pt idx="8">
                  <c:v>3.1367551679767396E-2</c:v>
                </c:pt>
                <c:pt idx="9">
                  <c:v>2.4792798406931799E-2</c:v>
                </c:pt>
                <c:pt idx="10">
                  <c:v>2.9833618305029268E-2</c:v>
                </c:pt>
                <c:pt idx="11">
                  <c:v>3.2727883515250862E-2</c:v>
                </c:pt>
                <c:pt idx="12">
                  <c:v>3.3690286129117314E-2</c:v>
                </c:pt>
                <c:pt idx="13">
                  <c:v>3.2953697564301915E-2</c:v>
                </c:pt>
                <c:pt idx="14">
                  <c:v>1.9528510666731676E-2</c:v>
                </c:pt>
                <c:pt idx="15">
                  <c:v>1.6076001800430156E-2</c:v>
                </c:pt>
                <c:pt idx="16">
                  <c:v>1.1461582534297778E-2</c:v>
                </c:pt>
                <c:pt idx="17">
                  <c:v>7.5218064763041062E-3</c:v>
                </c:pt>
                <c:pt idx="18">
                  <c:v>6.6756249787197318E-3</c:v>
                </c:pt>
                <c:pt idx="19">
                  <c:v>3.5833170522169416E-3</c:v>
                </c:pt>
                <c:pt idx="20">
                  <c:v>2.6641288989214182E-3</c:v>
                </c:pt>
                <c:pt idx="21">
                  <c:v>3.2775199027120089E-3</c:v>
                </c:pt>
                <c:pt idx="22">
                  <c:v>-3.2546961442341468E-3</c:v>
                </c:pt>
                <c:pt idx="23">
                  <c:v>-1.0794483970826094E-2</c:v>
                </c:pt>
                <c:pt idx="24">
                  <c:v>-1.49430284059087E-2</c:v>
                </c:pt>
                <c:pt idx="25">
                  <c:v>-8.7453201530422672E-3</c:v>
                </c:pt>
              </c:numCache>
            </c:numRef>
          </c:val>
          <c:extLst>
            <c:ext xmlns:c16="http://schemas.microsoft.com/office/drawing/2014/chart" uri="{C3380CC4-5D6E-409C-BE32-E72D297353CC}">
              <c16:uniqueId val="{00000001-9F29-4CE5-84DC-AB4916385A0D}"/>
            </c:ext>
          </c:extLst>
        </c:ser>
        <c:dLbls>
          <c:showLegendKey val="0"/>
          <c:showVal val="0"/>
          <c:showCatName val="0"/>
          <c:showSerName val="0"/>
          <c:showPercent val="0"/>
          <c:showBubbleSize val="0"/>
        </c:dLbls>
        <c:gapWidth val="0"/>
        <c:overlap val="100"/>
        <c:axId val="11014210"/>
        <c:axId val="94601500"/>
      </c:barChart>
      <c:lineChart>
        <c:grouping val="stacked"/>
        <c:varyColors val="0"/>
        <c:ser>
          <c:idx val="2"/>
          <c:order val="2"/>
          <c:tx>
            <c:strRef>
              <c:f>'Contrib gastos ANSES'!$K$64:$K$65</c:f>
              <c:strCache>
                <c:ptCount val="2"/>
                <c:pt idx="0">
                  <c:v>Resultado de ANSES</c:v>
                </c:pt>
              </c:strCache>
            </c:strRef>
          </c:tx>
          <c:spPr>
            <a:ln w="38160">
              <a:solidFill>
                <a:srgbClr val="44546A"/>
              </a:solidFill>
              <a:round/>
            </a:ln>
          </c:spPr>
          <c:marker>
            <c:symbol val="none"/>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'Contrib gastos ANSES'!$H$66:$H$91</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'Contrib gastos ANSES'!$K$66:$K$91</c:f>
              <c:numCache>
                <c:formatCode>0.00%</c:formatCode>
                <c:ptCount val="26"/>
                <c:pt idx="0">
                  <c:v>-4.4606927546389161E-4</c:v>
                </c:pt>
                <c:pt idx="1">
                  <c:v>-1.3085329461061546E-2</c:v>
                </c:pt>
                <c:pt idx="2">
                  <c:v>-6.3793495975882041E-3</c:v>
                </c:pt>
                <c:pt idx="3">
                  <c:v>-5.2873047307914027E-3</c:v>
                </c:pt>
                <c:pt idx="4">
                  <c:v>-3.1559452881122427E-3</c:v>
                </c:pt>
                <c:pt idx="5">
                  <c:v>-2.6600621239856112E-3</c:v>
                </c:pt>
                <c:pt idx="6">
                  <c:v>-7.7596880146274874E-3</c:v>
                </c:pt>
                <c:pt idx="7">
                  <c:v>-6.738544453774073E-3</c:v>
                </c:pt>
                <c:pt idx="8">
                  <c:v>-1.0164928737260201E-2</c:v>
                </c:pt>
                <c:pt idx="9">
                  <c:v>-1.1440063069673392E-2</c:v>
                </c:pt>
                <c:pt idx="10">
                  <c:v>-4.9272697890347834E-3</c:v>
                </c:pt>
                <c:pt idx="11">
                  <c:v>3.8211717262572366E-3</c:v>
                </c:pt>
                <c:pt idx="12">
                  <c:v>7.577536226154407E-3</c:v>
                </c:pt>
                <c:pt idx="13">
                  <c:v>9.1777951462507015E-3</c:v>
                </c:pt>
                <c:pt idx="14">
                  <c:v>1.0846575949303071E-2</c:v>
                </c:pt>
                <c:pt idx="15">
                  <c:v>4.7288347607567539E-3</c:v>
                </c:pt>
                <c:pt idx="16">
                  <c:v>3.4781770318673341E-3</c:v>
                </c:pt>
                <c:pt idx="17">
                  <c:v>4.1118378022266533E-3</c:v>
                </c:pt>
                <c:pt idx="18">
                  <c:v>4.5395856653525531E-3</c:v>
                </c:pt>
                <c:pt idx="19">
                  <c:v>1.5261126349722376E-3</c:v>
                </c:pt>
                <c:pt idx="20">
                  <c:v>-9.516685581611728E-4</c:v>
                </c:pt>
                <c:pt idx="21">
                  <c:v>-1.2928637559684736E-3</c:v>
                </c:pt>
                <c:pt idx="22">
                  <c:v>-7.5073330617732303E-3</c:v>
                </c:pt>
                <c:pt idx="23">
                  <c:v>-2.0346799695848933E-2</c:v>
                </c:pt>
                <c:pt idx="24">
                  <c:v>-2.4104702008189635E-2</c:v>
                </c:pt>
                <c:pt idx="25">
                  <c:v>-1.8271797800212472E-2</c:v>
                </c:pt>
              </c:numCache>
            </c:numRef>
          </c:val>
          <c:smooth val="0"/>
          <c:extLst>
            <c:ext xmlns:c16="http://schemas.microsoft.com/office/drawing/2014/chart" uri="{C3380CC4-5D6E-409C-BE32-E72D297353CC}">
              <c16:uniqueId val="{00000002-9F29-4CE5-84DC-AB4916385A0D}"/>
            </c:ext>
          </c:extLst>
        </c:ser>
        <c:dLbls>
          <c:showLegendKey val="0"/>
          <c:showVal val="0"/>
          <c:showCatName val="0"/>
          <c:showSerName val="0"/>
          <c:showPercent val="0"/>
          <c:showBubbleSize val="0"/>
        </c:dLbls>
        <c:hiLowLines>
          <c:spPr>
            <a:ln>
              <a:noFill/>
            </a:ln>
          </c:spPr>
        </c:hiLowLines>
        <c:marker val="1"/>
        <c:smooth val="0"/>
        <c:axId val="11014210"/>
        <c:axId val="94601500"/>
      </c:lineChart>
      <c:catAx>
        <c:axId val="1101421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000000"/>
                </a:solidFill>
                <a:latin typeface="Calibri"/>
              </a:defRPr>
            </a:pPr>
            <a:endParaRPr lang="es-ES"/>
          </a:p>
        </c:txPr>
        <c:crossAx val="94601500"/>
        <c:crosses val="autoZero"/>
        <c:auto val="1"/>
        <c:lblAlgn val="ctr"/>
        <c:lblOffset val="100"/>
        <c:noMultiLvlLbl val="1"/>
      </c:catAx>
      <c:valAx>
        <c:axId val="9460150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000000"/>
                </a:solidFill>
                <a:latin typeface="Calibri"/>
              </a:defRPr>
            </a:pPr>
            <a:endParaRPr lang="es-ES"/>
          </a:p>
        </c:txPr>
        <c:crossAx val="11014210"/>
        <c:crosses val="autoZero"/>
        <c:crossBetween val="between"/>
      </c:valAx>
      <c:spPr>
        <a:noFill/>
        <a:ln>
          <a:noFill/>
        </a:ln>
      </c:spPr>
    </c:plotArea>
    <c:legend>
      <c:legendPos val="b"/>
      <c:layout/>
      <c:overlay val="0"/>
      <c:spPr>
        <a:noFill/>
        <a:ln>
          <a:noFill/>
        </a:ln>
      </c:spPr>
      <c:txPr>
        <a:bodyPr/>
        <a:lstStyle/>
        <a:p>
          <a:pPr>
            <a:defRPr lang="es-AR" sz="1200" b="0" strike="noStrike" spc="-1">
              <a:solidFill>
                <a:srgbClr val="000000"/>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
          <c:y val="0.22744449692961699"/>
          <c:w val="0.49854664791373698"/>
          <c:h val="0.65454259171784002"/>
        </c:manualLayout>
      </c:layout>
      <c:lineChart>
        <c:grouping val="standard"/>
        <c:varyColors val="0"/>
        <c:ser>
          <c:idx val="0"/>
          <c:order val="0"/>
          <c:tx>
            <c:strRef>
              <c:f>'Cuenta Ahorro-Inversión-Financi'!$R$40:$R$41</c:f>
              <c:strCache>
                <c:ptCount val="2"/>
                <c:pt idx="0">
                  <c:v>Prestaciones de la seguridad social,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Ahorro-Inversión-Financi'!$R$42:$R$64</c:f>
              <c:numCache>
                <c:formatCode>0.00%</c:formatCode>
                <c:ptCount val="23"/>
                <c:pt idx="0">
                  <c:v>5.2637093191058193E-2</c:v>
                </c:pt>
                <c:pt idx="1">
                  <c:v>5.6464426220353491E-2</c:v>
                </c:pt>
                <c:pt idx="2">
                  <c:v>5.3644670399752167E-2</c:v>
                </c:pt>
                <c:pt idx="3">
                  <c:v>5.3162252663224489E-2</c:v>
                </c:pt>
                <c:pt idx="4">
                  <c:v>5.0065966686067401E-2</c:v>
                </c:pt>
                <c:pt idx="5">
                  <c:v>4.9190355547857903E-2</c:v>
                </c:pt>
                <c:pt idx="6">
                  <c:v>5.1749690321129138E-2</c:v>
                </c:pt>
                <c:pt idx="7">
                  <c:v>5.1850130065835651E-2</c:v>
                </c:pt>
                <c:pt idx="8">
                  <c:v>5.2521530825534735E-2</c:v>
                </c:pt>
                <c:pt idx="9">
                  <c:v>4.4342162747713201E-2</c:v>
                </c:pt>
                <c:pt idx="10">
                  <c:v>4.1415509916904091E-2</c:v>
                </c:pt>
                <c:pt idx="11">
                  <c:v>3.6705436096271957E-2</c:v>
                </c:pt>
                <c:pt idx="12">
                  <c:v>3.4550591268011556E-2</c:v>
                </c:pt>
                <c:pt idx="13">
                  <c:v>3.6841887116250548E-2</c:v>
                </c:pt>
                <c:pt idx="14">
                  <c:v>4.898085586862494E-2</c:v>
                </c:pt>
                <c:pt idx="15">
                  <c:v>4.837647141777849E-2</c:v>
                </c:pt>
                <c:pt idx="16">
                  <c:v>5.6816274557031879E-2</c:v>
                </c:pt>
                <c:pt idx="17">
                  <c:v>5.3172325238802949E-2</c:v>
                </c:pt>
                <c:pt idx="18">
                  <c:v>5.5992350405029589E-2</c:v>
                </c:pt>
                <c:pt idx="19">
                  <c:v>6.3957687429560775E-2</c:v>
                </c:pt>
                <c:pt idx="20">
                  <c:v>6.6592294498734925E-2</c:v>
                </c:pt>
                <c:pt idx="21">
                  <c:v>6.4555922826502576E-2</c:v>
                </c:pt>
                <c:pt idx="22">
                  <c:v>7.2790476203542828E-2</c:v>
                </c:pt>
              </c:numCache>
            </c:numRef>
          </c:val>
          <c:smooth val="0"/>
          <c:extLst>
            <c:ext xmlns:c16="http://schemas.microsoft.com/office/drawing/2014/chart" uri="{C3380CC4-5D6E-409C-BE32-E72D297353CC}">
              <c16:uniqueId val="{00000000-0A34-4B73-822C-55B6FDBB4FA0}"/>
            </c:ext>
          </c:extLst>
        </c:ser>
        <c:ser>
          <c:idx val="1"/>
          <c:order val="1"/>
          <c:tx>
            <c:strRef>
              <c:f>'Cuenta Ahorro-Inversión-Financi'!$T$40:$T$41</c:f>
              <c:strCache>
                <c:ptCount val="2"/>
                <c:pt idx="0">
                  <c:v>Transferencias corrientes sin las del PAMI,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Ahorro-Inversión-Financi'!$T$42:$T$64</c:f>
              <c:numCache>
                <c:formatCode>0.00%</c:formatCode>
                <c:ptCount val="23"/>
                <c:pt idx="0">
                  <c:v>1.1642303700452977E-2</c:v>
                </c:pt>
                <c:pt idx="1">
                  <c:v>1.2436021103775298E-2</c:v>
                </c:pt>
                <c:pt idx="2">
                  <c:v>5.355879882989893E-3</c:v>
                </c:pt>
                <c:pt idx="3">
                  <c:v>6.00272468782676E-3</c:v>
                </c:pt>
                <c:pt idx="4">
                  <c:v>5.3990300658729477E-3</c:v>
                </c:pt>
                <c:pt idx="5">
                  <c:v>4.7703499305596919E-3</c:v>
                </c:pt>
                <c:pt idx="6">
                  <c:v>5.8732282382241395E-3</c:v>
                </c:pt>
                <c:pt idx="7">
                  <c:v>6.1308401763183794E-3</c:v>
                </c:pt>
                <c:pt idx="8">
                  <c:v>6.2166992059071212E-3</c:v>
                </c:pt>
                <c:pt idx="9">
                  <c:v>6.7859175547552945E-3</c:v>
                </c:pt>
                <c:pt idx="10">
                  <c:v>8.1561711866091641E-3</c:v>
                </c:pt>
                <c:pt idx="11">
                  <c:v>7.4909538189209925E-3</c:v>
                </c:pt>
                <c:pt idx="12">
                  <c:v>8.5259069146611816E-3</c:v>
                </c:pt>
                <c:pt idx="13">
                  <c:v>7.8710292523368076E-3</c:v>
                </c:pt>
                <c:pt idx="14">
                  <c:v>7.3987918753018094E-3</c:v>
                </c:pt>
                <c:pt idx="15">
                  <c:v>8.9350178765842721E-3</c:v>
                </c:pt>
                <c:pt idx="16">
                  <c:v>1.2396247535131312E-2</c:v>
                </c:pt>
                <c:pt idx="17">
                  <c:v>1.5305291808047088E-2</c:v>
                </c:pt>
                <c:pt idx="18">
                  <c:v>1.2986916922533072E-2</c:v>
                </c:pt>
                <c:pt idx="19">
                  <c:v>1.224692325962958E-2</c:v>
                </c:pt>
                <c:pt idx="20">
                  <c:v>1.3100292058057688E-2</c:v>
                </c:pt>
                <c:pt idx="21">
                  <c:v>1.3002358665708678E-2</c:v>
                </c:pt>
                <c:pt idx="22">
                  <c:v>1.4239737428298253E-2</c:v>
                </c:pt>
              </c:numCache>
            </c:numRef>
          </c:val>
          <c:smooth val="0"/>
          <c:extLst>
            <c:ext xmlns:c16="http://schemas.microsoft.com/office/drawing/2014/chart" uri="{C3380CC4-5D6E-409C-BE32-E72D297353CC}">
              <c16:uniqueId val="{00000001-0A34-4B73-822C-55B6FDBB4FA0}"/>
            </c:ext>
          </c:extLst>
        </c:ser>
        <c:ser>
          <c:idx val="2"/>
          <c:order val="2"/>
          <c:tx>
            <c:strRef>
              <c:f>'Cuenta Ahorro-Inversión-Financi'!$U$40:$U$41</c:f>
              <c:strCache>
                <c:ptCount val="2"/>
                <c:pt idx="0">
                  <c:v>Gastos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Ahorro-Inversión-Financi'!$Q$42:$Q$64</c:f>
              <c:numCache>
                <c:formatCode>General</c:formatCod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numCache>
            </c:numRef>
          </c:cat>
          <c:val>
            <c:numRef>
              <c:f>'Cuenta Ahorro-Inversión-Financi'!$U$42:$U$64</c:f>
              <c:numCache>
                <c:formatCode>0.00%</c:formatCode>
                <c:ptCount val="23"/>
                <c:pt idx="0">
                  <c:v>6.5769306883267514E-2</c:v>
                </c:pt>
                <c:pt idx="1">
                  <c:v>7.0046705331925724E-2</c:v>
                </c:pt>
                <c:pt idx="2">
                  <c:v>6.0192703555002419E-2</c:v>
                </c:pt>
                <c:pt idx="3">
                  <c:v>6.0875290803994779E-2</c:v>
                </c:pt>
                <c:pt idx="4">
                  <c:v>5.6600595771893462E-2</c:v>
                </c:pt>
                <c:pt idx="5">
                  <c:v>5.4985518635284107E-2</c:v>
                </c:pt>
                <c:pt idx="6">
                  <c:v>5.8481966532990162E-2</c:v>
                </c:pt>
                <c:pt idx="7">
                  <c:v>5.8744869389588054E-2</c:v>
                </c:pt>
                <c:pt idx="8">
                  <c:v>5.9426722392113419E-2</c:v>
                </c:pt>
                <c:pt idx="9">
                  <c:v>5.1802195882388789E-2</c:v>
                </c:pt>
                <c:pt idx="10">
                  <c:v>5.0267292346788693E-2</c:v>
                </c:pt>
                <c:pt idx="11">
                  <c:v>4.4816564749400524E-2</c:v>
                </c:pt>
                <c:pt idx="12">
                  <c:v>4.3851774412147625E-2</c:v>
                </c:pt>
                <c:pt idx="13">
                  <c:v>4.5550300632209779E-2</c:v>
                </c:pt>
                <c:pt idx="14">
                  <c:v>5.7314081410241892E-2</c:v>
                </c:pt>
                <c:pt idx="15">
                  <c:v>5.8412618431963138E-2</c:v>
                </c:pt>
                <c:pt idx="16">
                  <c:v>7.0993746545817346E-2</c:v>
                </c:pt>
                <c:pt idx="17">
                  <c:v>7.041035092647209E-2</c:v>
                </c:pt>
                <c:pt idx="18">
                  <c:v>7.1171401665609146E-2</c:v>
                </c:pt>
                <c:pt idx="19">
                  <c:v>7.8571422890875195E-2</c:v>
                </c:pt>
                <c:pt idx="20">
                  <c:v>8.1800656126489624E-2</c:v>
                </c:pt>
                <c:pt idx="21">
                  <c:v>7.963961530724542E-2</c:v>
                </c:pt>
                <c:pt idx="22">
                  <c:v>8.9129467435928131E-2</c:v>
                </c:pt>
              </c:numCache>
            </c:numRef>
          </c:val>
          <c:smooth val="0"/>
          <c:extLst>
            <c:ext xmlns:c16="http://schemas.microsoft.com/office/drawing/2014/chart" uri="{C3380CC4-5D6E-409C-BE32-E72D297353CC}">
              <c16:uniqueId val="{00000002-0A34-4B73-822C-55B6FDBB4FA0}"/>
            </c:ext>
          </c:extLst>
        </c:ser>
        <c:dLbls>
          <c:showLegendKey val="0"/>
          <c:showVal val="0"/>
          <c:showCatName val="0"/>
          <c:showSerName val="0"/>
          <c:showPercent val="0"/>
          <c:showBubbleSize val="0"/>
        </c:dLbls>
        <c:hiLowLines>
          <c:spPr>
            <a:ln>
              <a:noFill/>
            </a:ln>
          </c:spPr>
        </c:hiLowLines>
        <c:marker val="1"/>
        <c:smooth val="0"/>
        <c:axId val="89897608"/>
        <c:axId val="21463558"/>
      </c:lineChart>
      <c:catAx>
        <c:axId val="89897608"/>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21463558"/>
        <c:crosses val="autoZero"/>
        <c:auto val="1"/>
        <c:lblAlgn val="ctr"/>
        <c:lblOffset val="100"/>
        <c:noMultiLvlLbl val="1"/>
      </c:catAx>
      <c:valAx>
        <c:axId val="21463558"/>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89897608"/>
        <c:crossesAt val="1"/>
        <c:crossBetween val="midCat"/>
      </c:valAx>
      <c:spPr>
        <a:noFill/>
        <a:ln w="3240">
          <a:solidFill>
            <a:srgbClr val="A7A7A7"/>
          </a:solidFill>
          <a:round/>
        </a:ln>
      </c:spPr>
    </c:plotArea>
    <c:legend>
      <c:legendPos val="r"/>
      <c:layout>
        <c:manualLayout>
          <c:xMode val="edge"/>
          <c:yMode val="edge"/>
          <c:x val="0.19465541490857899"/>
          <c:y val="0.149267831837506"/>
          <c:w val="0.72633503680435096"/>
          <c:h val="7.9836233367451395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86750705218618"/>
          <c:y val="0.26225443448407398"/>
          <c:w val="0.51093088857545799"/>
          <c:h val="0.60432958230021006"/>
        </c:manualLayout>
      </c:layout>
      <c:lineChart>
        <c:grouping val="standard"/>
        <c:varyColors val="0"/>
        <c:ser>
          <c:idx val="0"/>
          <c:order val="0"/>
          <c:tx>
            <c:strRef>
              <c:f>'Cuenta Ahorro-Inversión-Financi'!$F$40:$F$41</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0.00%</c:formatCode>
                <c:ptCount val="23"/>
                <c:pt idx="0">
                  <c:v>4.5352832912549039E-2</c:v>
                </c:pt>
                <c:pt idx="1">
                  <c:v>4.1240641070148722E-2</c:v>
                </c:pt>
                <c:pt idx="2">
                  <c:v>3.6716284226292667E-2</c:v>
                </c:pt>
                <c:pt idx="3">
                  <c:v>3.6384675884464944E-2</c:v>
                </c:pt>
                <c:pt idx="4">
                  <c:v>3.4958159978124154E-2</c:v>
                </c:pt>
                <c:pt idx="5">
                  <c:v>2.6496521923346422E-2</c:v>
                </c:pt>
                <c:pt idx="6">
                  <c:v>2.4905564668713822E-2</c:v>
                </c:pt>
                <c:pt idx="7">
                  <c:v>2.3619876566538297E-2</c:v>
                </c:pt>
                <c:pt idx="8">
                  <c:v>2.387586963380494E-2</c:v>
                </c:pt>
                <c:pt idx="9">
                  <c:v>2.0451199643396614E-2</c:v>
                </c:pt>
                <c:pt idx="10">
                  <c:v>2.0472673983102898E-2</c:v>
                </c:pt>
                <c:pt idx="11">
                  <c:v>1.9858383068615145E-2</c:v>
                </c:pt>
                <c:pt idx="12">
                  <c:v>2.142497776030532E-2</c:v>
                </c:pt>
                <c:pt idx="13">
                  <c:v>2.525758774444406E-2</c:v>
                </c:pt>
                <c:pt idx="14">
                  <c:v>3.8504796638148854E-2</c:v>
                </c:pt>
                <c:pt idx="15">
                  <c:v>3.685080167369819E-2</c:v>
                </c:pt>
                <c:pt idx="16">
                  <c:v>5.0770137181938908E-2</c:v>
                </c:pt>
                <c:pt idx="17">
                  <c:v>5.0487311577959881E-2</c:v>
                </c:pt>
                <c:pt idx="18">
                  <c:v>5.1623947009385961E-2</c:v>
                </c:pt>
                <c:pt idx="19">
                  <c:v>5.5778278265297979E-2</c:v>
                </c:pt>
                <c:pt idx="20">
                  <c:v>5.7671902775210067E-2</c:v>
                </c:pt>
                <c:pt idx="21">
                  <c:v>5.4209806865289416E-2</c:v>
                </c:pt>
                <c:pt idx="22">
                  <c:v>5.6429715829916419E-2</c:v>
                </c:pt>
              </c:numCache>
            </c:numRef>
          </c:val>
          <c:smooth val="0"/>
          <c:extLst>
            <c:ext xmlns:c16="http://schemas.microsoft.com/office/drawing/2014/chart" uri="{C3380CC4-5D6E-409C-BE32-E72D297353CC}">
              <c16:uniqueId val="{00000000-C93E-4727-842F-37C24451BD52}"/>
            </c:ext>
          </c:extLst>
        </c:ser>
        <c:ser>
          <c:idx val="1"/>
          <c:order val="1"/>
          <c:tx>
            <c:strRef>
              <c:f>'Cuenta Ahorro-Inversión-Financi'!$G$40:$G$41</c:f>
              <c:strCache>
                <c:ptCount val="2"/>
                <c:pt idx="0">
                  <c:v>Ingresos tributarios y no tributarios,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0.00%</c:formatCode>
                <c:ptCount val="23"/>
                <c:pt idx="0">
                  <c:v>1.1426158691432906E-2</c:v>
                </c:pt>
                <c:pt idx="1">
                  <c:v>1.2086918580086134E-2</c:v>
                </c:pt>
                <c:pt idx="2">
                  <c:v>1.2112184053518191E-2</c:v>
                </c:pt>
                <c:pt idx="3">
                  <c:v>1.4674132007748912E-2</c:v>
                </c:pt>
                <c:pt idx="4">
                  <c:v>2.008539468875652E-2</c:v>
                </c:pt>
                <c:pt idx="5">
                  <c:v>2.1257840347759106E-2</c:v>
                </c:pt>
                <c:pt idx="6">
                  <c:v>2.1430330231537533E-2</c:v>
                </c:pt>
                <c:pt idx="7">
                  <c:v>2.3556870770297954E-2</c:v>
                </c:pt>
                <c:pt idx="8">
                  <c:v>2.144577363317738E-2</c:v>
                </c:pt>
                <c:pt idx="9">
                  <c:v>1.7055519971740474E-2</c:v>
                </c:pt>
                <c:pt idx="10">
                  <c:v>1.9855391614481178E-2</c:v>
                </c:pt>
                <c:pt idx="11">
                  <c:v>2.1674207616184295E-2</c:v>
                </c:pt>
                <c:pt idx="12">
                  <c:v>2.1947140589457386E-2</c:v>
                </c:pt>
                <c:pt idx="13">
                  <c:v>2.1219679943127439E-2</c:v>
                </c:pt>
                <c:pt idx="14">
                  <c:v>2.0954867995993498E-2</c:v>
                </c:pt>
                <c:pt idx="15">
                  <c:v>2.043922790165011E-2</c:v>
                </c:pt>
                <c:pt idx="16">
                  <c:v>2.0392118134628833E-2</c:v>
                </c:pt>
                <c:pt idx="17">
                  <c:v>2.0640763106550608E-2</c:v>
                </c:pt>
                <c:pt idx="18">
                  <c:v>2.1055525547648633E-2</c:v>
                </c:pt>
                <c:pt idx="19">
                  <c:v>2.2440098912537731E-2</c:v>
                </c:pt>
                <c:pt idx="20">
                  <c:v>2.2331853031304708E-2</c:v>
                </c:pt>
                <c:pt idx="21">
                  <c:v>2.2579375080733533E-2</c:v>
                </c:pt>
                <c:pt idx="22">
                  <c:v>2.3642605265148511E-2</c:v>
                </c:pt>
              </c:numCache>
            </c:numRef>
          </c:val>
          <c:smooth val="0"/>
          <c:extLst>
            <c:ext xmlns:c16="http://schemas.microsoft.com/office/drawing/2014/chart" uri="{C3380CC4-5D6E-409C-BE32-E72D297353CC}">
              <c16:uniqueId val="{00000001-C93E-4727-842F-37C24451BD52}"/>
            </c:ext>
          </c:extLst>
        </c:ser>
        <c:ser>
          <c:idx val="2"/>
          <c:order val="2"/>
          <c:tx>
            <c:strRef>
              <c:f>'Cuenta Ahorro-Inversión-Financi'!$H$40:$H$41</c:f>
              <c:strCache>
                <c:ptCount val="2"/>
                <c:pt idx="0">
                  <c:v>Rentas de la propiedad,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0.00%</c:formatCode>
                <c:ptCount val="23"/>
                <c:pt idx="0">
                  <c:v>1.3557588672157268E-3</c:v>
                </c:pt>
                <c:pt idx="1">
                  <c:v>9.5319509687930845E-5</c:v>
                </c:pt>
                <c:pt idx="2">
                  <c:v>3.1697520672467914E-5</c:v>
                </c:pt>
                <c:pt idx="3">
                  <c:v>1.1652327474047302E-4</c:v>
                </c:pt>
                <c:pt idx="4">
                  <c:v>1.0830390046298377E-4</c:v>
                </c:pt>
                <c:pt idx="5">
                  <c:v>4.8496305148205421E-5</c:v>
                </c:pt>
                <c:pt idx="6">
                  <c:v>8.9008900038115067E-6</c:v>
                </c:pt>
                <c:pt idx="7">
                  <c:v>5.0805813937639194E-6</c:v>
                </c:pt>
                <c:pt idx="8">
                  <c:v>1.2795037999963891E-6</c:v>
                </c:pt>
                <c:pt idx="9">
                  <c:v>1.7183089538788257E-5</c:v>
                </c:pt>
                <c:pt idx="10">
                  <c:v>5.4597090170212923E-6</c:v>
                </c:pt>
                <c:pt idx="11">
                  <c:v>2.3088096995920518E-5</c:v>
                </c:pt>
                <c:pt idx="12">
                  <c:v>6.6475850715056454E-5</c:v>
                </c:pt>
                <c:pt idx="13">
                  <c:v>4.0142879943149833E-4</c:v>
                </c:pt>
                <c:pt idx="14">
                  <c:v>7.3792881718357851E-4</c:v>
                </c:pt>
                <c:pt idx="15">
                  <c:v>9.7198055036460665E-4</c:v>
                </c:pt>
                <c:pt idx="16">
                  <c:v>6.8009570031728585E-3</c:v>
                </c:pt>
                <c:pt idx="17">
                  <c:v>5.2443989926986359E-3</c:v>
                </c:pt>
                <c:pt idx="18">
                  <c:v>5.065882077998545E-3</c:v>
                </c:pt>
                <c:pt idx="19">
                  <c:v>6.5768966604751464E-3</c:v>
                </c:pt>
                <c:pt idx="20">
                  <c:v>6.8312467518398812E-3</c:v>
                </c:pt>
                <c:pt idx="21">
                  <c:v>8.38241527111434E-3</c:v>
                </c:pt>
                <c:pt idx="22">
                  <c:v>8.9312093248872185E-3</c:v>
                </c:pt>
              </c:numCache>
            </c:numRef>
          </c:val>
          <c:smooth val="0"/>
          <c:extLst>
            <c:ext xmlns:c16="http://schemas.microsoft.com/office/drawing/2014/chart" uri="{C3380CC4-5D6E-409C-BE32-E72D297353CC}">
              <c16:uniqueId val="{00000002-C93E-4727-842F-37C24451BD52}"/>
            </c:ext>
          </c:extLst>
        </c:ser>
        <c:ser>
          <c:idx val="3"/>
          <c:order val="3"/>
          <c:tx>
            <c:strRef>
              <c:f>'Cuenta Ahorro-Inversión-Financi'!$I$40:$I$41</c:f>
              <c:strCache>
                <c:ptCount val="2"/>
                <c:pt idx="0">
                  <c:v>Ingresos corrientes sin el PAMI,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0.00%</c:formatCode>
                <c:ptCount val="23"/>
                <c:pt idx="0">
                  <c:v>5.813475047119767E-2</c:v>
                </c:pt>
                <c:pt idx="1">
                  <c:v>5.3422879159922783E-2</c:v>
                </c:pt>
                <c:pt idx="2">
                  <c:v>4.8860165800483323E-2</c:v>
                </c:pt>
                <c:pt idx="3">
                  <c:v>5.117533116695433E-2</c:v>
                </c:pt>
                <c:pt idx="4">
                  <c:v>4.8375687457096035E-2</c:v>
                </c:pt>
                <c:pt idx="5">
                  <c:v>4.7802858576253743E-2</c:v>
                </c:pt>
                <c:pt idx="6">
                  <c:v>4.6344795790255168E-2</c:v>
                </c:pt>
                <c:pt idx="7">
                  <c:v>4.7181827918230015E-2</c:v>
                </c:pt>
                <c:pt idx="8">
                  <c:v>4.5322922770782322E-2</c:v>
                </c:pt>
                <c:pt idx="9">
                  <c:v>3.7524103976065745E-2</c:v>
                </c:pt>
                <c:pt idx="10">
                  <c:v>4.0333721101485608E-2</c:v>
                </c:pt>
                <c:pt idx="11">
                  <c:v>4.1555839512732763E-2</c:v>
                </c:pt>
                <c:pt idx="12">
                  <c:v>4.3438749001835322E-2</c:v>
                </c:pt>
                <c:pt idx="13">
                  <c:v>4.6878819658121657E-2</c:v>
                </c:pt>
                <c:pt idx="14">
                  <c:v>6.0198046871314206E-2</c:v>
                </c:pt>
                <c:pt idx="15">
                  <c:v>5.8263649387052051E-2</c:v>
                </c:pt>
                <c:pt idx="16">
                  <c:v>7.7963881855659681E-2</c:v>
                </c:pt>
                <c:pt idx="17">
                  <c:v>7.6372991790916764E-2</c:v>
                </c:pt>
                <c:pt idx="18">
                  <c:v>7.7745354635033154E-2</c:v>
                </c:pt>
                <c:pt idx="19">
                  <c:v>8.4795273838310856E-2</c:v>
                </c:pt>
                <c:pt idx="20">
                  <c:v>8.6835002558354649E-2</c:v>
                </c:pt>
                <c:pt idx="21">
                  <c:v>8.5171597217137282E-2</c:v>
                </c:pt>
                <c:pt idx="22">
                  <c:v>8.9003530419952154E-2</c:v>
                </c:pt>
              </c:numCache>
            </c:numRef>
          </c:val>
          <c:smooth val="0"/>
          <c:extLst>
            <c:ext xmlns:c16="http://schemas.microsoft.com/office/drawing/2014/chart" uri="{C3380CC4-5D6E-409C-BE32-E72D297353CC}">
              <c16:uniqueId val="{00000003-C93E-4727-842F-37C24451BD52}"/>
            </c:ext>
          </c:extLst>
        </c:ser>
        <c:dLbls>
          <c:showLegendKey val="0"/>
          <c:showVal val="0"/>
          <c:showCatName val="0"/>
          <c:showSerName val="0"/>
          <c:showPercent val="0"/>
          <c:showBubbleSize val="0"/>
        </c:dLbls>
        <c:hiLowLines>
          <c:spPr>
            <a:ln>
              <a:noFill/>
            </a:ln>
          </c:spPr>
        </c:hiLowLines>
        <c:marker val="1"/>
        <c:smooth val="0"/>
        <c:axId val="11679760"/>
        <c:axId val="70157220"/>
      </c:lineChart>
      <c:catAx>
        <c:axId val="11679760"/>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70157220"/>
        <c:crosses val="autoZero"/>
        <c:auto val="1"/>
        <c:lblAlgn val="ctr"/>
        <c:lblOffset val="100"/>
        <c:noMultiLvlLbl val="1"/>
      </c:catAx>
      <c:valAx>
        <c:axId val="7015722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11679760"/>
        <c:crossesAt val="1"/>
        <c:crossBetween val="midCat"/>
      </c:valAx>
      <c:spPr>
        <a:noFill/>
        <a:ln w="3240">
          <a:solidFill>
            <a:srgbClr val="A7A7A7"/>
          </a:solidFill>
          <a:round/>
        </a:ln>
      </c:spPr>
    </c:plotArea>
    <c:legend>
      <c:legendPos val="r"/>
      <c:layout>
        <c:manualLayout>
          <c:xMode val="edge"/>
          <c:yMode val="edge"/>
          <c:x val="0.191555007052186"/>
          <c:y val="0.17842838069807401"/>
          <c:w val="0.76171375677700903"/>
          <c:h val="9.6709585121602298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163605579888844"/>
          <c:y val="0.24727760093818099"/>
          <c:w val="0.52456844197430896"/>
          <c:h val="0.67624392695593905"/>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243B-436D-A4EB-E18D50705F17}"/>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243B-436D-A4EB-E18D50705F17}"/>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243B-436D-A4EB-E18D50705F17}"/>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243B-436D-A4EB-E18D50705F17}"/>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243B-436D-A4EB-E18D50705F17}"/>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243B-436D-A4EB-E18D50705F17}"/>
            </c:ext>
          </c:extLst>
        </c:ser>
        <c:ser>
          <c:idx val="6"/>
          <c:order val="6"/>
          <c:tx>
            <c:strRef>
              <c:f>'Cuenta Ahorro-Inversión-Financi'!$L$94:$L$95</c:f>
              <c:strCache>
                <c:ptCount val="2"/>
                <c:pt idx="0">
                  <c:v>Ingresos extra FGS – gastos excluyendo PAMI, % PIB</c:v>
                </c:pt>
              </c:strCache>
            </c:strRef>
          </c:tx>
          <c:spPr>
            <a:ln w="38160">
              <a:solidFill>
                <a:srgbClr val="33338B"/>
              </a:solidFill>
              <a:round/>
            </a:ln>
          </c:spPr>
          <c:marker>
            <c:symbol val="x"/>
            <c:size val="6"/>
            <c:spPr>
              <a:solidFill>
                <a:srgbClr val="33338B"/>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0.00%</c:formatCode>
                <c:ptCount val="22"/>
                <c:pt idx="0">
                  <c:v>-8.9903152792855309E-3</c:v>
                </c:pt>
                <c:pt idx="1">
                  <c:v>-1.6719145681690833E-2</c:v>
                </c:pt>
                <c:pt idx="2">
                  <c:v>-1.1364235275191564E-2</c:v>
                </c:pt>
                <c:pt idx="3">
                  <c:v>-9.8164829117809715E-3</c:v>
                </c:pt>
                <c:pt idx="4">
                  <c:v>-8.3332122152604826E-3</c:v>
                </c:pt>
                <c:pt idx="5">
                  <c:v>-7.2311563641786064E-3</c:v>
                </c:pt>
                <c:pt idx="6">
                  <c:v>-1.2146071632738807E-2</c:v>
                </c:pt>
                <c:pt idx="7">
                  <c:v>-1.1568122052751866E-2</c:v>
                </c:pt>
                <c:pt idx="8">
                  <c:v>-1.4105079125131093E-2</c:v>
                </c:pt>
                <c:pt idx="9">
                  <c:v>-1.4295274995861897E-2</c:v>
                </c:pt>
                <c:pt idx="10">
                  <c:v>-9.9390309543201175E-3</c:v>
                </c:pt>
                <c:pt idx="11">
                  <c:v>-3.2838146517836578E-3</c:v>
                </c:pt>
                <c:pt idx="12">
                  <c:v>-4.776785533234934E-4</c:v>
                </c:pt>
                <c:pt idx="13">
                  <c:v>9.2302408626285942E-4</c:v>
                </c:pt>
                <c:pt idx="14">
                  <c:v>2.1363577388008523E-3</c:v>
                </c:pt>
                <c:pt idx="15">
                  <c:v>-1.1160743347438384E-3</c:v>
                </c:pt>
                <c:pt idx="16">
                  <c:v>1.6841261592384638E-4</c:v>
                </c:pt>
                <c:pt idx="17">
                  <c:v>7.1438258031669699E-4</c:v>
                </c:pt>
                <c:pt idx="18">
                  <c:v>1.4994808697394307E-3</c:v>
                </c:pt>
                <c:pt idx="19">
                  <c:v>-3.5114547850105537E-4</c:v>
                </c:pt>
                <c:pt idx="20">
                  <c:v>-1.7899877378163148E-3</c:v>
                </c:pt>
                <c:pt idx="21">
                  <c:v>-3.5602932192841802E-3</c:v>
                </c:pt>
              </c:numCache>
            </c:numRef>
          </c:val>
          <c:smooth val="0"/>
          <c:extLst>
            <c:ext xmlns:c16="http://schemas.microsoft.com/office/drawing/2014/chart" uri="{C3380CC4-5D6E-409C-BE32-E72D297353CC}">
              <c16:uniqueId val="{00000006-243B-436D-A4EB-E18D50705F17}"/>
            </c:ext>
          </c:extLst>
        </c:ser>
        <c:ser>
          <c:idx val="7"/>
          <c:order val="7"/>
          <c:tx>
            <c:strRef>
              <c:f>'Cuenta Ahorro-Inversión-Financi'!$M$94:$M$95</c:f>
              <c:strCache>
                <c:ptCount val="2"/>
                <c:pt idx="0">
                  <c:v>Resultado económico ahorro-desahorro corregido PAMI, % PIB</c:v>
                </c:pt>
              </c:strCache>
            </c:strRef>
          </c:tx>
          <c:spPr>
            <a:ln w="38160">
              <a:solidFill>
                <a:srgbClr val="99CC00"/>
              </a:solidFill>
              <a:round/>
            </a:ln>
          </c:spPr>
          <c:marker>
            <c:symbol val="square"/>
            <c:size val="6"/>
            <c:spPr>
              <a:solidFill>
                <a:srgbClr val="99CC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0.00%</c:formatCode>
                <c:ptCount val="22"/>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numCache>
            </c:numRef>
          </c:val>
          <c:smooth val="0"/>
          <c:extLst>
            <c:ext xmlns:c16="http://schemas.microsoft.com/office/drawing/2014/chart" uri="{C3380CC4-5D6E-409C-BE32-E72D297353CC}">
              <c16:uniqueId val="{00000007-243B-436D-A4EB-E18D50705F17}"/>
            </c:ext>
          </c:extLst>
        </c:ser>
        <c:dLbls>
          <c:showLegendKey val="0"/>
          <c:showVal val="0"/>
          <c:showCatName val="0"/>
          <c:showSerName val="0"/>
          <c:showPercent val="0"/>
          <c:showBubbleSize val="0"/>
        </c:dLbls>
        <c:hiLowLines>
          <c:spPr>
            <a:ln>
              <a:noFill/>
            </a:ln>
          </c:spPr>
        </c:hiLowLines>
        <c:marker val="1"/>
        <c:smooth val="0"/>
        <c:axId val="8498263"/>
        <c:axId val="93806496"/>
      </c:lineChart>
      <c:catAx>
        <c:axId val="8498263"/>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93806496"/>
        <c:crosses val="autoZero"/>
        <c:auto val="1"/>
        <c:lblAlgn val="ctr"/>
        <c:lblOffset val="100"/>
        <c:noMultiLvlLbl val="1"/>
      </c:catAx>
      <c:valAx>
        <c:axId val="9380649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8498263"/>
        <c:crossesAt val="1"/>
        <c:crossBetween val="midCat"/>
      </c:valAx>
      <c:spPr>
        <a:noFill/>
        <a:ln w="3240">
          <a:solidFill>
            <a:srgbClr val="A7A7A7"/>
          </a:solidFill>
          <a:round/>
        </a:ln>
      </c:spPr>
    </c:plotArea>
    <c:legend>
      <c:legendPos val="r"/>
      <c:layout>
        <c:manualLayout>
          <c:xMode val="edge"/>
          <c:yMode val="edge"/>
          <c:x val="0.154256689609481"/>
          <c:y val="0.161668621209583"/>
          <c:w val="0.74797555948174299"/>
          <c:h val="0.161682164697998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manualLayout>
          <c:layoutTarget val="inner"/>
          <c:xMode val="edge"/>
          <c:yMode val="edge"/>
          <c:x val="0.216729659836881"/>
          <c:y val="0.24673803947808601"/>
          <c:w val="0.48597573105231701"/>
          <c:h val="0.64093342254934804"/>
        </c:manualLayout>
      </c:layout>
      <c:lineChart>
        <c:grouping val="standard"/>
        <c:varyColors val="0"/>
        <c:ser>
          <c:idx val="0"/>
          <c:order val="0"/>
          <c:tx>
            <c:strRef>
              <c:f>'Cuenta Ahorro-Inversión-Financi'!$F$94:$F$95</c:f>
              <c:strCache>
                <c:ptCount val="2"/>
                <c:pt idx="0">
                  <c:v>Contribuciones a la seguridad social excluyendo al PAMI, % PIB</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0.00%</c:formatCode>
                <c:ptCount val="22"/>
                <c:pt idx="0">
                  <c:v>4.5352832912548997E-2</c:v>
                </c:pt>
                <c:pt idx="1">
                  <c:v>4.1240641070148701E-2</c:v>
                </c:pt>
                <c:pt idx="2">
                  <c:v>3.6716284226292702E-2</c:v>
                </c:pt>
                <c:pt idx="3">
                  <c:v>3.6384675884464902E-2</c:v>
                </c:pt>
                <c:pt idx="4">
                  <c:v>3.4958159978124202E-2</c:v>
                </c:pt>
                <c:pt idx="5">
                  <c:v>2.6496521923346401E-2</c:v>
                </c:pt>
                <c:pt idx="6">
                  <c:v>2.4905564668713801E-2</c:v>
                </c:pt>
                <c:pt idx="7">
                  <c:v>2.36198765665383E-2</c:v>
                </c:pt>
                <c:pt idx="8">
                  <c:v>2.3875869633804898E-2</c:v>
                </c:pt>
                <c:pt idx="9">
                  <c:v>2.04511996433966E-2</c:v>
                </c:pt>
                <c:pt idx="10">
                  <c:v>2.0472673983102901E-2</c:v>
                </c:pt>
                <c:pt idx="11">
                  <c:v>1.9858391039753499E-2</c:v>
                </c:pt>
                <c:pt idx="12">
                  <c:v>2.1343535905626401E-2</c:v>
                </c:pt>
                <c:pt idx="13">
                  <c:v>2.5146810076433299E-2</c:v>
                </c:pt>
                <c:pt idx="14">
                  <c:v>3.8331134984628902E-2</c:v>
                </c:pt>
                <c:pt idx="15">
                  <c:v>3.6690529294169397E-2</c:v>
                </c:pt>
                <c:pt idx="16">
                  <c:v>5.0540354623178199E-2</c:v>
                </c:pt>
                <c:pt idx="17">
                  <c:v>5.0216030751087298E-2</c:v>
                </c:pt>
                <c:pt idx="18">
                  <c:v>5.1329895299449202E-2</c:v>
                </c:pt>
                <c:pt idx="19">
                  <c:v>5.5478057056133602E-2</c:v>
                </c:pt>
                <c:pt idx="20">
                  <c:v>5.7450041962041398E-2</c:v>
                </c:pt>
                <c:pt idx="21">
                  <c:v>5.3860951460961697E-2</c:v>
                </c:pt>
              </c:numCache>
            </c:numRef>
          </c:val>
          <c:smooth val="0"/>
          <c:extLst>
            <c:ext xmlns:c16="http://schemas.microsoft.com/office/drawing/2014/chart" uri="{C3380CC4-5D6E-409C-BE32-E72D297353CC}">
              <c16:uniqueId val="{00000000-776D-4BB6-8547-723C1CF34FF9}"/>
            </c:ext>
          </c:extLst>
        </c:ser>
        <c:ser>
          <c:idx val="1"/>
          <c:order val="1"/>
          <c:tx>
            <c:strRef>
              <c:f>'Cuenta Ahorro-Inversión-Financi'!$G$94:$G$95</c:f>
              <c:strCache>
                <c:ptCount val="2"/>
                <c:pt idx="0">
                  <c:v>Rentas de la propiedad, % PIB</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0.00%</c:formatCode>
                <c:ptCount val="22"/>
                <c:pt idx="0">
                  <c:v>1.3557588672157301E-3</c:v>
                </c:pt>
                <c:pt idx="1">
                  <c:v>9.5319509687930804E-5</c:v>
                </c:pt>
                <c:pt idx="2">
                  <c:v>3.1697520672467901E-5</c:v>
                </c:pt>
                <c:pt idx="3">
                  <c:v>1.16523274740473E-4</c:v>
                </c:pt>
                <c:pt idx="4">
                  <c:v>1.08303900462984E-4</c:v>
                </c:pt>
                <c:pt idx="5">
                  <c:v>4.8496305148205401E-5</c:v>
                </c:pt>
                <c:pt idx="6">
                  <c:v>8.9008900038115101E-6</c:v>
                </c:pt>
                <c:pt idx="7">
                  <c:v>5.0805813937639202E-6</c:v>
                </c:pt>
                <c:pt idx="8">
                  <c:v>1.27950379999639E-6</c:v>
                </c:pt>
                <c:pt idx="9">
                  <c:v>1.7183089538788301E-5</c:v>
                </c:pt>
                <c:pt idx="10">
                  <c:v>5.4597090170212897E-6</c:v>
                </c:pt>
                <c:pt idx="11">
                  <c:v>2.30881062634633E-5</c:v>
                </c:pt>
                <c:pt idx="12">
                  <c:v>6.6223158897395695E-5</c:v>
                </c:pt>
                <c:pt idx="13">
                  <c:v>3.9966816628144E-4</c:v>
                </c:pt>
                <c:pt idx="14">
                  <c:v>7.34600661998748E-4</c:v>
                </c:pt>
                <c:pt idx="15">
                  <c:v>9.6775318953153599E-4</c:v>
                </c:pt>
                <c:pt idx="16">
                  <c:v>6.7701762846451401E-3</c:v>
                </c:pt>
                <c:pt idx="17">
                  <c:v>5.2162195382827996E-3</c:v>
                </c:pt>
                <c:pt idx="18">
                  <c:v>5.0370266460978697E-3</c:v>
                </c:pt>
                <c:pt idx="19">
                  <c:v>6.5414971478088496E-3</c:v>
                </c:pt>
                <c:pt idx="20">
                  <c:v>6.80496730055792E-3</c:v>
                </c:pt>
                <c:pt idx="21">
                  <c:v>8.3284720634597895E-3</c:v>
                </c:pt>
              </c:numCache>
            </c:numRef>
          </c:val>
          <c:smooth val="0"/>
          <c:extLst>
            <c:ext xmlns:c16="http://schemas.microsoft.com/office/drawing/2014/chart" uri="{C3380CC4-5D6E-409C-BE32-E72D297353CC}">
              <c16:uniqueId val="{00000001-776D-4BB6-8547-723C1CF34FF9}"/>
            </c:ext>
          </c:extLst>
        </c:ser>
        <c:ser>
          <c:idx val="2"/>
          <c:order val="2"/>
          <c:tx>
            <c:strRef>
              <c:f>'Cuenta Ahorro-Inversión-Financi'!$H$94:$H$95</c:f>
              <c:strCache>
                <c:ptCount val="2"/>
                <c:pt idx="0">
                  <c:v>Ingresos corrientes sin el PAMI, % PIB</c:v>
                </c:pt>
              </c:strCache>
            </c:strRef>
          </c:tx>
          <c:spPr>
            <a:ln w="38160">
              <a:solidFill>
                <a:srgbClr val="FFFF00"/>
              </a:solidFill>
              <a:round/>
            </a:ln>
          </c:spPr>
          <c:marker>
            <c:symbol val="dash"/>
            <c:size val="6"/>
            <c:spPr>
              <a:solidFill>
                <a:srgbClr val="FFFF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0.00%</c:formatCode>
                <c:ptCount val="22"/>
                <c:pt idx="0">
                  <c:v>5.8134750471197698E-2</c:v>
                </c:pt>
                <c:pt idx="1">
                  <c:v>5.3422879159922797E-2</c:v>
                </c:pt>
                <c:pt idx="2">
                  <c:v>4.8860165800483302E-2</c:v>
                </c:pt>
                <c:pt idx="3">
                  <c:v>5.1175331166954302E-2</c:v>
                </c:pt>
                <c:pt idx="4">
                  <c:v>4.8375687457096E-2</c:v>
                </c:pt>
                <c:pt idx="5">
                  <c:v>4.7802858576253701E-2</c:v>
                </c:pt>
                <c:pt idx="6">
                  <c:v>4.6344795790255203E-2</c:v>
                </c:pt>
                <c:pt idx="7">
                  <c:v>4.7181827918230002E-2</c:v>
                </c:pt>
                <c:pt idx="8">
                  <c:v>4.5322922770782301E-2</c:v>
                </c:pt>
                <c:pt idx="9">
                  <c:v>3.7524103976065697E-2</c:v>
                </c:pt>
                <c:pt idx="10">
                  <c:v>4.0333721101485601E-2</c:v>
                </c:pt>
                <c:pt idx="11">
                  <c:v>4.15558561932119E-2</c:v>
                </c:pt>
                <c:pt idx="12">
                  <c:v>4.32736271369158E-2</c:v>
                </c:pt>
                <c:pt idx="13">
                  <c:v>4.6673213074731101E-2</c:v>
                </c:pt>
                <c:pt idx="14">
                  <c:v>5.9926545830636502E-2</c:v>
                </c:pt>
                <c:pt idx="15">
                  <c:v>5.8010247743039603E-2</c:v>
                </c:pt>
                <c:pt idx="16">
                  <c:v>7.7611022059368096E-2</c:v>
                </c:pt>
                <c:pt idx="17">
                  <c:v>7.59626207943985E-2</c:v>
                </c:pt>
                <c:pt idx="18">
                  <c:v>7.7302514523138702E-2</c:v>
                </c:pt>
                <c:pt idx="19">
                  <c:v>8.4338871445930094E-2</c:v>
                </c:pt>
                <c:pt idx="20">
                  <c:v>8.6500952815723606E-2</c:v>
                </c:pt>
                <c:pt idx="21">
                  <c:v>8.4623493954968196E-2</c:v>
                </c:pt>
              </c:numCache>
            </c:numRef>
          </c:val>
          <c:smooth val="0"/>
          <c:extLst>
            <c:ext xmlns:c16="http://schemas.microsoft.com/office/drawing/2014/chart" uri="{C3380CC4-5D6E-409C-BE32-E72D297353CC}">
              <c16:uniqueId val="{00000002-776D-4BB6-8547-723C1CF34FF9}"/>
            </c:ext>
          </c:extLst>
        </c:ser>
        <c:ser>
          <c:idx val="3"/>
          <c:order val="3"/>
          <c:tx>
            <c:strRef>
              <c:f>'Cuenta Ahorro-Inversión-Financi'!$I$94:$I$95</c:f>
              <c:strCache>
                <c:ptCount val="2"/>
                <c:pt idx="0">
                  <c:v>Prestaciones de la seguridad social, % PIB</c:v>
                </c:pt>
              </c:strCache>
            </c:strRef>
          </c:tx>
          <c:spPr>
            <a:ln w="38160">
              <a:solidFill>
                <a:srgbClr val="769339"/>
              </a:solidFill>
              <a:round/>
            </a:ln>
          </c:spPr>
          <c:marker>
            <c:symbol val="triangle"/>
            <c:size val="6"/>
            <c:spPr>
              <a:solidFill>
                <a:srgbClr val="769339"/>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0.00%</c:formatCode>
                <c:ptCount val="22"/>
                <c:pt idx="0">
                  <c:v>5.26370931910582E-2</c:v>
                </c:pt>
                <c:pt idx="1">
                  <c:v>5.6464426220353497E-2</c:v>
                </c:pt>
                <c:pt idx="2">
                  <c:v>5.3644670399752202E-2</c:v>
                </c:pt>
                <c:pt idx="3">
                  <c:v>5.3162252663224503E-2</c:v>
                </c:pt>
                <c:pt idx="4">
                  <c:v>5.0065966686067401E-2</c:v>
                </c:pt>
                <c:pt idx="5">
                  <c:v>4.9190355547857903E-2</c:v>
                </c:pt>
                <c:pt idx="6">
                  <c:v>5.1749690321129103E-2</c:v>
                </c:pt>
                <c:pt idx="7">
                  <c:v>5.1850130065835699E-2</c:v>
                </c:pt>
                <c:pt idx="8">
                  <c:v>5.25215308255347E-2</c:v>
                </c:pt>
                <c:pt idx="9">
                  <c:v>4.4342162747713201E-2</c:v>
                </c:pt>
                <c:pt idx="10">
                  <c:v>4.1415509916904097E-2</c:v>
                </c:pt>
                <c:pt idx="11">
                  <c:v>3.6705450829803199E-2</c:v>
                </c:pt>
                <c:pt idx="12">
                  <c:v>3.44192555782106E-2</c:v>
                </c:pt>
                <c:pt idx="13">
                  <c:v>3.6680301679781001E-2</c:v>
                </c:pt>
                <c:pt idx="14">
                  <c:v>4.8759945821990898E-2</c:v>
                </c:pt>
                <c:pt idx="15">
                  <c:v>4.8166071322388801E-2</c:v>
                </c:pt>
                <c:pt idx="16">
                  <c:v>5.6559127547556903E-2</c:v>
                </c:pt>
                <c:pt idx="17">
                  <c:v>5.28866171686624E-2</c:v>
                </c:pt>
                <c:pt idx="18">
                  <c:v>5.56734161248401E-2</c:v>
                </c:pt>
                <c:pt idx="19">
                  <c:v>6.3613441338562199E-2</c:v>
                </c:pt>
                <c:pt idx="20">
                  <c:v>6.6336117402136505E-2</c:v>
                </c:pt>
                <c:pt idx="21">
                  <c:v>6.4140487246454297E-2</c:v>
                </c:pt>
              </c:numCache>
            </c:numRef>
          </c:val>
          <c:smooth val="0"/>
          <c:extLst>
            <c:ext xmlns:c16="http://schemas.microsoft.com/office/drawing/2014/chart" uri="{C3380CC4-5D6E-409C-BE32-E72D297353CC}">
              <c16:uniqueId val="{00000003-776D-4BB6-8547-723C1CF34FF9}"/>
            </c:ext>
          </c:extLst>
        </c:ser>
        <c:ser>
          <c:idx val="4"/>
          <c:order val="4"/>
          <c:tx>
            <c:strRef>
              <c:f>'Cuenta Ahorro-Inversión-Financi'!$J$94:$J$95</c:f>
              <c:strCache>
                <c:ptCount val="2"/>
                <c:pt idx="0">
                  <c:v>Transferencias corrientes sin las del PAMI, % PIB</c:v>
                </c:pt>
              </c:strCache>
            </c:strRef>
          </c:tx>
          <c:spPr>
            <a:ln w="38160">
              <a:solidFill>
                <a:srgbClr val="1A0A14"/>
              </a:solidFill>
              <a:round/>
            </a:ln>
          </c:spPr>
          <c:marker>
            <c:symbol val="triangle"/>
            <c:size val="6"/>
            <c:spPr>
              <a:solidFill>
                <a:srgbClr val="1A0A14"/>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0.00%</c:formatCode>
                <c:ptCount val="22"/>
                <c:pt idx="0">
                  <c:v>1.1642303700453001E-2</c:v>
                </c:pt>
                <c:pt idx="1">
                  <c:v>1.2436021103775299E-2</c:v>
                </c:pt>
                <c:pt idx="2">
                  <c:v>5.3558798829898904E-3</c:v>
                </c:pt>
                <c:pt idx="3">
                  <c:v>6.00272468782676E-3</c:v>
                </c:pt>
                <c:pt idx="4">
                  <c:v>5.3990300658729503E-3</c:v>
                </c:pt>
                <c:pt idx="5">
                  <c:v>4.7703499305596902E-3</c:v>
                </c:pt>
                <c:pt idx="6">
                  <c:v>5.8732282382241404E-3</c:v>
                </c:pt>
                <c:pt idx="7">
                  <c:v>6.1308401763183803E-3</c:v>
                </c:pt>
                <c:pt idx="8">
                  <c:v>6.2166992059071204E-3</c:v>
                </c:pt>
                <c:pt idx="9">
                  <c:v>6.7859175547552901E-3</c:v>
                </c:pt>
                <c:pt idx="10">
                  <c:v>8.1561711866091607E-3</c:v>
                </c:pt>
                <c:pt idx="11">
                  <c:v>7.4909568257835804E-3</c:v>
                </c:pt>
                <c:pt idx="12">
                  <c:v>8.4934977481398392E-3</c:v>
                </c:pt>
                <c:pt idx="13">
                  <c:v>7.8365075761482397E-3</c:v>
                </c:pt>
                <c:pt idx="14">
                  <c:v>7.3654223592077598E-3</c:v>
                </c:pt>
                <c:pt idx="15">
                  <c:v>8.8961574851905492E-3</c:v>
                </c:pt>
                <c:pt idx="16">
                  <c:v>1.23401428713317E-2</c:v>
                </c:pt>
                <c:pt idx="17">
                  <c:v>1.5223052685236899E-2</c:v>
                </c:pt>
                <c:pt idx="18">
                  <c:v>1.29129430141222E-2</c:v>
                </c:pt>
                <c:pt idx="19">
                  <c:v>1.2181005375035499E-2</c:v>
                </c:pt>
                <c:pt idx="20">
                  <c:v>1.3049895915241401E-2</c:v>
                </c:pt>
                <c:pt idx="21">
                  <c:v>1.3646888019723399E-2</c:v>
                </c:pt>
              </c:numCache>
            </c:numRef>
          </c:val>
          <c:smooth val="0"/>
          <c:extLst>
            <c:ext xmlns:c16="http://schemas.microsoft.com/office/drawing/2014/chart" uri="{C3380CC4-5D6E-409C-BE32-E72D297353CC}">
              <c16:uniqueId val="{00000004-776D-4BB6-8547-723C1CF34FF9}"/>
            </c:ext>
          </c:extLst>
        </c:ser>
        <c:ser>
          <c:idx val="5"/>
          <c:order val="5"/>
          <c:tx>
            <c:strRef>
              <c:f>'Cuenta Ahorro-Inversión-Financi'!$K$94:$K$95</c:f>
              <c:strCache>
                <c:ptCount val="2"/>
                <c:pt idx="0">
                  <c:v>Gastos corrientes sin el PAMI, % PIB</c:v>
                </c:pt>
              </c:strCache>
            </c:strRef>
          </c:tx>
          <c:spPr>
            <a:ln w="38160">
              <a:solidFill>
                <a:srgbClr val="99CCFF"/>
              </a:solidFill>
              <a:round/>
            </a:ln>
          </c:spPr>
          <c:marker>
            <c:symbol val="plus"/>
            <c:size val="6"/>
            <c:spPr>
              <a:solidFill>
                <a:srgbClr val="99CCFF"/>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0.00%</c:formatCode>
                <c:ptCount val="22"/>
                <c:pt idx="0">
                  <c:v>6.57693068832675E-2</c:v>
                </c:pt>
                <c:pt idx="1">
                  <c:v>7.0046705331925696E-2</c:v>
                </c:pt>
                <c:pt idx="2">
                  <c:v>6.0192703555002398E-2</c:v>
                </c:pt>
                <c:pt idx="3">
                  <c:v>6.08752908039948E-2</c:v>
                </c:pt>
                <c:pt idx="4">
                  <c:v>5.6600595771893497E-2</c:v>
                </c:pt>
                <c:pt idx="5">
                  <c:v>5.49855186352841E-2</c:v>
                </c:pt>
                <c:pt idx="6">
                  <c:v>5.8481966532990197E-2</c:v>
                </c:pt>
                <c:pt idx="7">
                  <c:v>5.8744869389588103E-2</c:v>
                </c:pt>
                <c:pt idx="8">
                  <c:v>5.9426722392113399E-2</c:v>
                </c:pt>
                <c:pt idx="9">
                  <c:v>5.1802195882388803E-2</c:v>
                </c:pt>
                <c:pt idx="10">
                  <c:v>5.02672923467887E-2</c:v>
                </c:pt>
                <c:pt idx="11">
                  <c:v>4.4816582738732097E-2</c:v>
                </c:pt>
                <c:pt idx="12">
                  <c:v>4.3685082531341901E-2</c:v>
                </c:pt>
                <c:pt idx="13">
                  <c:v>4.5350520822186803E-2</c:v>
                </c:pt>
                <c:pt idx="14">
                  <c:v>5.70555874298369E-2</c:v>
                </c:pt>
                <c:pt idx="15">
                  <c:v>5.8158568888251903E-2</c:v>
                </c:pt>
                <c:pt idx="16">
                  <c:v>7.0672433158799106E-2</c:v>
                </c:pt>
                <c:pt idx="17">
                  <c:v>7.0032018675799002E-2</c:v>
                </c:pt>
                <c:pt idx="18">
                  <c:v>7.0766007007301401E-2</c:v>
                </c:pt>
                <c:pt idx="19">
                  <c:v>7.8148519776622294E-2</c:v>
                </c:pt>
                <c:pt idx="20">
                  <c:v>8.1485973252982E-2</c:v>
                </c:pt>
                <c:pt idx="21">
                  <c:v>7.9855315110792593E-2</c:v>
                </c:pt>
              </c:numCache>
            </c:numRef>
          </c:val>
          <c:smooth val="0"/>
          <c:extLst>
            <c:ext xmlns:c16="http://schemas.microsoft.com/office/drawing/2014/chart" uri="{C3380CC4-5D6E-409C-BE32-E72D297353CC}">
              <c16:uniqueId val="{00000005-776D-4BB6-8547-723C1CF34FF9}"/>
            </c:ext>
          </c:extLst>
        </c:ser>
        <c:dLbls>
          <c:showLegendKey val="0"/>
          <c:showVal val="0"/>
          <c:showCatName val="0"/>
          <c:showSerName val="0"/>
          <c:showPercent val="0"/>
          <c:showBubbleSize val="0"/>
        </c:dLbls>
        <c:hiLowLines>
          <c:spPr>
            <a:ln>
              <a:noFill/>
            </a:ln>
          </c:spPr>
        </c:hiLowLines>
        <c:marker val="1"/>
        <c:smooth val="0"/>
        <c:axId val="89488519"/>
        <c:axId val="5827163"/>
      </c:lineChart>
      <c:catAx>
        <c:axId val="89488519"/>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5827163"/>
        <c:crosses val="autoZero"/>
        <c:auto val="1"/>
        <c:lblAlgn val="ctr"/>
        <c:lblOffset val="100"/>
        <c:noMultiLvlLbl val="1"/>
      </c:catAx>
      <c:valAx>
        <c:axId val="5827163"/>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89488519"/>
        <c:crossesAt val="1"/>
        <c:crossBetween val="midCat"/>
      </c:valAx>
      <c:spPr>
        <a:noFill/>
        <a:ln w="3240">
          <a:solidFill>
            <a:srgbClr val="A7A7A7"/>
          </a:solidFill>
          <a:round/>
        </a:ln>
      </c:spPr>
    </c:plotArea>
    <c:legend>
      <c:legendPos val="r"/>
      <c:layout>
        <c:manualLayout>
          <c:xMode val="edge"/>
          <c:yMode val="edge"/>
          <c:x val="0.133230555002984"/>
          <c:y val="0.17246570759451299"/>
          <c:w val="0.86119261948575099"/>
          <c:h val="0.12538686741949001"/>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200" b="0" strike="noStrike" spc="-1">
                <a:solidFill>
                  <a:srgbClr val="000000"/>
                </a:solidFill>
                <a:latin typeface="Arial"/>
                <a:ea typeface="Arial"/>
              </a:defRPr>
            </a:pPr>
            <a:r>
              <a:rPr lang="es-AR" sz="1200" b="0" strike="noStrike" spc="-1">
                <a:solidFill>
                  <a:srgbClr val="000000"/>
                </a:solidFill>
                <a:latin typeface="Arial"/>
                <a:ea typeface="Arial"/>
              </a:rPr>
              <a:t>Graphique 1: compte courant d'ANSES, % du PIB</a:t>
            </a:r>
          </a:p>
        </c:rich>
      </c:tx>
      <c:layout>
        <c:manualLayout>
          <c:xMode val="edge"/>
          <c:yMode val="edge"/>
          <c:x val="0.36002716720177802"/>
          <c:y val="0.291988795518207"/>
        </c:manualLayout>
      </c:layout>
      <c:overlay val="0"/>
      <c:spPr>
        <a:noFill/>
        <a:ln w="25560">
          <a:noFill/>
        </a:ln>
      </c:spPr>
    </c:title>
    <c:autoTitleDeleted val="0"/>
    <c:plotArea>
      <c:layout>
        <c:manualLayout>
          <c:layoutTarget val="inner"/>
          <c:xMode val="edge"/>
          <c:yMode val="edge"/>
          <c:x val="0.25024697456161998"/>
          <c:y val="0.57019607843137299"/>
          <c:w val="0.68930600148184695"/>
          <c:h val="0.30879551820728302"/>
        </c:manualLayout>
      </c:layout>
      <c:lineChart>
        <c:grouping val="standard"/>
        <c:varyColors val="0"/>
        <c:ser>
          <c:idx val="0"/>
          <c:order val="0"/>
          <c:tx>
            <c:strRef>
              <c:f>'Cuenta Ahorro-Inversión-Financi'!$AA$94:$AA$95</c:f>
              <c:strCache>
                <c:ptCount val="2"/>
                <c:pt idx="0">
                  <c:v>Rentabilité du FGS exclue</c:v>
                </c:pt>
              </c:strCache>
            </c:strRef>
          </c:tx>
          <c:spPr>
            <a:ln w="38160">
              <a:solidFill>
                <a:srgbClr val="0855DC"/>
              </a:solidFill>
              <a:round/>
            </a:ln>
          </c:spPr>
          <c:marker>
            <c:symbol val="square"/>
            <c:size val="6"/>
            <c:spPr>
              <a:solidFill>
                <a:srgbClr val="0855DC"/>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0.00%</c:formatCode>
                <c:ptCount val="23"/>
                <c:pt idx="15">
                  <c:v>-1.1160743347438384E-3</c:v>
                </c:pt>
                <c:pt idx="16">
                  <c:v>1.6841261592384638E-4</c:v>
                </c:pt>
                <c:pt idx="17">
                  <c:v>7.1438258031669699E-4</c:v>
                </c:pt>
                <c:pt idx="18">
                  <c:v>1.4994808697394307E-3</c:v>
                </c:pt>
                <c:pt idx="19">
                  <c:v>-3.5114547850105537E-4</c:v>
                </c:pt>
                <c:pt idx="20">
                  <c:v>-1.7899877378163148E-3</c:v>
                </c:pt>
                <c:pt idx="21">
                  <c:v>-3.5602932192841802E-3</c:v>
                </c:pt>
                <c:pt idx="22">
                  <c:v>-9.0571142308388392E-3</c:v>
                </c:pt>
              </c:numCache>
            </c:numRef>
          </c:val>
          <c:smooth val="0"/>
          <c:extLst>
            <c:ext xmlns:c16="http://schemas.microsoft.com/office/drawing/2014/chart" uri="{C3380CC4-5D6E-409C-BE32-E72D297353CC}">
              <c16:uniqueId val="{00000000-AD73-4034-8E57-5A68C22F85AB}"/>
            </c:ext>
          </c:extLst>
        </c:ser>
        <c:ser>
          <c:idx val="1"/>
          <c:order val="1"/>
          <c:tx>
            <c:strRef>
              <c:f>'Cuenta Ahorro-Inversión-Financi'!$AB$94:$AB$95</c:f>
              <c:strCache>
                <c:ptCount val="2"/>
                <c:pt idx="0">
                  <c:v>Rentabilité du FGS inclue</c:v>
                </c:pt>
              </c:strCache>
            </c:strRef>
          </c:tx>
          <c:spPr>
            <a:ln w="38160">
              <a:solidFill>
                <a:srgbClr val="FF6200"/>
              </a:solidFill>
              <a:round/>
            </a:ln>
          </c:spPr>
          <c:marker>
            <c:symbol val="diamond"/>
            <c:size val="6"/>
            <c:spPr>
              <a:solidFill>
                <a:srgbClr val="FF6200"/>
              </a:solidFill>
            </c:spPr>
          </c:marker>
          <c:dLbls>
            <c:spPr>
              <a:noFill/>
              <a:ln>
                <a:noFill/>
              </a:ln>
              <a:effectLst/>
            </c:spPr>
            <c:txPr>
              <a:bodyPr/>
              <a:lstStyle/>
              <a:p>
                <a:pPr>
                  <a:defRPr lang="es-AR" sz="1000" b="0" strike="noStrike" spc="-1">
                    <a:solidFill>
                      <a:srgbClr val="000000"/>
                    </a:solidFill>
                    <a:latin typeface="Arial"/>
                    <a:ea typeface="Arial"/>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0.00%</c:formatCode>
                <c:ptCount val="23"/>
                <c:pt idx="0">
                  <c:v>-7.6345564120698008E-3</c:v>
                </c:pt>
                <c:pt idx="1">
                  <c:v>-1.6623826172002903E-2</c:v>
                </c:pt>
                <c:pt idx="2">
                  <c:v>-1.1332537754519097E-2</c:v>
                </c:pt>
                <c:pt idx="3">
                  <c:v>-9.6999596370404978E-3</c:v>
                </c:pt>
                <c:pt idx="4">
                  <c:v>-8.2249083147974984E-3</c:v>
                </c:pt>
                <c:pt idx="5">
                  <c:v>-7.1826600590304008E-3</c:v>
                </c:pt>
                <c:pt idx="6">
                  <c:v>-1.2137170742734996E-2</c:v>
                </c:pt>
                <c:pt idx="7">
                  <c:v>-1.1563041471358101E-2</c:v>
                </c:pt>
                <c:pt idx="8">
                  <c:v>-1.4103799621331096E-2</c:v>
                </c:pt>
                <c:pt idx="9">
                  <c:v>-1.4278091906323108E-2</c:v>
                </c:pt>
                <c:pt idx="10">
                  <c:v>-9.933571245303096E-3</c:v>
                </c:pt>
                <c:pt idx="11">
                  <c:v>-3.2607265455201944E-3</c:v>
                </c:pt>
                <c:pt idx="12">
                  <c:v>-4.1145539442609771E-4</c:v>
                </c:pt>
                <c:pt idx="13">
                  <c:v>1.3226922525442994E-3</c:v>
                </c:pt>
                <c:pt idx="14">
                  <c:v>2.8709584007996004E-3</c:v>
                </c:pt>
                <c:pt idx="15">
                  <c:v>-1.4832114521230245E-4</c:v>
                </c:pt>
                <c:pt idx="16">
                  <c:v>6.9385889005689864E-3</c:v>
                </c:pt>
                <c:pt idx="17">
                  <c:v>5.9306021185994966E-3</c:v>
                </c:pt>
                <c:pt idx="18">
                  <c:v>6.5365075158373004E-3</c:v>
                </c:pt>
                <c:pt idx="19">
                  <c:v>6.1903516693077943E-3</c:v>
                </c:pt>
                <c:pt idx="20">
                  <c:v>5.0149795627416052E-3</c:v>
                </c:pt>
                <c:pt idx="21">
                  <c:v>4.7681788441756093E-3</c:v>
                </c:pt>
                <c:pt idx="22">
                  <c:v>-1.2590490595162061E-4</c:v>
                </c:pt>
              </c:numCache>
            </c:numRef>
          </c:val>
          <c:smooth val="0"/>
          <c:extLst>
            <c:ext xmlns:c16="http://schemas.microsoft.com/office/drawing/2014/chart" uri="{C3380CC4-5D6E-409C-BE32-E72D297353CC}">
              <c16:uniqueId val="{00000001-AD73-4034-8E57-5A68C22F85AB}"/>
            </c:ext>
          </c:extLst>
        </c:ser>
        <c:dLbls>
          <c:showLegendKey val="0"/>
          <c:showVal val="0"/>
          <c:showCatName val="0"/>
          <c:showSerName val="0"/>
          <c:showPercent val="0"/>
          <c:showBubbleSize val="0"/>
        </c:dLbls>
        <c:hiLowLines>
          <c:spPr>
            <a:ln>
              <a:noFill/>
            </a:ln>
          </c:spPr>
        </c:hiLowLines>
        <c:marker val="1"/>
        <c:smooth val="0"/>
        <c:axId val="7659783"/>
        <c:axId val="77633672"/>
      </c:lineChart>
      <c:catAx>
        <c:axId val="7659783"/>
        <c:scaling>
          <c:orientation val="minMax"/>
        </c:scaling>
        <c:delete val="0"/>
        <c:axPos val="b"/>
        <c:numFmt formatCode="General" sourceLinked="1"/>
        <c:majorTickMark val="none"/>
        <c:minorTickMark val="none"/>
        <c:tickLblPos val="nextTo"/>
        <c:spPr>
          <a:ln w="3240">
            <a:solidFill>
              <a:srgbClr val="A7A7A7"/>
            </a:solidFill>
            <a:round/>
          </a:ln>
        </c:spPr>
        <c:txPr>
          <a:bodyPr/>
          <a:lstStyle/>
          <a:p>
            <a:pPr>
              <a:defRPr lang="es-AR" sz="1000" b="0" strike="noStrike" spc="-1">
                <a:solidFill>
                  <a:srgbClr val="000000"/>
                </a:solidFill>
                <a:latin typeface="Arial"/>
                <a:ea typeface="Arial"/>
              </a:defRPr>
            </a:pPr>
            <a:endParaRPr lang="es-ES"/>
          </a:p>
        </c:txPr>
        <c:crossAx val="77633672"/>
        <c:crosses val="autoZero"/>
        <c:auto val="1"/>
        <c:lblAlgn val="ctr"/>
        <c:lblOffset val="100"/>
        <c:noMultiLvlLbl val="1"/>
      </c:catAx>
      <c:valAx>
        <c:axId val="77633672"/>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lang="es-AR" sz="1000" b="0" strike="noStrike" spc="-1">
                <a:solidFill>
                  <a:srgbClr val="000000"/>
                </a:solidFill>
                <a:latin typeface="Arial"/>
                <a:ea typeface="Arial"/>
              </a:defRPr>
            </a:pPr>
            <a:endParaRPr lang="es-ES"/>
          </a:p>
        </c:txPr>
        <c:crossAx val="7659783"/>
        <c:crossesAt val="1"/>
        <c:crossBetween val="midCat"/>
      </c:valAx>
      <c:spPr>
        <a:noFill/>
        <a:ln w="3240">
          <a:solidFill>
            <a:srgbClr val="A7A7A7"/>
          </a:solidFill>
          <a:round/>
        </a:ln>
      </c:spPr>
    </c:plotArea>
    <c:legend>
      <c:legendPos val="r"/>
      <c:layout>
        <c:manualLayout>
          <c:xMode val="edge"/>
          <c:yMode val="edge"/>
          <c:x val="0.19887626574462799"/>
          <c:y val="0.37826330532212898"/>
          <c:w val="0.58499536894103099"/>
          <c:h val="6.2864186463469293E-2"/>
        </c:manualLayout>
      </c:layout>
      <c:overlay val="1"/>
      <c:spPr>
        <a:noFill/>
        <a:ln w="25560">
          <a:noFill/>
        </a:ln>
      </c:spPr>
      <c:txPr>
        <a:bodyPr/>
        <a:lstStyle/>
        <a:p>
          <a:pPr>
            <a:defRPr lang="es-AR" sz="545" b="0" strike="noStrike" spc="-1">
              <a:solidFill>
                <a:srgbClr val="000000"/>
              </a:solidFill>
              <a:latin typeface="Arial"/>
              <a:ea typeface="Arial"/>
            </a:defRPr>
          </a:pPr>
          <a:endParaRPr lang="es-E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layout/>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B42A-49BF-87B7-B2889CDE4FA0}"/>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B42A-49BF-87B7-B2889CDE4FA0}"/>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B42A-49BF-87B7-B2889CDE4FA0}"/>
            </c:ext>
          </c:extLst>
        </c:ser>
        <c:dLbls>
          <c:showLegendKey val="0"/>
          <c:showVal val="0"/>
          <c:showCatName val="0"/>
          <c:showSerName val="0"/>
          <c:showPercent val="0"/>
          <c:showBubbleSize val="0"/>
        </c:dLbls>
        <c:hiLowLines>
          <c:spPr>
            <a:ln>
              <a:noFill/>
            </a:ln>
          </c:spPr>
        </c:hiLowLines>
        <c:marker val="1"/>
        <c:smooth val="0"/>
        <c:axId val="63377167"/>
        <c:axId val="93047474"/>
      </c:lineChart>
      <c:catAx>
        <c:axId val="6337716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93047474"/>
        <c:crosses val="autoZero"/>
        <c:auto val="1"/>
        <c:lblAlgn val="ctr"/>
        <c:lblOffset val="100"/>
        <c:noMultiLvlLbl val="1"/>
      </c:catAx>
      <c:valAx>
        <c:axId val="9304747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63377167"/>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40" b="0" strike="noStrike" spc="-1">
                <a:solidFill>
                  <a:srgbClr val="595959"/>
                </a:solidFill>
                <a:latin typeface="Calibri"/>
              </a:defRPr>
            </a:pPr>
            <a:r>
              <a:rPr lang="es-AR" sz="1440" b="0" strike="noStrike" spc="-1">
                <a:solidFill>
                  <a:srgbClr val="595959"/>
                </a:solidFill>
                <a:latin typeface="Calibri"/>
              </a:rPr>
              <a:t>Resultado económico de ANSES (1993-2018)</a:t>
            </a:r>
          </a:p>
        </c:rich>
      </c:tx>
      <c:layout/>
      <c:overlay val="0"/>
      <c:spPr>
        <a:noFill/>
        <a:ln w="25560">
          <a:noFill/>
        </a:ln>
      </c:spPr>
    </c:title>
    <c:autoTitleDeleted val="0"/>
    <c:plotArea>
      <c:layout/>
      <c:lineChart>
        <c:grouping val="standard"/>
        <c:varyColors val="0"/>
        <c:ser>
          <c:idx val="0"/>
          <c:order val="0"/>
          <c:tx>
            <c:strRef>
              <c:f>'Cuenta Ahorro-Inversión-Financi'!$AX$80</c:f>
              <c:strCache>
                <c:ptCount val="1"/>
                <c:pt idx="0">
                  <c:v>Resultado económico de ANSES</c:v>
                </c:pt>
              </c:strCache>
            </c:strRef>
          </c:tx>
          <c:spPr>
            <a:ln w="19080">
              <a:solidFill>
                <a:srgbClr val="ED7D31"/>
              </a:solidFill>
              <a:round/>
            </a:ln>
          </c:spPr>
          <c:marker>
            <c:symbol val="circle"/>
            <c:size val="9"/>
            <c:spPr>
              <a:solidFill>
                <a:srgbClr val="ED7D31"/>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Ahorro-Inversión-Financi'!$AX$81:$AX$106</c:f>
              <c:numCache>
                <c:formatCode>0.00%</c:formatCode>
                <c:ptCount val="26"/>
                <c:pt idx="0">
                  <c:v>-4.4606927546389334E-4</c:v>
                </c:pt>
                <c:pt idx="1">
                  <c:v>-1.3085329461061546E-2</c:v>
                </c:pt>
                <c:pt idx="2">
                  <c:v>-6.3793495975881928E-3</c:v>
                </c:pt>
                <c:pt idx="3">
                  <c:v>-5.2873047307913854E-3</c:v>
                </c:pt>
                <c:pt idx="4">
                  <c:v>-3.155945288112247E-3</c:v>
                </c:pt>
                <c:pt idx="5">
                  <c:v>-2.6600621239856077E-3</c:v>
                </c:pt>
                <c:pt idx="6">
                  <c:v>-7.7596880146274961E-3</c:v>
                </c:pt>
                <c:pt idx="7">
                  <c:v>-6.7385444537740782E-3</c:v>
                </c:pt>
                <c:pt idx="8">
                  <c:v>-1.0164928737260199E-2</c:v>
                </c:pt>
                <c:pt idx="9">
                  <c:v>-1.1439861798283517E-2</c:v>
                </c:pt>
                <c:pt idx="10">
                  <c:v>-4.9270739941502687E-3</c:v>
                </c:pt>
                <c:pt idx="11">
                  <c:v>3.821332457194633E-3</c:v>
                </c:pt>
                <c:pt idx="12">
                  <c:v>7.5776910275119763E-3</c:v>
                </c:pt>
                <c:pt idx="13">
                  <c:v>9.177918317369374E-3</c:v>
                </c:pt>
                <c:pt idx="14">
                  <c:v>1.0847029369291347E-2</c:v>
                </c:pt>
                <c:pt idx="15">
                  <c:v>5.7024545724605E-3</c:v>
                </c:pt>
                <c:pt idx="16">
                  <c:v>1.027980357095927E-2</c:v>
                </c:pt>
                <c:pt idx="17">
                  <c:v>9.3567549086329225E-3</c:v>
                </c:pt>
                <c:pt idx="18">
                  <c:v>8.3289611368086401E-3</c:v>
                </c:pt>
                <c:pt idx="19">
                  <c:v>7.6285141707651705E-3</c:v>
                </c:pt>
                <c:pt idx="20">
                  <c:v>5.8795781936787049E-3</c:v>
                </c:pt>
                <c:pt idx="21">
                  <c:v>7.0895515151458803E-3</c:v>
                </c:pt>
                <c:pt idx="22">
                  <c:v>1.4238762631140107E-3</c:v>
                </c:pt>
                <c:pt idx="23">
                  <c:v>-7.7329279831847945E-3</c:v>
                </c:pt>
                <c:pt idx="24">
                  <c:v>-6.1404828582900788E-3</c:v>
                </c:pt>
                <c:pt idx="25">
                  <c:v>6.4407496228680878E-3</c:v>
                </c:pt>
              </c:numCache>
            </c:numRef>
          </c:val>
          <c:smooth val="0"/>
          <c:extLst>
            <c:ext xmlns:c16="http://schemas.microsoft.com/office/drawing/2014/chart" uri="{C3380CC4-5D6E-409C-BE32-E72D297353CC}">
              <c16:uniqueId val="{00000000-FBE7-4E33-AEF4-A4F9AA0C821E}"/>
            </c:ext>
          </c:extLst>
        </c:ser>
        <c:ser>
          <c:idx val="1"/>
          <c:order val="1"/>
          <c:tx>
            <c:strRef>
              <c:f>'Cuenta Ahorro-Inversión-Financi'!$AY$80</c:f>
              <c:strCache>
                <c:ptCount val="1"/>
                <c:pt idx="0">
                  <c:v>Resultado económico excluyendo rentabilidad del FGS</c:v>
                </c:pt>
              </c:strCache>
            </c:strRef>
          </c:tx>
          <c:spPr>
            <a:ln w="19080">
              <a:solidFill>
                <a:srgbClr val="A5A5A5"/>
              </a:solidFill>
              <a:round/>
            </a:ln>
          </c:spPr>
          <c:marker>
            <c:symbol val="x"/>
            <c:size val="10"/>
            <c:spPr>
              <a:solidFill>
                <a:srgbClr val="A5A5A5"/>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Ahorro-Inversión-Financi'!$AY$81:$AY$106</c:f>
              <c:numCache>
                <c:formatCode>0.00%</c:formatCode>
                <c:ptCount val="26"/>
                <c:pt idx="15">
                  <c:v>4.730474022095893E-3</c:v>
                </c:pt>
                <c:pt idx="16">
                  <c:v>3.4788465677864115E-3</c:v>
                </c:pt>
                <c:pt idx="17">
                  <c:v>4.1123559159342866E-3</c:v>
                </c:pt>
                <c:pt idx="18">
                  <c:v>3.2630790588100951E-3</c:v>
                </c:pt>
                <c:pt idx="19">
                  <c:v>1.0516175102900241E-3</c:v>
                </c:pt>
                <c:pt idx="20">
                  <c:v>-9.5166855816117626E-4</c:v>
                </c:pt>
                <c:pt idx="21">
                  <c:v>-1.2928637559684597E-3</c:v>
                </c:pt>
                <c:pt idx="22">
                  <c:v>-7.5073330617732078E-3</c:v>
                </c:pt>
                <c:pt idx="23">
                  <c:v>-1.6540512952781049E-2</c:v>
                </c:pt>
                <c:pt idx="24">
                  <c:v>-1.6500170398928433E-2</c:v>
                </c:pt>
                <c:pt idx="25">
                  <c:v>-6.1381373118466701E-3</c:v>
                </c:pt>
              </c:numCache>
            </c:numRef>
          </c:val>
          <c:smooth val="0"/>
          <c:extLst>
            <c:ext xmlns:c16="http://schemas.microsoft.com/office/drawing/2014/chart" uri="{C3380CC4-5D6E-409C-BE32-E72D297353CC}">
              <c16:uniqueId val="{00000001-FBE7-4E33-AEF4-A4F9AA0C821E}"/>
            </c:ext>
          </c:extLst>
        </c:ser>
        <c:ser>
          <c:idx val="2"/>
          <c:order val="2"/>
          <c:tx>
            <c:strRef>
              <c:f>'Cuenta Ahorro-Inversión-Financi'!$AZ$80</c:f>
              <c:strCache>
                <c:ptCount val="1"/>
                <c:pt idx="0">
                  <c:v>Resultado económico excluyendo rentabilidad FGS y asistencia financiera Ley 27.260</c:v>
                </c:pt>
              </c:strCache>
            </c:strRef>
          </c:tx>
          <c:spPr>
            <a:ln w="19080">
              <a:solidFill>
                <a:srgbClr val="FFC000"/>
              </a:solidFill>
              <a:round/>
            </a:ln>
          </c:spPr>
          <c:marker>
            <c:symbol val="triangle"/>
            <c:size val="10"/>
            <c:spPr>
              <a:solidFill>
                <a:srgbClr val="FFC000"/>
              </a:solidFill>
            </c:spPr>
          </c:marker>
          <c:dLbls>
            <c:spPr>
              <a:noFill/>
              <a:ln>
                <a:noFill/>
              </a:ln>
              <a:effectLst/>
            </c:spPr>
            <c:txPr>
              <a:bodyPr/>
              <a:lstStyle/>
              <a:p>
                <a:pPr>
                  <a:defRPr lang="es-AR" sz="12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'Cuenta Ahorro-Inversión-Financi'!$AV$81:$AV$106</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'Cuenta Ahorro-Inversión-Financi'!$AZ$81:$AZ$106</c:f>
              <c:numCache>
                <c:formatCode>General</c:formatCode>
                <c:ptCount val="26"/>
                <c:pt idx="23" formatCode="0.00%">
                  <c:v>-2.0346799695848929E-2</c:v>
                </c:pt>
                <c:pt idx="24" formatCode="0.00%">
                  <c:v>-2.4104702008189635E-2</c:v>
                </c:pt>
                <c:pt idx="25" formatCode="0.00%">
                  <c:v>-1.8271797800212458E-2</c:v>
                </c:pt>
              </c:numCache>
            </c:numRef>
          </c:val>
          <c:smooth val="0"/>
          <c:extLst>
            <c:ext xmlns:c16="http://schemas.microsoft.com/office/drawing/2014/chart" uri="{C3380CC4-5D6E-409C-BE32-E72D297353CC}">
              <c16:uniqueId val="{00000002-FBE7-4E33-AEF4-A4F9AA0C821E}"/>
            </c:ext>
          </c:extLst>
        </c:ser>
        <c:dLbls>
          <c:showLegendKey val="0"/>
          <c:showVal val="0"/>
          <c:showCatName val="0"/>
          <c:showSerName val="0"/>
          <c:showPercent val="0"/>
          <c:showBubbleSize val="0"/>
        </c:dLbls>
        <c:hiLowLines>
          <c:spPr>
            <a:ln>
              <a:noFill/>
            </a:ln>
          </c:spPr>
        </c:hiLowLines>
        <c:marker val="1"/>
        <c:smooth val="0"/>
        <c:axId val="44069730"/>
        <c:axId val="11995156"/>
      </c:lineChart>
      <c:catAx>
        <c:axId val="440697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1200" b="0" strike="noStrike" spc="-1">
                <a:solidFill>
                  <a:srgbClr val="595959"/>
                </a:solidFill>
                <a:latin typeface="Calibri"/>
              </a:defRPr>
            </a:pPr>
            <a:endParaRPr lang="es-ES"/>
          </a:p>
        </c:txPr>
        <c:crossAx val="11995156"/>
        <c:crosses val="autoZero"/>
        <c:auto val="1"/>
        <c:lblAlgn val="ctr"/>
        <c:lblOffset val="100"/>
        <c:noMultiLvlLbl val="1"/>
      </c:catAx>
      <c:valAx>
        <c:axId val="1199515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lang="es-AR" sz="1200" b="0" strike="noStrike" spc="-1">
                <a:solidFill>
                  <a:srgbClr val="595959"/>
                </a:solidFill>
                <a:latin typeface="Calibri"/>
              </a:defRPr>
            </a:pPr>
            <a:endParaRPr lang="es-ES"/>
          </a:p>
        </c:txPr>
        <c:crossAx val="44069730"/>
        <c:crosses val="autoZero"/>
        <c:crossBetween val="midCat"/>
      </c:valAx>
      <c:spPr>
        <a:noFill/>
        <a:ln w="25560">
          <a:noFill/>
        </a:ln>
      </c:spPr>
    </c:plotArea>
    <c:legend>
      <c:legendPos val="b"/>
      <c:layout/>
      <c:overlay val="0"/>
      <c:spPr>
        <a:noFill/>
        <a:ln w="25560">
          <a:noFill/>
        </a:ln>
      </c:spPr>
      <c:txPr>
        <a:bodyPr/>
        <a:lstStyle/>
        <a:p>
          <a:pPr>
            <a:defRPr lang="es-AR" sz="1200" b="0" strike="noStrike" spc="-1">
              <a:solidFill>
                <a:srgbClr val="595959"/>
              </a:solidFill>
              <a:latin typeface="Calibri"/>
            </a:defRPr>
          </a:pPr>
          <a:endParaRPr lang="es-E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lang="es-AR" sz="1400" b="0" strike="noStrike" spc="-1">
                <a:solidFill>
                  <a:srgbClr val="595959"/>
                </a:solidFill>
                <a:latin typeface="Calibri"/>
              </a:defRPr>
            </a:pPr>
            <a:r>
              <a:rPr lang="es-AR" sz="1400" b="0" strike="noStrike" spc="-1">
                <a:solidFill>
                  <a:srgbClr val="595959"/>
                </a:solidFill>
                <a:latin typeface="Calibri"/>
              </a:rPr>
              <a:t>ANSES: Cobertura jubilatoria, proporción de contribuyentes de edad activa y contribuyentes por jubilado, 1994-2018</a:t>
            </a:r>
          </a:p>
        </c:rich>
      </c:tx>
      <c:layout/>
      <c:overlay val="0"/>
      <c:spPr>
        <a:noFill/>
        <a:ln>
          <a:noFill/>
        </a:ln>
      </c:spPr>
    </c:title>
    <c:autoTitleDeleted val="0"/>
    <c:plotArea>
      <c:layout/>
      <c:lineChart>
        <c:grouping val="standard"/>
        <c:varyColors val="0"/>
        <c:ser>
          <c:idx val="0"/>
          <c:order val="0"/>
          <c:tx>
            <c:strRef>
              <c:f>'Cobertura y contribuyentes'!$D$3</c:f>
              <c:strCache>
                <c:ptCount val="1"/>
                <c:pt idx="0">
                  <c:v>Acceso a una jubilación (población en edad jubilatoria)</c:v>
                </c:pt>
              </c:strCache>
            </c:strRef>
          </c:tx>
          <c:spPr>
            <a:ln w="28440">
              <a:solidFill>
                <a:srgbClr val="5B9BD5"/>
              </a:solidFill>
              <a:round/>
            </a:ln>
          </c:spPr>
          <c:marker>
            <c:symbol val="circle"/>
            <c:size val="5"/>
            <c:spPr>
              <a:solidFill>
                <a:srgbClr val="5B9BD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0%</c:formatCode>
                <c:ptCount val="26"/>
                <c:pt idx="0">
                  <c:v>0.51491532131269679</c:v>
                </c:pt>
                <c:pt idx="1">
                  <c:v>0.51032380122769527</c:v>
                </c:pt>
                <c:pt idx="2">
                  <c:v>0.51407223739875207</c:v>
                </c:pt>
                <c:pt idx="3">
                  <c:v>0.47451007205915097</c:v>
                </c:pt>
                <c:pt idx="4">
                  <c:v>0.49159536685171445</c:v>
                </c:pt>
                <c:pt idx="5">
                  <c:v>0.47109174141877708</c:v>
                </c:pt>
                <c:pt idx="6">
                  <c:v>0.45047200185819247</c:v>
                </c:pt>
                <c:pt idx="7">
                  <c:v>0.43474501353499762</c:v>
                </c:pt>
                <c:pt idx="8">
                  <c:v>0.41872219667567318</c:v>
                </c:pt>
                <c:pt idx="9">
                  <c:v>0.4056785650667748</c:v>
                </c:pt>
                <c:pt idx="10">
                  <c:v>0.39055201154844388</c:v>
                </c:pt>
                <c:pt idx="11">
                  <c:v>0.37950052827156011</c:v>
                </c:pt>
                <c:pt idx="12">
                  <c:v>0.40993227281865285</c:v>
                </c:pt>
                <c:pt idx="13">
                  <c:v>0.6325495440994201</c:v>
                </c:pt>
                <c:pt idx="15">
                  <c:v>0.70506061476915582</c:v>
                </c:pt>
                <c:pt idx="16">
                  <c:v>0.78661058918485127</c:v>
                </c:pt>
                <c:pt idx="17">
                  <c:v>0.80138193135938007</c:v>
                </c:pt>
                <c:pt idx="18">
                  <c:v>0.79936583805189809</c:v>
                </c:pt>
                <c:pt idx="19">
                  <c:v>0.78797967308356609</c:v>
                </c:pt>
                <c:pt idx="20">
                  <c:v>0.77772493853427693</c:v>
                </c:pt>
                <c:pt idx="21">
                  <c:v>0.76877332040919277</c:v>
                </c:pt>
                <c:pt idx="22">
                  <c:v>0.8331996460776615</c:v>
                </c:pt>
                <c:pt idx="23">
                  <c:v>0.86310330831481741</c:v>
                </c:pt>
                <c:pt idx="24">
                  <c:v>0.87001767187119383</c:v>
                </c:pt>
                <c:pt idx="25">
                  <c:v>0.86807346283748399</c:v>
                </c:pt>
              </c:numCache>
            </c:numRef>
          </c:val>
          <c:smooth val="0"/>
          <c:extLst>
            <c:ext xmlns:c16="http://schemas.microsoft.com/office/drawing/2014/chart" uri="{C3380CC4-5D6E-409C-BE32-E72D297353CC}">
              <c16:uniqueId val="{00000000-03F6-440B-B6D4-68E7CA151524}"/>
            </c:ext>
          </c:extLst>
        </c:ser>
        <c:ser>
          <c:idx val="1"/>
          <c:order val="1"/>
          <c:tx>
            <c:strRef>
              <c:f>'Cobertura y contribuyentes'!$E$3</c:f>
              <c:strCache>
                <c:ptCount val="1"/>
                <c:pt idx="0">
                  <c:v>Proporción de población en edad de trabajar que contribuye</c:v>
                </c:pt>
              </c:strCache>
            </c:strRef>
          </c:tx>
          <c:spPr>
            <a:ln w="28440">
              <a:solidFill>
                <a:srgbClr val="ED7D31"/>
              </a:solidFill>
              <a:round/>
            </a:ln>
          </c:spPr>
          <c:marker>
            <c:symbol val="circle"/>
            <c:size val="5"/>
            <c:spPr>
              <a:solidFill>
                <a:srgbClr val="ED7D31"/>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0%</c:formatCode>
                <c:ptCount val="26"/>
                <c:pt idx="0">
                  <c:v>0.27806862837525603</c:v>
                </c:pt>
                <c:pt idx="1">
                  <c:v>0.25097596485396134</c:v>
                </c:pt>
                <c:pt idx="2">
                  <c:v>0.25767080127791647</c:v>
                </c:pt>
                <c:pt idx="3">
                  <c:v>0.26443170233384755</c:v>
                </c:pt>
                <c:pt idx="4">
                  <c:v>0.27886447341483883</c:v>
                </c:pt>
                <c:pt idx="5">
                  <c:v>0.27132187579228867</c:v>
                </c:pt>
                <c:pt idx="6">
                  <c:v>0.27644846850988797</c:v>
                </c:pt>
                <c:pt idx="7">
                  <c:v>0.24978652032076107</c:v>
                </c:pt>
                <c:pt idx="8">
                  <c:v>0.23356307009601887</c:v>
                </c:pt>
                <c:pt idx="9">
                  <c:v>0.25128280451086393</c:v>
                </c:pt>
                <c:pt idx="10">
                  <c:v>0.28387390484308778</c:v>
                </c:pt>
                <c:pt idx="11">
                  <c:v>0.31000491094547267</c:v>
                </c:pt>
                <c:pt idx="12">
                  <c:v>0.3356360173188121</c:v>
                </c:pt>
                <c:pt idx="13">
                  <c:v>0.35655015322888112</c:v>
                </c:pt>
                <c:pt idx="15">
                  <c:v>0.36646876300723835</c:v>
                </c:pt>
                <c:pt idx="16">
                  <c:v>0.36903840566531038</c:v>
                </c:pt>
                <c:pt idx="17">
                  <c:v>0.38023768482231218</c:v>
                </c:pt>
                <c:pt idx="18">
                  <c:v>0.39150767662946001</c:v>
                </c:pt>
                <c:pt idx="19">
                  <c:v>0.39199446132309324</c:v>
                </c:pt>
                <c:pt idx="20">
                  <c:v>0.40176490464965109</c:v>
                </c:pt>
                <c:pt idx="21">
                  <c:v>0.39810216289211542</c:v>
                </c:pt>
                <c:pt idx="22">
                  <c:v>0.39957605553681552</c:v>
                </c:pt>
                <c:pt idx="23">
                  <c:v>0.39821361009298484</c:v>
                </c:pt>
                <c:pt idx="24">
                  <c:v>0.4006719722349335</c:v>
                </c:pt>
                <c:pt idx="25">
                  <c:v>0.39116544460163744</c:v>
                </c:pt>
              </c:numCache>
            </c:numRef>
          </c:val>
          <c:smooth val="0"/>
          <c:extLst>
            <c:ext xmlns:c16="http://schemas.microsoft.com/office/drawing/2014/chart" uri="{C3380CC4-5D6E-409C-BE32-E72D297353CC}">
              <c16:uniqueId val="{00000001-03F6-440B-B6D4-68E7CA151524}"/>
            </c:ext>
          </c:extLst>
        </c:ser>
        <c:dLbls>
          <c:showLegendKey val="0"/>
          <c:showVal val="0"/>
          <c:showCatName val="0"/>
          <c:showSerName val="0"/>
          <c:showPercent val="0"/>
          <c:showBubbleSize val="0"/>
        </c:dLbls>
        <c:hiLowLines>
          <c:spPr>
            <a:ln>
              <a:noFill/>
            </a:ln>
          </c:spPr>
        </c:hiLowLines>
        <c:marker val="1"/>
        <c:smooth val="0"/>
        <c:axId val="92823485"/>
        <c:axId val="11278908"/>
      </c:lineChart>
      <c:lineChart>
        <c:grouping val="standard"/>
        <c:varyColors val="0"/>
        <c:ser>
          <c:idx val="2"/>
          <c:order val="2"/>
          <c:tx>
            <c:strRef>
              <c:f>'Cobertura y contribuyentes'!$F$3</c:f>
              <c:strCache>
                <c:ptCount val="1"/>
                <c:pt idx="0">
                  <c:v>Contribuyentes por jubilado, pilar de reparto (eje derecho)</c:v>
                </c:pt>
              </c:strCache>
            </c:strRef>
          </c:tx>
          <c:spPr>
            <a:ln w="28440">
              <a:solidFill>
                <a:srgbClr val="A5A5A5"/>
              </a:solidFill>
              <a:round/>
            </a:ln>
          </c:spPr>
          <c:marker>
            <c:symbol val="circle"/>
            <c:size val="5"/>
            <c:spPr>
              <a:solidFill>
                <a:srgbClr val="A5A5A5"/>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0.00</c:formatCode>
                <c:ptCount val="26"/>
                <c:pt idx="0">
                  <c:v>1.1750651181919665</c:v>
                </c:pt>
                <c:pt idx="1">
                  <c:v>0.92135953873831933</c:v>
                </c:pt>
                <c:pt idx="2">
                  <c:v>0.75678206804889758</c:v>
                </c:pt>
                <c:pt idx="3">
                  <c:v>0.65507420479030576</c:v>
                </c:pt>
                <c:pt idx="4">
                  <c:v>0.57429326931877689</c:v>
                </c:pt>
                <c:pt idx="5">
                  <c:v>0.5407029507020229</c:v>
                </c:pt>
                <c:pt idx="6">
                  <c:v>0.50600955927958913</c:v>
                </c:pt>
                <c:pt idx="7">
                  <c:v>0.46468521449095024</c:v>
                </c:pt>
                <c:pt idx="8">
                  <c:v>0.42253640151099014</c:v>
                </c:pt>
                <c:pt idx="9">
                  <c:v>0.48343977065617277</c:v>
                </c:pt>
                <c:pt idx="10">
                  <c:v>0.54958704029792016</c:v>
                </c:pt>
                <c:pt idx="11">
                  <c:v>0.66803502507636481</c:v>
                </c:pt>
                <c:pt idx="12">
                  <c:v>0.70976818464112346</c:v>
                </c:pt>
                <c:pt idx="13">
                  <c:v>0.71085767239994924</c:v>
                </c:pt>
                <c:pt idx="14">
                  <c:v>0.96887848326062942</c:v>
                </c:pt>
                <c:pt idx="15">
                  <c:v>2.37190742537071</c:v>
                </c:pt>
              </c:numCache>
            </c:numRef>
          </c:val>
          <c:smooth val="0"/>
          <c:extLst>
            <c:ext xmlns:c16="http://schemas.microsoft.com/office/drawing/2014/chart" uri="{C3380CC4-5D6E-409C-BE32-E72D297353CC}">
              <c16:uniqueId val="{00000002-03F6-440B-B6D4-68E7CA151524}"/>
            </c:ext>
          </c:extLst>
        </c:ser>
        <c:ser>
          <c:idx val="3"/>
          <c:order val="3"/>
          <c:tx>
            <c:strRef>
              <c:f>'Cobertura y contribuyentes'!$G$3</c:f>
              <c:strCache>
                <c:ptCount val="1"/>
                <c:pt idx="0">
                  <c:v>Contribuyentes por jubilado, SIJP/SIPA (eje derecho)</c:v>
                </c:pt>
              </c:strCache>
            </c:strRef>
          </c:tx>
          <c:spPr>
            <a:ln w="28440">
              <a:solidFill>
                <a:srgbClr val="FFC000"/>
              </a:solidFill>
              <a:round/>
            </a:ln>
          </c:spPr>
          <c:marker>
            <c:symbol val="circle"/>
            <c:size val="5"/>
            <c:spPr>
              <a:solidFill>
                <a:srgbClr val="FFC000"/>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0.00</c:formatCode>
                <c:ptCount val="26"/>
                <c:pt idx="0">
                  <c:v>2.5133355202600809</c:v>
                </c:pt>
                <c:pt idx="1">
                  <c:v>2.2819542711867364</c:v>
                </c:pt>
                <c:pt idx="2">
                  <c:v>2.3192105817447146</c:v>
                </c:pt>
                <c:pt idx="3">
                  <c:v>2.5692440703533714</c:v>
                </c:pt>
                <c:pt idx="4">
                  <c:v>2.6073507890510892</c:v>
                </c:pt>
                <c:pt idx="5">
                  <c:v>2.6311649164703534</c:v>
                </c:pt>
                <c:pt idx="6">
                  <c:v>2.7794346376349441</c:v>
                </c:pt>
                <c:pt idx="7">
                  <c:v>2.573119506307215</c:v>
                </c:pt>
                <c:pt idx="8">
                  <c:v>2.4584422454724564</c:v>
                </c:pt>
                <c:pt idx="9">
                  <c:v>2.6657430015501582</c:v>
                </c:pt>
                <c:pt idx="10">
                  <c:v>3.0585278145274359</c:v>
                </c:pt>
                <c:pt idx="11">
                  <c:v>3.3593135745572651</c:v>
                </c:pt>
                <c:pt idx="12">
                  <c:v>3.3080192843198373</c:v>
                </c:pt>
                <c:pt idx="13">
                  <c:v>2.2941639115381283</c:v>
                </c:pt>
                <c:pt idx="14">
                  <c:v>2.1258039899148811</c:v>
                </c:pt>
                <c:pt idx="15">
                  <c:v>2.37190742537071</c:v>
                </c:pt>
                <c:pt idx="16">
                  <c:v>2.0948399607763335</c:v>
                </c:pt>
                <c:pt idx="17">
                  <c:v>2.097289004786087</c:v>
                </c:pt>
                <c:pt idx="18">
                  <c:v>2.1563145539741595</c:v>
                </c:pt>
                <c:pt idx="19">
                  <c:v>2.1706679950858976</c:v>
                </c:pt>
                <c:pt idx="20">
                  <c:v>2.2370582487492294</c:v>
                </c:pt>
                <c:pt idx="21">
                  <c:v>2.2241405993989787</c:v>
                </c:pt>
                <c:pt idx="22">
                  <c:v>2.0422647957059277</c:v>
                </c:pt>
                <c:pt idx="23">
                  <c:v>1.9427001869376144</c:v>
                </c:pt>
                <c:pt idx="24">
                  <c:v>1.9225250325282572</c:v>
                </c:pt>
                <c:pt idx="25">
                  <c:v>1.9060573598553934</c:v>
                </c:pt>
              </c:numCache>
            </c:numRef>
          </c:val>
          <c:smooth val="0"/>
          <c:extLst>
            <c:ext xmlns:c16="http://schemas.microsoft.com/office/drawing/2014/chart" uri="{C3380CC4-5D6E-409C-BE32-E72D297353CC}">
              <c16:uniqueId val="{00000003-03F6-440B-B6D4-68E7CA151524}"/>
            </c:ext>
          </c:extLst>
        </c:ser>
        <c:ser>
          <c:idx val="4"/>
          <c:order val="4"/>
          <c:tx>
            <c:strRef>
              <c:f>'Cobertura y contribuyentes'!$H$3</c:f>
              <c:strCache>
                <c:ptCount val="1"/>
                <c:pt idx="0">
                  <c:v>Contribuyentes autónomos y asalariados excl. casas particulares por jubilado, SIJP/SIPA (eje derecho)</c:v>
                </c:pt>
              </c:strCache>
            </c:strRef>
          </c:tx>
          <c:spPr>
            <a:ln w="28440">
              <a:solidFill>
                <a:srgbClr val="4472C4"/>
              </a:solidFill>
              <a:round/>
            </a:ln>
          </c:spPr>
          <c:marker>
            <c:symbol val="circle"/>
            <c:size val="5"/>
            <c:spPr>
              <a:solidFill>
                <a:srgbClr val="4472C4"/>
              </a:solidFill>
            </c:spPr>
          </c:marker>
          <c:dLbls>
            <c:spPr>
              <a:noFill/>
              <a:ln>
                <a:noFill/>
              </a:ln>
              <a:effectLst/>
            </c:spPr>
            <c:txPr>
              <a:bodyPr/>
              <a:lstStyle/>
              <a:p>
                <a:pPr>
                  <a:defRPr lang="es-AR" sz="1000" b="0" strike="noStrike" spc="-1">
                    <a:solidFill>
                      <a:srgbClr val="000000"/>
                    </a:solidFill>
                    <a:latin typeface="Calibri"/>
                  </a:defRPr>
                </a:pPr>
                <a:endParaRPr lang="es-E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0.00</c:formatCode>
                <c:ptCount val="26"/>
                <c:pt idx="0">
                  <c:v>2.5133355202600809</c:v>
                </c:pt>
                <c:pt idx="1">
                  <c:v>2.2819542711867364</c:v>
                </c:pt>
                <c:pt idx="2">
                  <c:v>2.3192105817447146</c:v>
                </c:pt>
                <c:pt idx="3">
                  <c:v>2.5692440703533714</c:v>
                </c:pt>
                <c:pt idx="4">
                  <c:v>2.3604124705806675</c:v>
                </c:pt>
                <c:pt idx="5">
                  <c:v>2.3683172739694651</c:v>
                </c:pt>
                <c:pt idx="6">
                  <c:v>2.4243730557237502</c:v>
                </c:pt>
                <c:pt idx="7">
                  <c:v>2.2582610410586836</c:v>
                </c:pt>
                <c:pt idx="8">
                  <c:v>2.1789977501827913</c:v>
                </c:pt>
                <c:pt idx="9">
                  <c:v>2.364907855034716</c:v>
                </c:pt>
                <c:pt idx="10">
                  <c:v>2.6245903518506561</c:v>
                </c:pt>
                <c:pt idx="11">
                  <c:v>2.8528913101776898</c:v>
                </c:pt>
                <c:pt idx="12">
                  <c:v>2.7441877667825407</c:v>
                </c:pt>
                <c:pt idx="13">
                  <c:v>1.8948836416264281</c:v>
                </c:pt>
                <c:pt idx="14">
                  <c:v>1.7306439683389385</c:v>
                </c:pt>
                <c:pt idx="15">
                  <c:v>1.9309998939932953</c:v>
                </c:pt>
                <c:pt idx="16">
                  <c:v>1.6878783045622725</c:v>
                </c:pt>
                <c:pt idx="17">
                  <c:v>1.6841118627380642</c:v>
                </c:pt>
                <c:pt idx="18">
                  <c:v>1.7235532376179594</c:v>
                </c:pt>
                <c:pt idx="19">
                  <c:v>1.7198823355530426</c:v>
                </c:pt>
                <c:pt idx="20">
                  <c:v>1.7286344616593183</c:v>
                </c:pt>
                <c:pt idx="21">
                  <c:v>1.7194033971711544</c:v>
                </c:pt>
                <c:pt idx="22">
                  <c:v>1.5771969680528639</c:v>
                </c:pt>
                <c:pt idx="23">
                  <c:v>1.4853658159534318</c:v>
                </c:pt>
                <c:pt idx="24">
                  <c:v>1.4586799977678135</c:v>
                </c:pt>
                <c:pt idx="25">
                  <c:v>1.4467303209814808</c:v>
                </c:pt>
              </c:numCache>
            </c:numRef>
          </c:val>
          <c:smooth val="0"/>
          <c:extLst>
            <c:ext xmlns:c16="http://schemas.microsoft.com/office/drawing/2014/chart" uri="{C3380CC4-5D6E-409C-BE32-E72D297353CC}">
              <c16:uniqueId val="{00000004-03F6-440B-B6D4-68E7CA151524}"/>
            </c:ext>
          </c:extLst>
        </c:ser>
        <c:dLbls>
          <c:showLegendKey val="0"/>
          <c:showVal val="0"/>
          <c:showCatName val="0"/>
          <c:showSerName val="0"/>
          <c:showPercent val="0"/>
          <c:showBubbleSize val="0"/>
        </c:dLbls>
        <c:hiLowLines>
          <c:spPr>
            <a:ln>
              <a:noFill/>
            </a:ln>
          </c:spPr>
        </c:hiLowLines>
        <c:marker val="1"/>
        <c:smooth val="0"/>
        <c:axId val="59269213"/>
        <c:axId val="68539887"/>
      </c:lineChart>
      <c:catAx>
        <c:axId val="9282348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lang="es-AR" sz="900" b="0" strike="noStrike" spc="-1">
                <a:solidFill>
                  <a:srgbClr val="595959"/>
                </a:solidFill>
                <a:latin typeface="Calibri"/>
              </a:defRPr>
            </a:pPr>
            <a:endParaRPr lang="es-ES"/>
          </a:p>
        </c:txPr>
        <c:crossAx val="11278908"/>
        <c:crosses val="autoZero"/>
        <c:auto val="1"/>
        <c:lblAlgn val="ctr"/>
        <c:lblOffset val="100"/>
        <c:noMultiLvlLbl val="1"/>
      </c:catAx>
      <c:valAx>
        <c:axId val="11278908"/>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lang="es-AR" sz="900" b="0" strike="noStrike" spc="-1">
                <a:solidFill>
                  <a:srgbClr val="595959"/>
                </a:solidFill>
                <a:latin typeface="Calibri"/>
              </a:defRPr>
            </a:pPr>
            <a:endParaRPr lang="es-ES"/>
          </a:p>
        </c:txPr>
        <c:crossAx val="92823485"/>
        <c:crosses val="autoZero"/>
        <c:crossBetween val="midCat"/>
      </c:valAx>
      <c:catAx>
        <c:axId val="59269213"/>
        <c:scaling>
          <c:orientation val="minMax"/>
        </c:scaling>
        <c:delete val="1"/>
        <c:axPos val="b"/>
        <c:numFmt formatCode="General" sourceLinked="1"/>
        <c:majorTickMark val="out"/>
        <c:minorTickMark val="none"/>
        <c:tickLblPos val="nextTo"/>
        <c:crossAx val="68539887"/>
        <c:crosses val="autoZero"/>
        <c:auto val="1"/>
        <c:lblAlgn val="ctr"/>
        <c:lblOffset val="100"/>
        <c:noMultiLvlLbl val="1"/>
      </c:catAx>
      <c:valAx>
        <c:axId val="68539887"/>
        <c:scaling>
          <c:orientation val="minMax"/>
        </c:scaling>
        <c:delete val="0"/>
        <c:axPos val="r"/>
        <c:numFmt formatCode="0.00" sourceLinked="0"/>
        <c:majorTickMark val="out"/>
        <c:minorTickMark val="none"/>
        <c:tickLblPos val="nextTo"/>
        <c:spPr>
          <a:ln w="6480">
            <a:noFill/>
          </a:ln>
        </c:spPr>
        <c:txPr>
          <a:bodyPr/>
          <a:lstStyle/>
          <a:p>
            <a:pPr>
              <a:defRPr lang="es-AR" sz="900" b="0" strike="noStrike" spc="-1">
                <a:solidFill>
                  <a:srgbClr val="595959"/>
                </a:solidFill>
                <a:latin typeface="Calibri"/>
              </a:defRPr>
            </a:pPr>
            <a:endParaRPr lang="es-ES"/>
          </a:p>
        </c:txPr>
        <c:crossAx val="59269213"/>
        <c:crosses val="max"/>
        <c:crossBetween val="midCat"/>
      </c:valAx>
      <c:spPr>
        <a:noFill/>
        <a:ln>
          <a:noFill/>
        </a:ln>
      </c:spPr>
    </c:plotArea>
    <c:legend>
      <c:legendPos val="r"/>
      <c:layout>
        <c:manualLayout>
          <c:xMode val="edge"/>
          <c:yMode val="edge"/>
          <c:x val="5.9229415578401397E-2"/>
          <c:y val="0.75557461406518001"/>
          <c:w val="0.88477747418144803"/>
          <c:h val="0.22768031189083801"/>
        </c:manualLayout>
      </c:layout>
      <c:overlay val="1"/>
      <c:spPr>
        <a:noFill/>
        <a:ln>
          <a:noFill/>
        </a:ln>
      </c:spPr>
      <c:txPr>
        <a:bodyPr/>
        <a:lstStyle/>
        <a:p>
          <a:pPr>
            <a:defRPr lang="es-AR" sz="900" b="0" strike="noStrike" spc="-1">
              <a:solidFill>
                <a:srgbClr val="595959"/>
              </a:solidFill>
              <a:latin typeface="Calibri"/>
            </a:defRPr>
          </a:pPr>
          <a:endParaRPr lang="es-ES"/>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87</xdr:col>
      <xdr:colOff>276120</xdr:colOff>
      <xdr:row>174</xdr:row>
      <xdr:rowOff>123840</xdr:rowOff>
    </xdr:from>
    <xdr:to>
      <xdr:col>92</xdr:col>
      <xdr:colOff>893880</xdr:colOff>
      <xdr:row>227</xdr:row>
      <xdr:rowOff>159480</xdr:rowOff>
    </xdr:to>
    <xdr:pic>
      <xdr:nvPicPr>
        <xdr:cNvPr id="2" name="Picture 19"/>
        <xdr:cNvPicPr/>
      </xdr:nvPicPr>
      <xdr:blipFill>
        <a:blip xmlns:r="http://schemas.openxmlformats.org/officeDocument/2006/relationships" r:embed="rId1"/>
        <a:stretch/>
      </xdr:blipFill>
      <xdr:spPr>
        <a:xfrm>
          <a:off x="78323040" y="28298520"/>
          <a:ext cx="6614640" cy="8617680"/>
        </a:xfrm>
        <a:prstGeom prst="rect">
          <a:avLst/>
        </a:prstGeom>
        <a:ln>
          <a:noFill/>
        </a:ln>
      </xdr:spPr>
    </xdr:pic>
    <xdr:clientData/>
  </xdr:twoCellAnchor>
  <xdr:twoCellAnchor>
    <xdr:from>
      <xdr:col>0</xdr:col>
      <xdr:colOff>0</xdr:colOff>
      <xdr:row>0</xdr:row>
      <xdr:rowOff>0</xdr:rowOff>
    </xdr:from>
    <xdr:to>
      <xdr:col>11</xdr:col>
      <xdr:colOff>200025</xdr:colOff>
      <xdr:row>58</xdr:row>
      <xdr:rowOff>133350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3"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4"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5"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6"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7"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8"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9"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0"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1"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3"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4"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5"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7"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8"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1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0"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1287360</xdr:colOff>
      <xdr:row>70</xdr:row>
      <xdr:rowOff>28440</xdr:rowOff>
    </xdr:from>
    <xdr:to>
      <xdr:col>34</xdr:col>
      <xdr:colOff>1263240</xdr:colOff>
      <xdr:row>94</xdr:row>
      <xdr:rowOff>111600</xdr:rowOff>
    </xdr:to>
    <xdr:graphicFrame macro="">
      <xdr:nvGraphicFramePr>
        <xdr:cNvPr id="2"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1003680</xdr:colOff>
      <xdr:row>69</xdr:row>
      <xdr:rowOff>124560</xdr:rowOff>
    </xdr:from>
    <xdr:to>
      <xdr:col>14</xdr:col>
      <xdr:colOff>821520</xdr:colOff>
      <xdr:row>90</xdr:row>
      <xdr:rowOff>360000</xdr:rowOff>
    </xdr:to>
    <xdr:graphicFrame macro="">
      <xdr:nvGraphicFramePr>
        <xdr:cNvPr id="3"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57240</xdr:rowOff>
    </xdr:from>
    <xdr:to>
      <xdr:col>8</xdr:col>
      <xdr:colOff>581040</xdr:colOff>
      <xdr:row>89</xdr:row>
      <xdr:rowOff>45360</xdr:rowOff>
    </xdr:to>
    <xdr:graphicFrame macro="">
      <xdr:nvGraphicFramePr>
        <xdr:cNvPr id="4"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133920</xdr:rowOff>
    </xdr:from>
    <xdr:to>
      <xdr:col>9</xdr:col>
      <xdr:colOff>955440</xdr:colOff>
      <xdr:row>145</xdr:row>
      <xdr:rowOff>26639</xdr:rowOff>
    </xdr:to>
    <xdr:graphicFrame macro="">
      <xdr:nvGraphicFramePr>
        <xdr:cNvPr id="5"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76320</xdr:rowOff>
    </xdr:from>
    <xdr:to>
      <xdr:col>15</xdr:col>
      <xdr:colOff>907200</xdr:colOff>
      <xdr:row>134</xdr:row>
      <xdr:rowOff>159479</xdr:rowOff>
    </xdr:to>
    <xdr:graphicFrame macro="">
      <xdr:nvGraphicFramePr>
        <xdr:cNvPr id="6"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29160</xdr:rowOff>
    </xdr:from>
    <xdr:to>
      <xdr:col>25</xdr:col>
      <xdr:colOff>1133640</xdr:colOff>
      <xdr:row>112</xdr:row>
      <xdr:rowOff>122039</xdr:rowOff>
    </xdr:to>
    <xdr:graphicFrame macro="">
      <xdr:nvGraphicFramePr>
        <xdr:cNvPr id="7"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29160</xdr:rowOff>
    </xdr:from>
    <xdr:to>
      <xdr:col>63</xdr:col>
      <xdr:colOff>940680</xdr:colOff>
      <xdr:row>102</xdr:row>
      <xdr:rowOff>45720</xdr:rowOff>
    </xdr:to>
    <xdr:graphicFrame macro="">
      <xdr:nvGraphicFramePr>
        <xdr:cNvPr id="8"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9360</xdr:rowOff>
    </xdr:from>
    <xdr:to>
      <xdr:col>69</xdr:col>
      <xdr:colOff>873720</xdr:colOff>
      <xdr:row>97</xdr:row>
      <xdr:rowOff>44999</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0</xdr:rowOff>
    </xdr:from>
    <xdr:to>
      <xdr:col>9</xdr:col>
      <xdr:colOff>466725</xdr:colOff>
      <xdr:row>44</xdr:row>
      <xdr:rowOff>104775</xdr:rowOff>
    </xdr:to>
    <xdr:sp macro="" textlink="">
      <xdr:nvSpPr>
        <xdr:cNvPr id="2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1"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2"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3"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4"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5"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6"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7"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8"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19"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0"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1"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466725</xdr:colOff>
      <xdr:row>44</xdr:row>
      <xdr:rowOff>104775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19050</xdr:colOff>
      <xdr:row>49</xdr:row>
      <xdr:rowOff>171450</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19050</xdr:colOff>
      <xdr:row>49</xdr:row>
      <xdr:rowOff>171450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31</xdr:row>
      <xdr:rowOff>152280</xdr:rowOff>
    </xdr:from>
    <xdr:to>
      <xdr:col>6</xdr:col>
      <xdr:colOff>511920</xdr:colOff>
      <xdr:row>56</xdr:row>
      <xdr:rowOff>6840</xdr:rowOff>
    </xdr:to>
    <xdr:graphicFrame macro="">
      <xdr:nvGraphicFramePr>
        <xdr:cNvPr id="9"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311760</xdr:colOff>
      <xdr:row>29</xdr:row>
      <xdr:rowOff>64080</xdr:rowOff>
    </xdr:to>
    <xdr:graphicFrame macro="">
      <xdr:nvGraphicFramePr>
        <xdr:cNvPr id="1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25920</xdr:colOff>
      <xdr:row>91</xdr:row>
      <xdr:rowOff>187920</xdr:rowOff>
    </xdr:to>
    <xdr:graphicFrame macro="">
      <xdr:nvGraphicFramePr>
        <xdr:cNvPr id="11"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1076325</xdr:colOff>
      <xdr:row>45</xdr:row>
      <xdr:rowOff>0</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1076325</xdr:colOff>
      <xdr:row>45</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114480</xdr:colOff>
      <xdr:row>31</xdr:row>
      <xdr:rowOff>66600</xdr:rowOff>
    </xdr:from>
    <xdr:to>
      <xdr:col>9</xdr:col>
      <xdr:colOff>578520</xdr:colOff>
      <xdr:row>65</xdr:row>
      <xdr:rowOff>102240</xdr:rowOff>
    </xdr:to>
    <xdr:graphicFrame macro="">
      <xdr:nvGraphicFramePr>
        <xdr:cNvPr id="1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95400</xdr:rowOff>
    </xdr:from>
    <xdr:to>
      <xdr:col>28</xdr:col>
      <xdr:colOff>343752</xdr:colOff>
      <xdr:row>69</xdr:row>
      <xdr:rowOff>102240</xdr:rowOff>
    </xdr:to>
    <xdr:graphicFrame macro="">
      <xdr:nvGraphicFramePr>
        <xdr:cNvPr id="1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0</xdr:rowOff>
    </xdr:from>
    <xdr:to>
      <xdr:col>33</xdr:col>
      <xdr:colOff>402040</xdr:colOff>
      <xdr:row>67</xdr:row>
      <xdr:rowOff>91080</xdr:rowOff>
    </xdr:to>
    <xdr:graphicFrame macro="">
      <xdr:nvGraphicFramePr>
        <xdr:cNvPr id="14"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714375</xdr:colOff>
      <xdr:row>112</xdr:row>
      <xdr:rowOff>83343</xdr:rowOff>
    </xdr:from>
    <xdr:to>
      <xdr:col>7</xdr:col>
      <xdr:colOff>416535</xdr:colOff>
      <xdr:row>143</xdr:row>
      <xdr:rowOff>152156</xdr:rowOff>
    </xdr:to>
    <xdr:graphicFrame macro="">
      <xdr:nvGraphicFramePr>
        <xdr:cNvPr id="15"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0</xdr:rowOff>
    </xdr:from>
    <xdr:to>
      <xdr:col>20</xdr:col>
      <xdr:colOff>768840</xdr:colOff>
      <xdr:row>100</xdr:row>
      <xdr:rowOff>6840</xdr:rowOff>
    </xdr:to>
    <xdr:graphicFrame macro="">
      <xdr:nvGraphicFramePr>
        <xdr:cNvPr id="16"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7</xdr:col>
      <xdr:colOff>676275</xdr:colOff>
      <xdr:row>47</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676275</xdr:colOff>
      <xdr:row>47</xdr:row>
      <xdr:rowOff>57150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392040</xdr:colOff>
      <xdr:row>32</xdr:row>
      <xdr:rowOff>18000</xdr:rowOff>
    </xdr:from>
    <xdr:to>
      <xdr:col>26</xdr:col>
      <xdr:colOff>299880</xdr:colOff>
      <xdr:row>71</xdr:row>
      <xdr:rowOff>42480</xdr:rowOff>
    </xdr:to>
    <xdr:graphicFrame macro="">
      <xdr:nvGraphicFramePr>
        <xdr:cNvPr id="17"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145800</xdr:colOff>
      <xdr:row>45</xdr:row>
      <xdr:rowOff>45000</xdr:rowOff>
    </xdr:from>
    <xdr:to>
      <xdr:col>26</xdr:col>
      <xdr:colOff>703440</xdr:colOff>
      <xdr:row>56</xdr:row>
      <xdr:rowOff>31320</xdr:rowOff>
    </xdr:to>
    <xdr:sp macro="" textlink="">
      <xdr:nvSpPr>
        <xdr:cNvPr id="18" name="CustomShape 1"/>
        <xdr:cNvSpPr/>
      </xdr:nvSpPr>
      <xdr:spPr>
        <a:xfrm>
          <a:off x="23772600" y="9027000"/>
          <a:ext cx="557640" cy="218664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xdr:from>
      <xdr:col>26</xdr:col>
      <xdr:colOff>0</xdr:colOff>
      <xdr:row>38</xdr:row>
      <xdr:rowOff>0</xdr:rowOff>
    </xdr:from>
    <xdr:to>
      <xdr:col>26</xdr:col>
      <xdr:colOff>557640</xdr:colOff>
      <xdr:row>45</xdr:row>
      <xdr:rowOff>8640</xdr:rowOff>
    </xdr:to>
    <xdr:sp macro="" textlink="">
      <xdr:nvSpPr>
        <xdr:cNvPr id="19" name="CustomShape 1"/>
        <xdr:cNvSpPr/>
      </xdr:nvSpPr>
      <xdr:spPr>
        <a:xfrm>
          <a:off x="23626800" y="7581600"/>
          <a:ext cx="557640" cy="140904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602640</xdr:colOff>
      <xdr:row>108</xdr:row>
      <xdr:rowOff>42120</xdr:rowOff>
    </xdr:to>
    <xdr:graphicFrame macro="">
      <xdr:nvGraphicFramePr>
        <xdr:cNvPr id="20"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8</xdr:col>
      <xdr:colOff>990600</xdr:colOff>
      <xdr:row>47</xdr:row>
      <xdr:rowOff>142875</xdr:rowOff>
    </xdr:to>
    <xdr:sp macro="" textlink="">
      <xdr:nvSpPr>
        <xdr:cNvPr id="61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2"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3"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6"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8"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9"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990600</xdr:colOff>
      <xdr:row>47</xdr:row>
      <xdr:rowOff>142875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bertura%20de%20jubilaciones%20y%20AAF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wnloads/Seguimienot%20f&#237;sico%20financiero%20de%20la%20seguridad%20social%20V%20AG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wnloads/Resultado%20econ&#243;mico%20SIJP-SIPA%201993-2018%20VAG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T80">
            <v>3966555.1120000002</v>
          </cell>
          <cell r="AU80">
            <v>4040905</v>
          </cell>
          <cell r="AV80">
            <v>4112680.76</v>
          </cell>
          <cell r="AW80">
            <v>4182225.24</v>
          </cell>
          <cell r="AX80">
            <v>4250497.24</v>
          </cell>
          <cell r="AY80">
            <v>4318455.5599999996</v>
          </cell>
          <cell r="AZ80">
            <v>4387059</v>
          </cell>
          <cell r="BA80">
            <v>4455013.72</v>
          </cell>
          <cell r="BB80">
            <v>4521680.5199999996</v>
          </cell>
          <cell r="BC80">
            <v>4589000.16</v>
          </cell>
          <cell r="BD80">
            <v>4658913.4000000004</v>
          </cell>
          <cell r="BE80">
            <v>4733361</v>
          </cell>
          <cell r="BF80">
            <v>4811709.4720000001</v>
          </cell>
          <cell r="BG80">
            <v>4892664.9759999998</v>
          </cell>
          <cell r="BH80">
            <v>4977177.7439999999</v>
          </cell>
          <cell r="BI80">
            <v>5066198.0080000004</v>
          </cell>
          <cell r="BJ80">
            <v>5160676</v>
          </cell>
          <cell r="BK80">
            <v>5261575.8640000001</v>
          </cell>
          <cell r="BL80">
            <v>5368264.1119999997</v>
          </cell>
          <cell r="BM80">
            <v>5479294.5279999999</v>
          </cell>
          <cell r="BN80">
            <v>5593220.8959999997</v>
          </cell>
          <cell r="BO80">
            <v>5708597</v>
          </cell>
          <cell r="BP80">
            <v>5826034.9040000001</v>
          </cell>
          <cell r="BQ80">
            <v>5946498.7520000003</v>
          </cell>
          <cell r="BR80">
            <v>6069070.4479999999</v>
          </cell>
        </row>
        <row r="81">
          <cell r="AT81">
            <v>12073706.067199999</v>
          </cell>
          <cell r="AU81">
            <v>12140489.199999999</v>
          </cell>
          <cell r="AV81">
            <v>12185908.2336</v>
          </cell>
          <cell r="AW81">
            <v>12209892.332800001</v>
          </cell>
          <cell r="AX81">
            <v>12223394.1952</v>
          </cell>
          <cell r="AY81">
            <v>12237366.5184</v>
          </cell>
          <cell r="AZ81">
            <v>12262762</v>
          </cell>
          <cell r="BA81">
            <v>12301815.248</v>
          </cell>
          <cell r="BB81">
            <v>12347224.464</v>
          </cell>
          <cell r="BC81">
            <v>12395637.736</v>
          </cell>
          <cell r="BD81">
            <v>12443703.152000001</v>
          </cell>
          <cell r="BE81">
            <v>12488068.800000001</v>
          </cell>
          <cell r="BF81">
            <v>12527275.0768</v>
          </cell>
          <cell r="BG81">
            <v>12563556.590399999</v>
          </cell>
          <cell r="BH81">
            <v>12599102.7456</v>
          </cell>
          <cell r="BI81">
            <v>12636102.9472</v>
          </cell>
          <cell r="BJ81">
            <v>12676746.6</v>
          </cell>
          <cell r="BK81">
            <v>12723795.512</v>
          </cell>
          <cell r="BL81">
            <v>12775790.08</v>
          </cell>
          <cell r="BM81">
            <v>12828587.592</v>
          </cell>
          <cell r="BN81">
            <v>12878045.335999999</v>
          </cell>
          <cell r="BO81">
            <v>12920020.6</v>
          </cell>
          <cell r="BP81">
            <v>12955806.084799999</v>
          </cell>
          <cell r="BQ81">
            <v>12988163.5984</v>
          </cell>
          <cell r="BR81">
            <v>13015154.089600001</v>
          </cell>
        </row>
        <row r="82">
          <cell r="AT82">
            <v>18460683.716800001</v>
          </cell>
          <cell r="AU82">
            <v>18754568.800000001</v>
          </cell>
          <cell r="AV82">
            <v>19058546.702399999</v>
          </cell>
          <cell r="AW82">
            <v>19374363.795200001</v>
          </cell>
          <cell r="AX82">
            <v>19695549.356800001</v>
          </cell>
          <cell r="AY82">
            <v>20015632.665600002</v>
          </cell>
          <cell r="AZ82">
            <v>20328143</v>
          </cell>
          <cell r="BA82">
            <v>20632062.103999998</v>
          </cell>
          <cell r="BB82">
            <v>20931703.791999999</v>
          </cell>
          <cell r="BC82">
            <v>21228595.447999999</v>
          </cell>
          <cell r="BD82">
            <v>21524264.456</v>
          </cell>
          <cell r="BE82">
            <v>21820238.199999999</v>
          </cell>
          <cell r="BF82">
            <v>22117816.9712</v>
          </cell>
          <cell r="BG82">
            <v>22415982.513599999</v>
          </cell>
          <cell r="BH82">
            <v>22712784.3904</v>
          </cell>
          <cell r="BI82">
            <v>23006272.164799999</v>
          </cell>
          <cell r="BJ82">
            <v>23294495.399999999</v>
          </cell>
          <cell r="BK82">
            <v>23577540.239999998</v>
          </cell>
          <cell r="BL82">
            <v>23856706.976</v>
          </cell>
          <cell r="BM82">
            <v>24131866.392000001</v>
          </cell>
          <cell r="BN82">
            <v>24402889.272</v>
          </cell>
          <cell r="BO82">
            <v>24669646.399999999</v>
          </cell>
          <cell r="BP82">
            <v>24930601.939199999</v>
          </cell>
          <cell r="BQ82">
            <v>25185842.033599999</v>
          </cell>
          <cell r="BR82">
            <v>25437670.4384</v>
          </cell>
        </row>
      </sheetData>
      <sheetData sheetId="4">
        <row r="4">
          <cell r="C4">
            <v>2.4</v>
          </cell>
          <cell r="D4">
            <v>2.6</v>
          </cell>
        </row>
        <row r="5">
          <cell r="C5">
            <v>1.9</v>
          </cell>
          <cell r="D5">
            <v>2.9</v>
          </cell>
        </row>
        <row r="6">
          <cell r="C6">
            <v>1.6</v>
          </cell>
          <cell r="D6">
            <v>3.5</v>
          </cell>
        </row>
        <row r="7">
          <cell r="C7">
            <v>1.3</v>
          </cell>
          <cell r="D7">
            <v>4.0999999999999996</v>
          </cell>
        </row>
        <row r="8">
          <cell r="C8">
            <v>1.2</v>
          </cell>
          <cell r="D8">
            <v>4.4000000000000004</v>
          </cell>
        </row>
        <row r="9">
          <cell r="C9">
            <v>1.1000000000000001</v>
          </cell>
          <cell r="D9">
            <v>4.5</v>
          </cell>
        </row>
        <row r="10">
          <cell r="C10">
            <v>1</v>
          </cell>
          <cell r="D10">
            <v>4.5</v>
          </cell>
        </row>
        <row r="11">
          <cell r="C11">
            <v>0.9</v>
          </cell>
          <cell r="D11">
            <v>4.2</v>
          </cell>
        </row>
        <row r="12">
          <cell r="C12">
            <v>0.8</v>
          </cell>
          <cell r="D12">
            <v>4</v>
          </cell>
        </row>
        <row r="13">
          <cell r="C13">
            <v>0.9</v>
          </cell>
          <cell r="D13">
            <v>4.5</v>
          </cell>
        </row>
        <row r="14">
          <cell r="C14">
            <v>1</v>
          </cell>
          <cell r="D14">
            <v>5.0999999999999996</v>
          </cell>
        </row>
        <row r="15">
          <cell r="C15">
            <v>1.2</v>
          </cell>
          <cell r="D15">
            <v>5.5</v>
          </cell>
        </row>
        <row r="16">
          <cell r="C16">
            <v>1.4</v>
          </cell>
          <cell r="D16">
            <v>5.9</v>
          </cell>
        </row>
        <row r="17">
          <cell r="C17">
            <v>2.2000000000000002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cell r="O4">
            <v>2042440</v>
          </cell>
          <cell r="V4">
            <v>2042440</v>
          </cell>
        </row>
        <row r="5">
          <cell r="B5">
            <v>9540</v>
          </cell>
          <cell r="O5">
            <v>2062170</v>
          </cell>
          <cell r="V5">
            <v>2062170</v>
          </cell>
        </row>
        <row r="6">
          <cell r="B6">
            <v>16977</v>
          </cell>
          <cell r="O6">
            <v>2114215</v>
          </cell>
          <cell r="V6">
            <v>2114215</v>
          </cell>
        </row>
        <row r="7">
          <cell r="B7">
            <v>29594</v>
          </cell>
          <cell r="O7">
            <v>1984508</v>
          </cell>
          <cell r="V7">
            <v>1984508</v>
          </cell>
        </row>
        <row r="8">
          <cell r="B8">
            <v>45633</v>
          </cell>
          <cell r="O8">
            <v>1929201.25</v>
          </cell>
          <cell r="Q8">
            <v>160323.5</v>
          </cell>
          <cell r="V8">
            <v>2089524.75</v>
          </cell>
        </row>
        <row r="9">
          <cell r="B9">
            <v>66070</v>
          </cell>
          <cell r="O9">
            <v>1873669.25</v>
          </cell>
          <cell r="Q9">
            <v>160719.5</v>
          </cell>
          <cell r="V9">
            <v>2034388.75</v>
          </cell>
        </row>
        <row r="10">
          <cell r="B10">
            <v>95278</v>
          </cell>
          <cell r="O10">
            <v>1816487.5</v>
          </cell>
          <cell r="Q10">
            <v>159759.75</v>
          </cell>
          <cell r="V10">
            <v>1976247.25</v>
          </cell>
        </row>
        <row r="11">
          <cell r="B11">
            <v>139427</v>
          </cell>
          <cell r="O11">
            <v>1780036.25</v>
          </cell>
          <cell r="Q11">
            <v>156758.75</v>
          </cell>
          <cell r="V11">
            <v>1936795</v>
          </cell>
        </row>
        <row r="12">
          <cell r="B12">
            <v>178203</v>
          </cell>
          <cell r="O12">
            <v>1739152</v>
          </cell>
          <cell r="Q12">
            <v>154176</v>
          </cell>
          <cell r="V12">
            <v>1893328</v>
          </cell>
        </row>
        <row r="13">
          <cell r="B13">
            <v>217307</v>
          </cell>
          <cell r="O13">
            <v>1710244</v>
          </cell>
          <cell r="Q13">
            <v>151415</v>
          </cell>
          <cell r="V13">
            <v>1861659</v>
          </cell>
        </row>
        <row r="14">
          <cell r="B14">
            <v>271628</v>
          </cell>
          <cell r="O14">
            <v>1670828</v>
          </cell>
          <cell r="Q14">
            <v>148720</v>
          </cell>
          <cell r="V14">
            <v>1819548</v>
          </cell>
        </row>
        <row r="15">
          <cell r="B15">
            <v>388953</v>
          </cell>
          <cell r="O15">
            <v>1651284</v>
          </cell>
          <cell r="Q15">
            <v>145029</v>
          </cell>
          <cell r="V15">
            <v>1796313</v>
          </cell>
        </row>
        <row r="16">
          <cell r="B16">
            <v>406260</v>
          </cell>
          <cell r="O16">
            <v>1830544</v>
          </cell>
          <cell r="Q16">
            <v>141931</v>
          </cell>
          <cell r="V16">
            <v>1972475</v>
          </cell>
        </row>
        <row r="17">
          <cell r="B17">
            <v>0</v>
          </cell>
          <cell r="O17">
            <v>1587249</v>
          </cell>
          <cell r="Q17">
            <v>138494</v>
          </cell>
          <cell r="S17">
            <v>1369110</v>
          </cell>
          <cell r="V17">
            <v>3094853</v>
          </cell>
        </row>
        <row r="18">
          <cell r="O18">
            <v>1560436</v>
          </cell>
          <cell r="Q18">
            <v>135753</v>
          </cell>
          <cell r="S18">
            <v>1813023</v>
          </cell>
          <cell r="V18">
            <v>3509212</v>
          </cell>
        </row>
        <row r="19">
          <cell r="O19">
            <v>1826938</v>
          </cell>
          <cell r="Q19">
            <v>132405</v>
          </cell>
          <cell r="S19">
            <v>2025782</v>
          </cell>
          <cell r="V19">
            <v>4052910.0833333302</v>
          </cell>
        </row>
        <row r="20">
          <cell r="O20">
            <v>1733010</v>
          </cell>
          <cell r="Q20">
            <v>128735.75</v>
          </cell>
          <cell r="S20">
            <v>2273926.75</v>
          </cell>
          <cell r="V20">
            <v>4223283</v>
          </cell>
        </row>
        <row r="21">
          <cell r="O21">
            <v>1699636</v>
          </cell>
          <cell r="Q21">
            <v>124508</v>
          </cell>
          <cell r="S21">
            <v>2381780</v>
          </cell>
          <cell r="V21">
            <v>4280817</v>
          </cell>
        </row>
        <row r="22">
          <cell r="O22">
            <v>1741129</v>
          </cell>
          <cell r="Q22">
            <v>120691</v>
          </cell>
          <cell r="S22">
            <v>2368263</v>
          </cell>
          <cell r="V22">
            <v>4308211.5833333302</v>
          </cell>
        </row>
        <row r="23">
          <cell r="O23">
            <v>1758132</v>
          </cell>
          <cell r="Q23">
            <v>116798</v>
          </cell>
          <cell r="S23">
            <v>2386454</v>
          </cell>
          <cell r="V23">
            <v>4333967.1666666698</v>
          </cell>
        </row>
        <row r="24">
          <cell r="O24">
            <v>1756591</v>
          </cell>
          <cell r="Q24">
            <v>113028</v>
          </cell>
          <cell r="S24">
            <v>2430300</v>
          </cell>
          <cell r="V24">
            <v>4367908.6666666698</v>
          </cell>
        </row>
        <row r="25">
          <cell r="O25">
            <v>1759038</v>
          </cell>
          <cell r="Q25">
            <v>109777</v>
          </cell>
          <cell r="S25">
            <v>2887586</v>
          </cell>
          <cell r="V25">
            <v>4826700.25</v>
          </cell>
        </row>
        <row r="26">
          <cell r="O26">
            <v>1748351</v>
          </cell>
          <cell r="Q26">
            <v>105918</v>
          </cell>
          <cell r="S26">
            <v>3174201</v>
          </cell>
          <cell r="V26">
            <v>5110261</v>
          </cell>
        </row>
        <row r="27">
          <cell r="O27">
            <v>1703751</v>
          </cell>
          <cell r="Q27">
            <v>102642</v>
          </cell>
          <cell r="S27">
            <v>3367166</v>
          </cell>
          <cell r="V27">
            <v>5248962.0833333302</v>
          </cell>
        </row>
        <row r="28">
          <cell r="O28">
            <v>1715744</v>
          </cell>
          <cell r="Q28">
            <v>99113</v>
          </cell>
          <cell r="S28">
            <v>3364152</v>
          </cell>
          <cell r="U28">
            <v>89390</v>
          </cell>
          <cell r="V28">
            <v>5266548.2222222202</v>
          </cell>
        </row>
      </sheetData>
      <sheetData sheetId="6"/>
      <sheetData sheetId="7">
        <row r="4">
          <cell r="C4">
            <v>0</v>
          </cell>
          <cell r="D4">
            <v>0</v>
          </cell>
          <cell r="E4">
            <v>0</v>
          </cell>
          <cell r="F4">
            <v>0</v>
          </cell>
        </row>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3512143.6666666698</v>
          </cell>
          <cell r="H21">
            <v>17849.5</v>
          </cell>
        </row>
        <row r="22">
          <cell r="C22">
            <v>2789749.6666666698</v>
          </cell>
          <cell r="D22">
            <v>77066.916666666701</v>
          </cell>
          <cell r="E22">
            <v>320218.5</v>
          </cell>
          <cell r="F22">
            <v>87445.416666666701</v>
          </cell>
          <cell r="G22">
            <v>3369728.3333333302</v>
          </cell>
          <cell r="H22">
            <v>21219.833333333299</v>
          </cell>
        </row>
        <row r="23">
          <cell r="C23">
            <v>3288106.1666666698</v>
          </cell>
          <cell r="D23">
            <v>84092.25</v>
          </cell>
          <cell r="E23">
            <v>369330.08333333302</v>
          </cell>
          <cell r="F23">
            <v>84988.083333333299</v>
          </cell>
          <cell r="G23">
            <v>3317260.6666666698</v>
          </cell>
          <cell r="H23">
            <v>22231.25</v>
          </cell>
        </row>
        <row r="24">
          <cell r="C24">
            <v>3613253</v>
          </cell>
          <cell r="D24">
            <v>90784.083333333299</v>
          </cell>
          <cell r="E24">
            <v>424570</v>
          </cell>
          <cell r="F24">
            <v>89848</v>
          </cell>
          <cell r="G24">
            <v>3398574.0833333302</v>
          </cell>
          <cell r="H24">
            <v>22463.5</v>
          </cell>
        </row>
        <row r="25">
          <cell r="C25">
            <v>3153458.6666666698</v>
          </cell>
          <cell r="D25">
            <v>93008.083333333299</v>
          </cell>
          <cell r="E25">
            <v>475357.25</v>
          </cell>
          <cell r="F25">
            <v>93036.5</v>
          </cell>
          <cell r="G25">
            <v>3537825.4166666698</v>
          </cell>
          <cell r="H25">
            <v>22878.583333333299</v>
          </cell>
        </row>
        <row r="26">
          <cell r="C26">
            <v>3719510.3333333302</v>
          </cell>
          <cell r="D26">
            <v>96634</v>
          </cell>
          <cell r="E26">
            <v>585970.33333333302</v>
          </cell>
          <cell r="F26">
            <v>100600.75</v>
          </cell>
          <cell r="G26">
            <v>3837659.25</v>
          </cell>
          <cell r="H26">
            <v>24425.916666666701</v>
          </cell>
        </row>
        <row r="27">
          <cell r="C27">
            <v>4063640.5</v>
          </cell>
          <cell r="D27">
            <v>106936.16666666701</v>
          </cell>
          <cell r="E27">
            <v>626559.75</v>
          </cell>
          <cell r="F27">
            <v>109016.91666666701</v>
          </cell>
          <cell r="G27">
            <v>3860344.5833333302</v>
          </cell>
          <cell r="H27">
            <v>27058.25</v>
          </cell>
        </row>
        <row r="28">
          <cell r="C28">
            <v>4113536.7777777798</v>
          </cell>
          <cell r="D28">
            <v>113556.222222222</v>
          </cell>
          <cell r="E28">
            <v>683086.22222222202</v>
          </cell>
          <cell r="F28">
            <v>120571</v>
          </cell>
          <cell r="G28">
            <v>3889185.4444444398</v>
          </cell>
          <cell r="H28">
            <v>30887.888888888901</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12101231.261530001</v>
          </cell>
          <cell r="G4">
            <v>17114534.20865</v>
          </cell>
          <cell r="H4">
            <v>22556633.148869999</v>
          </cell>
          <cell r="I4">
            <v>30103200.373</v>
          </cell>
          <cell r="J4">
            <v>42603817.777000003</v>
          </cell>
          <cell r="K4">
            <v>57898365.858000003</v>
          </cell>
          <cell r="L4">
            <v>75696458.511000007</v>
          </cell>
          <cell r="M4">
            <v>99898227.856000006</v>
          </cell>
          <cell r="N4">
            <v>163000273.56200001</v>
          </cell>
          <cell r="O4">
            <v>232987860.245</v>
          </cell>
          <cell r="P4">
            <v>313647752.27100003</v>
          </cell>
          <cell r="Q4">
            <v>387898073.19499999</v>
          </cell>
        </row>
        <row r="11">
          <cell r="I11">
            <v>6339851.7750000004</v>
          </cell>
          <cell r="J11">
            <v>9036656.5669999998</v>
          </cell>
          <cell r="K11">
            <v>11168573.68</v>
          </cell>
          <cell r="L11">
            <v>15804790.312999999</v>
          </cell>
          <cell r="M11">
            <v>22114876.989</v>
          </cell>
          <cell r="N11">
            <v>34035477.984999999</v>
          </cell>
          <cell r="O11">
            <v>50474558.744000003</v>
          </cell>
          <cell r="P11">
            <v>60115565.006999999</v>
          </cell>
          <cell r="Q11">
            <v>89219468.068000004</v>
          </cell>
        </row>
        <row r="16">
          <cell r="M16">
            <v>2358010.21</v>
          </cell>
          <cell r="N16">
            <v>6868294.9270000001</v>
          </cell>
          <cell r="O16">
            <v>9045301.2210000008</v>
          </cell>
          <cell r="P16">
            <v>8156877.2999999998</v>
          </cell>
          <cell r="Q16">
            <v>678257.48899999994</v>
          </cell>
        </row>
        <row r="17">
          <cell r="P17">
            <v>2970227.0380000002</v>
          </cell>
          <cell r="Q17">
            <v>8603980.0810000002</v>
          </cell>
        </row>
        <row r="18">
          <cell r="P18">
            <v>9373728.1119999997</v>
          </cell>
          <cell r="Q18">
            <v>38198551.272</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VA"/>
      <sheetName val="Cálculo masa impuestos copartic"/>
      <sheetName val="Cuenta Ahorro-Inversión-Financi"/>
      <sheetName val="PIB corriente base 1993"/>
      <sheetName val="PIB corriente base 2004"/>
      <sheetName val="Acuerdo coparticipación "/>
      <sheetName val="Resultado ANSES por etapas"/>
      <sheetName val="Hoja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mecon.gov.ar/onp/html/resultado/caja/c1993/1993.htm" TargetMode="External"/><Relationship Id="rId7" Type="http://schemas.openxmlformats.org/officeDocument/2006/relationships/comments" Target="../comments2.xml"/><Relationship Id="rId2" Type="http://schemas.openxmlformats.org/officeDocument/2006/relationships/hyperlink" Target="http://www.mecon.gov.ar/hacienda/cgn/cuenta/" TargetMode="External"/><Relationship Id="rId1" Type="http://schemas.openxmlformats.org/officeDocument/2006/relationships/hyperlink" Target="http://www.economia.gob.ar/secretarias/politica-economica/programacion-macroeconomica/"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www.mecon.gov.ar/onp/html/series/Serie1961-2004.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77"/>
  <sheetViews>
    <sheetView topLeftCell="AL7" zoomScale="95" zoomScaleNormal="95" workbookViewId="0">
      <selection activeCell="AU36" sqref="AU36"/>
    </sheetView>
    <sheetView workbookViewId="1"/>
  </sheetViews>
  <sheetFormatPr baseColWidth="10" defaultColWidth="12.7109375" defaultRowHeight="15"/>
  <cols>
    <col min="1" max="46" width="12.7109375" style="1"/>
    <col min="47" max="47" width="13.28515625" style="1" customWidth="1"/>
    <col min="48" max="87" width="12.7109375" style="1"/>
    <col min="88" max="88" width="16.7109375" style="1" customWidth="1"/>
    <col min="89" max="89" width="17" style="1" customWidth="1"/>
    <col min="90" max="90" width="16.7109375" style="1" customWidth="1"/>
    <col min="91" max="91" width="18" style="1" customWidth="1"/>
    <col min="92" max="92" width="16.5703125" style="1" customWidth="1"/>
    <col min="93" max="302" width="12.7109375" style="1"/>
    <col min="303" max="303" width="13.28515625" style="1" customWidth="1"/>
    <col min="304" max="343" width="12.7109375" style="1"/>
    <col min="344" max="344" width="16.7109375" style="1" customWidth="1"/>
    <col min="345" max="345" width="17" style="1" customWidth="1"/>
    <col min="346" max="346" width="16.7109375" style="1" customWidth="1"/>
    <col min="347" max="347" width="18" style="1" customWidth="1"/>
    <col min="348" max="348" width="16.5703125" style="1" customWidth="1"/>
    <col min="349" max="558" width="12.7109375" style="1"/>
    <col min="559" max="559" width="13.28515625" style="1" customWidth="1"/>
    <col min="560" max="599" width="12.7109375" style="1"/>
    <col min="600" max="600" width="16.7109375" style="1" customWidth="1"/>
    <col min="601" max="601" width="17" style="1" customWidth="1"/>
    <col min="602" max="602" width="16.7109375" style="1" customWidth="1"/>
    <col min="603" max="603" width="18" style="1" customWidth="1"/>
    <col min="604" max="604" width="16.5703125" style="1" customWidth="1"/>
    <col min="605" max="814" width="12.7109375" style="1"/>
    <col min="815" max="815" width="13.28515625" style="1" customWidth="1"/>
    <col min="816" max="855" width="12.7109375" style="1"/>
    <col min="856" max="856" width="16.7109375" style="1" customWidth="1"/>
    <col min="857" max="857" width="17" style="1" customWidth="1"/>
    <col min="858" max="858" width="16.7109375" style="1" customWidth="1"/>
    <col min="859" max="859" width="18" style="1" customWidth="1"/>
    <col min="860" max="860" width="16.5703125" style="1" customWidth="1"/>
    <col min="861" max="1025" width="12.7109375" style="1"/>
  </cols>
  <sheetData>
    <row r="1" spans="27:159" ht="12.75" customHeight="1">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spans="27:159" ht="12.75" customHeight="1">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v>176439843171</v>
      </c>
      <c r="DJ2" s="29">
        <v>174216541543</v>
      </c>
      <c r="DM2" s="17"/>
      <c r="DN2" s="17"/>
      <c r="DO2" s="17"/>
      <c r="DP2" s="17" t="s">
        <v>8</v>
      </c>
      <c r="DQ2" s="17"/>
      <c r="DR2" s="17"/>
      <c r="DS2" s="17"/>
      <c r="DT2" s="17"/>
      <c r="DU2" s="17"/>
      <c r="DV2" s="17"/>
      <c r="DW2" s="17"/>
      <c r="DX2" s="17"/>
      <c r="DY2" s="805" t="s">
        <v>9</v>
      </c>
      <c r="DZ2" s="805"/>
      <c r="EA2" s="805"/>
      <c r="EB2" s="805"/>
      <c r="EC2" s="805"/>
      <c r="ED2" s="805"/>
      <c r="EE2" s="805"/>
      <c r="EF2" s="805"/>
      <c r="EG2" s="805"/>
      <c r="EH2" s="805"/>
      <c r="EI2" s="805"/>
      <c r="EJ2" s="31">
        <v>1950</v>
      </c>
      <c r="EK2" s="32">
        <v>947.51599999999996</v>
      </c>
      <c r="EL2" s="33">
        <v>721.37</v>
      </c>
      <c r="FB2" s="34">
        <f>IVA!DG27/IVA!CN20/1000</f>
        <v>7.4976472749445176E-5</v>
      </c>
    </row>
    <row r="3" spans="27:159" ht="12.75" customHeight="1">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v>1000</v>
      </c>
      <c r="DJ3" s="29">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v>1951</v>
      </c>
      <c r="EK3" s="32">
        <v>992.17100000000005</v>
      </c>
      <c r="EL3" s="33">
        <v>758.20799999999997</v>
      </c>
    </row>
    <row r="4" spans="27:159" ht="12.75" customHeight="1">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v>1995</v>
      </c>
      <c r="CJ4" s="54">
        <v>250405946.23877701</v>
      </c>
      <c r="CK4" s="54">
        <v>261602918.00764099</v>
      </c>
      <c r="CL4" s="54">
        <v>256868339.73469701</v>
      </c>
      <c r="CM4" s="54">
        <v>263250336.152224</v>
      </c>
      <c r="CN4" s="55">
        <v>258031885.033335</v>
      </c>
      <c r="CO4" s="26"/>
      <c r="CP4" s="26"/>
      <c r="CQ4" s="27"/>
      <c r="CV4" s="56" t="s">
        <v>19</v>
      </c>
      <c r="DI4" s="1" t="s">
        <v>20</v>
      </c>
      <c r="DM4" s="17"/>
      <c r="DN4" s="17"/>
      <c r="DO4" s="17"/>
      <c r="DP4" s="17"/>
      <c r="DQ4" s="17"/>
      <c r="DR4" s="17"/>
      <c r="DS4" s="17"/>
      <c r="DT4" s="17"/>
      <c r="DU4" s="17"/>
      <c r="DV4" s="17"/>
      <c r="DW4" s="17"/>
      <c r="DX4" s="17"/>
      <c r="ED4" s="805" t="s">
        <v>21</v>
      </c>
      <c r="EE4" s="805"/>
      <c r="EH4" s="57"/>
      <c r="EI4" s="57"/>
      <c r="EJ4" s="31">
        <v>1952</v>
      </c>
      <c r="EK4" s="32">
        <v>1037.54</v>
      </c>
      <c r="EL4" s="33">
        <v>796.13900000000001</v>
      </c>
    </row>
    <row r="5" spans="27:159" ht="12.75" customHeight="1">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v>1996</v>
      </c>
      <c r="CJ5" s="54">
        <v>251199988.67648801</v>
      </c>
      <c r="CK5" s="54">
        <v>280167136.445746</v>
      </c>
      <c r="CL5" s="54">
        <v>274502346.76701099</v>
      </c>
      <c r="CM5" s="54">
        <v>282729559.35597801</v>
      </c>
      <c r="CN5" s="55">
        <v>272149757.811306</v>
      </c>
      <c r="CO5" s="63"/>
      <c r="CP5" s="63"/>
      <c r="CQ5" s="13"/>
      <c r="CT5" s="1" t="s">
        <v>22</v>
      </c>
      <c r="DI5" s="64"/>
      <c r="DJ5" s="64"/>
      <c r="DK5" s="64"/>
      <c r="DL5" s="63"/>
      <c r="DM5" s="65"/>
      <c r="DN5" s="66"/>
      <c r="DO5" s="806" t="s">
        <v>23</v>
      </c>
      <c r="DP5" s="806"/>
      <c r="DQ5" s="806"/>
      <c r="DR5" s="806"/>
      <c r="DS5" s="66"/>
      <c r="DT5" s="67" t="s">
        <v>24</v>
      </c>
      <c r="DU5" s="67" t="s">
        <v>25</v>
      </c>
      <c r="DV5" s="67"/>
      <c r="DW5" s="68" t="s">
        <v>26</v>
      </c>
      <c r="DX5" s="69"/>
      <c r="DY5" s="45"/>
      <c r="DZ5" s="45"/>
      <c r="EA5" s="45"/>
      <c r="EB5" s="46"/>
      <c r="EC5" s="45"/>
      <c r="ED5" s="45"/>
      <c r="EE5" s="45"/>
      <c r="EF5" s="45"/>
      <c r="EG5" s="45"/>
      <c r="EH5" s="45"/>
      <c r="EI5" s="45"/>
      <c r="EJ5" s="31">
        <v>1953</v>
      </c>
      <c r="EK5" s="32">
        <v>1083.71</v>
      </c>
      <c r="EL5" s="33">
        <v>834.71100000000001</v>
      </c>
      <c r="EU5" s="70" t="s">
        <v>27</v>
      </c>
      <c r="EW5" s="71" t="s">
        <v>28</v>
      </c>
    </row>
    <row r="6" spans="27:159" ht="12.75" customHeight="1">
      <c r="AA6" s="72"/>
      <c r="AB6" s="73"/>
      <c r="AC6" s="73"/>
      <c r="AD6" s="73"/>
      <c r="AE6" s="74"/>
      <c r="AF6" s="74"/>
      <c r="AG6" s="74"/>
      <c r="AH6" s="74"/>
      <c r="AI6" s="74"/>
      <c r="AJ6" s="74"/>
      <c r="AK6" s="74"/>
      <c r="AL6" s="74"/>
      <c r="AM6" s="74"/>
      <c r="AN6" s="74"/>
      <c r="AO6" s="74"/>
      <c r="AP6" s="74"/>
      <c r="AQ6" s="75"/>
      <c r="AR6" s="74"/>
      <c r="AS6" s="74"/>
      <c r="AT6" s="74"/>
      <c r="AU6" s="76"/>
      <c r="AV6" s="77"/>
      <c r="AW6" s="77"/>
      <c r="AX6" s="77"/>
      <c r="AY6" s="77"/>
      <c r="AZ6" s="77"/>
      <c r="BA6" s="78"/>
      <c r="BB6" s="72"/>
      <c r="BC6" s="73"/>
      <c r="BD6" s="73"/>
      <c r="BE6" s="73"/>
      <c r="BF6" s="74"/>
      <c r="BG6" s="74"/>
      <c r="BH6" s="74"/>
      <c r="BI6" s="74"/>
      <c r="BJ6" s="74"/>
      <c r="BK6" s="74"/>
      <c r="BL6" s="74"/>
      <c r="BM6" s="74"/>
      <c r="BN6" s="74"/>
      <c r="BO6" s="74"/>
      <c r="BP6" s="74"/>
      <c r="BQ6" s="74"/>
      <c r="BR6" s="74"/>
      <c r="BS6" s="74"/>
      <c r="BT6" s="74"/>
      <c r="BU6" s="74"/>
      <c r="BV6" s="76"/>
      <c r="BW6" s="79"/>
      <c r="BX6" s="80"/>
      <c r="BY6" s="80"/>
      <c r="BZ6" s="80"/>
      <c r="CA6" s="80"/>
      <c r="CH6" s="13"/>
      <c r="CI6" s="53">
        <v>1997</v>
      </c>
      <c r="CJ6" s="54">
        <f>IVA!AQ262*1000</f>
        <v>271260000</v>
      </c>
      <c r="CK6" s="54">
        <f>IVA!AR262*1000</f>
        <v>299872538.77122396</v>
      </c>
      <c r="CL6" s="54">
        <f>IVA!AS262*1000</f>
        <v>298264991.50864196</v>
      </c>
      <c r="CM6" s="54">
        <f>IVA!AT262*1000</f>
        <v>302037522.72912598</v>
      </c>
      <c r="CN6" s="55">
        <f>IVA!AU262*1000</f>
        <v>292858877.32954299</v>
      </c>
      <c r="CO6" s="63"/>
      <c r="CP6" s="63"/>
      <c r="CQ6" s="13"/>
      <c r="CT6" s="1" t="s">
        <v>29</v>
      </c>
      <c r="DI6" s="81">
        <v>2013</v>
      </c>
      <c r="DJ6" s="81" t="s">
        <v>30</v>
      </c>
      <c r="DK6" s="82">
        <f>213190375353/1000</f>
        <v>213190375.35299999</v>
      </c>
      <c r="DL6" s="83"/>
      <c r="DM6" s="84" t="s">
        <v>31</v>
      </c>
      <c r="DN6" s="85" t="s">
        <v>32</v>
      </c>
      <c r="DO6" s="85" t="s">
        <v>33</v>
      </c>
      <c r="DP6" s="85" t="s">
        <v>34</v>
      </c>
      <c r="DQ6" s="85" t="s">
        <v>35</v>
      </c>
      <c r="DR6" s="85" t="s">
        <v>36</v>
      </c>
      <c r="DS6" s="85" t="s">
        <v>37</v>
      </c>
      <c r="DT6" s="85" t="s">
        <v>38</v>
      </c>
      <c r="DU6" s="85" t="s">
        <v>39</v>
      </c>
      <c r="DV6" s="85" t="s">
        <v>37</v>
      </c>
      <c r="DW6" s="86" t="s">
        <v>40</v>
      </c>
      <c r="DX6" s="87"/>
      <c r="DY6" s="805" t="s">
        <v>41</v>
      </c>
      <c r="DZ6" s="805"/>
      <c r="EA6" s="805"/>
      <c r="EB6" s="805"/>
      <c r="EC6" s="805"/>
      <c r="ED6" s="805"/>
      <c r="EE6" s="805"/>
      <c r="EF6" s="805"/>
      <c r="EG6" s="805"/>
      <c r="EH6" s="805"/>
      <c r="EI6" s="805"/>
      <c r="EJ6" s="31">
        <v>1954</v>
      </c>
      <c r="EK6" s="32">
        <v>1130.962</v>
      </c>
      <c r="EL6" s="33">
        <v>873.44100000000003</v>
      </c>
      <c r="EN6" s="70" t="s">
        <v>27</v>
      </c>
      <c r="EP6" s="71" t="s">
        <v>28</v>
      </c>
      <c r="EU6" s="88" t="s">
        <v>42</v>
      </c>
    </row>
    <row r="7" spans="27:159" ht="12.75" customHeight="1">
      <c r="AA7" s="807" t="s">
        <v>31</v>
      </c>
      <c r="AB7" s="807"/>
      <c r="AC7" s="807"/>
      <c r="AD7" s="807"/>
      <c r="AE7" s="89" t="s">
        <v>43</v>
      </c>
      <c r="AF7" s="89" t="s">
        <v>44</v>
      </c>
      <c r="AG7" s="89" t="s">
        <v>45</v>
      </c>
      <c r="AH7" s="89" t="s">
        <v>46</v>
      </c>
      <c r="AI7" s="89" t="s">
        <v>47</v>
      </c>
      <c r="AJ7" s="89" t="s">
        <v>48</v>
      </c>
      <c r="AK7" s="89" t="s">
        <v>49</v>
      </c>
      <c r="AL7" s="89" t="s">
        <v>50</v>
      </c>
      <c r="AM7" s="89" t="s">
        <v>51</v>
      </c>
      <c r="AN7" s="89" t="s">
        <v>52</v>
      </c>
      <c r="AO7" s="89" t="s">
        <v>53</v>
      </c>
      <c r="AP7" s="89" t="s">
        <v>54</v>
      </c>
      <c r="AQ7" s="90" t="s">
        <v>10</v>
      </c>
      <c r="AR7" s="89" t="s">
        <v>55</v>
      </c>
      <c r="AS7" s="89" t="s">
        <v>56</v>
      </c>
      <c r="AT7" s="89" t="s">
        <v>57</v>
      </c>
      <c r="AU7" s="91" t="s">
        <v>37</v>
      </c>
      <c r="AV7" s="92" t="s">
        <v>58</v>
      </c>
      <c r="AW7" s="92" t="s">
        <v>59</v>
      </c>
      <c r="AX7" s="92" t="s">
        <v>60</v>
      </c>
      <c r="AY7" s="92" t="s">
        <v>61</v>
      </c>
      <c r="AZ7" s="92" t="s">
        <v>62</v>
      </c>
      <c r="BA7" s="93" t="s">
        <v>63</v>
      </c>
      <c r="BB7" s="807" t="s">
        <v>31</v>
      </c>
      <c r="BC7" s="807"/>
      <c r="BD7" s="807"/>
      <c r="BE7" s="807"/>
      <c r="BF7" s="89" t="s">
        <v>43</v>
      </c>
      <c r="BG7" s="89" t="s">
        <v>44</v>
      </c>
      <c r="BH7" s="89" t="s">
        <v>45</v>
      </c>
      <c r="BI7" s="89" t="s">
        <v>46</v>
      </c>
      <c r="BJ7" s="89" t="s">
        <v>47</v>
      </c>
      <c r="BK7" s="89" t="s">
        <v>48</v>
      </c>
      <c r="BL7" s="89" t="s">
        <v>49</v>
      </c>
      <c r="BM7" s="89" t="s">
        <v>50</v>
      </c>
      <c r="BN7" s="89" t="s">
        <v>51</v>
      </c>
      <c r="BO7" s="89" t="s">
        <v>52</v>
      </c>
      <c r="BP7" s="89" t="s">
        <v>53</v>
      </c>
      <c r="BQ7" s="89" t="s">
        <v>54</v>
      </c>
      <c r="BR7" s="89" t="s">
        <v>10</v>
      </c>
      <c r="BS7" s="89" t="s">
        <v>55</v>
      </c>
      <c r="BT7" s="89" t="s">
        <v>56</v>
      </c>
      <c r="BU7" s="89" t="s">
        <v>57</v>
      </c>
      <c r="BV7" s="91" t="s">
        <v>37</v>
      </c>
      <c r="BW7" s="94" t="s">
        <v>58</v>
      </c>
      <c r="BX7" s="95" t="s">
        <v>59</v>
      </c>
      <c r="BY7" s="95" t="s">
        <v>60</v>
      </c>
      <c r="BZ7" s="95" t="s">
        <v>61</v>
      </c>
      <c r="CA7" s="95" t="s">
        <v>62</v>
      </c>
      <c r="CH7" s="13"/>
      <c r="CI7" s="53">
        <v>1998</v>
      </c>
      <c r="CJ7" s="54">
        <f>IVA!AQ263*1000</f>
        <v>282764000</v>
      </c>
      <c r="CK7" s="54">
        <f>IVA!AR263*1000</f>
        <v>312129111.03303897</v>
      </c>
      <c r="CL7" s="54">
        <f>IVA!AS263*1000</f>
        <v>305474768.31665099</v>
      </c>
      <c r="CM7" s="54">
        <f>IVA!AT263*1000</f>
        <v>295425322.56857604</v>
      </c>
      <c r="CN7" s="55">
        <f>IVA!AU263*1000</f>
        <v>298948358.55420804</v>
      </c>
      <c r="CO7" s="63"/>
      <c r="CP7" s="63"/>
      <c r="CQ7" s="13"/>
      <c r="CU7" s="17"/>
      <c r="CV7" s="17"/>
      <c r="CW7" s="17"/>
      <c r="CX7" s="17"/>
      <c r="CY7" s="17"/>
      <c r="CZ7" s="17"/>
      <c r="DA7" s="17"/>
      <c r="DB7" s="96">
        <v>241722702625</v>
      </c>
      <c r="DC7" s="96">
        <v>201515996203</v>
      </c>
      <c r="DD7" s="17"/>
      <c r="DE7" s="17"/>
      <c r="DF7" s="17"/>
      <c r="DG7" s="17"/>
      <c r="DH7" s="17"/>
      <c r="DI7" s="97">
        <v>2012</v>
      </c>
      <c r="DJ7" s="97" t="s">
        <v>64</v>
      </c>
      <c r="DK7" s="98">
        <f>176445.6*1000</f>
        <v>176445600</v>
      </c>
      <c r="DL7" s="83"/>
      <c r="DM7" s="99"/>
      <c r="DN7" s="100"/>
      <c r="DO7" s="85" t="s">
        <v>65</v>
      </c>
      <c r="DP7" s="85" t="s">
        <v>66</v>
      </c>
      <c r="DQ7" s="85" t="s">
        <v>67</v>
      </c>
      <c r="DR7" s="85" t="s">
        <v>68</v>
      </c>
      <c r="DS7" s="100"/>
      <c r="DT7" s="100"/>
      <c r="DU7" s="100"/>
      <c r="DV7" s="100"/>
      <c r="DW7" s="101" t="s">
        <v>69</v>
      </c>
      <c r="DX7" s="69"/>
      <c r="DY7" s="45"/>
      <c r="DZ7" s="45"/>
      <c r="EA7" s="45"/>
      <c r="EB7" s="46"/>
      <c r="EC7" s="45"/>
      <c r="ED7" s="45"/>
      <c r="EE7" s="45"/>
      <c r="EF7" s="45"/>
      <c r="EG7" s="45"/>
      <c r="EH7" s="45"/>
      <c r="EI7" s="45"/>
      <c r="EJ7" s="31">
        <v>1955</v>
      </c>
      <c r="EK7" s="32">
        <v>1179.566</v>
      </c>
      <c r="EL7" s="33">
        <v>912.202</v>
      </c>
      <c r="EN7" s="88" t="s">
        <v>70</v>
      </c>
      <c r="EV7" s="102" t="s">
        <v>71</v>
      </c>
    </row>
    <row r="8" spans="27:159" ht="12.75" customHeight="1">
      <c r="AA8" s="103"/>
      <c r="AB8" s="104"/>
      <c r="AC8" s="104"/>
      <c r="AD8" s="105"/>
      <c r="AE8" s="106"/>
      <c r="AF8" s="106"/>
      <c r="AG8" s="106"/>
      <c r="AH8" s="106"/>
      <c r="AI8" s="106"/>
      <c r="AJ8" s="106"/>
      <c r="AK8" s="106"/>
      <c r="AL8" s="106"/>
      <c r="AM8" s="106"/>
      <c r="AN8" s="106"/>
      <c r="AO8" s="106"/>
      <c r="AP8" s="106"/>
      <c r="AQ8" s="107"/>
      <c r="AR8" s="106"/>
      <c r="AS8" s="106"/>
      <c r="AT8" s="106"/>
      <c r="AU8" s="108"/>
      <c r="AV8" s="109"/>
      <c r="AW8" s="109"/>
      <c r="AX8" s="109"/>
      <c r="AY8" s="109"/>
      <c r="AZ8" s="109"/>
      <c r="BA8" s="110"/>
      <c r="BB8" s="103"/>
      <c r="BC8" s="104"/>
      <c r="BD8" s="104"/>
      <c r="BE8" s="105"/>
      <c r="BF8" s="106"/>
      <c r="BG8" s="106"/>
      <c r="BH8" s="106"/>
      <c r="BI8" s="106"/>
      <c r="BJ8" s="106"/>
      <c r="BK8" s="106"/>
      <c r="BL8" s="106"/>
      <c r="BM8" s="106"/>
      <c r="BN8" s="106"/>
      <c r="BO8" s="106"/>
      <c r="BP8" s="106"/>
      <c r="BQ8" s="106"/>
      <c r="BR8" s="106"/>
      <c r="BS8" s="106"/>
      <c r="BT8" s="106"/>
      <c r="BU8" s="106"/>
      <c r="BV8" s="108"/>
      <c r="BW8" s="111"/>
      <c r="BX8" s="112"/>
      <c r="BY8" s="111"/>
      <c r="BZ8" s="111"/>
      <c r="CA8" s="111"/>
      <c r="CH8" s="13"/>
      <c r="CI8" s="53">
        <v>1999</v>
      </c>
      <c r="CJ8" s="54">
        <f>IVA!AQ264*1000</f>
        <v>270746000</v>
      </c>
      <c r="CK8" s="54">
        <f>IVA!AR264*1000</f>
        <v>288829855.93614799</v>
      </c>
      <c r="CL8" s="54">
        <f>IVA!AS264*1000</f>
        <v>285087021.39066797</v>
      </c>
      <c r="CM8" s="54">
        <f>IVA!AT264*1000</f>
        <v>289428828.97694796</v>
      </c>
      <c r="CN8" s="55">
        <f>IVA!AU264*1000</f>
        <v>283523023.98067498</v>
      </c>
      <c r="CO8" s="63"/>
      <c r="CP8" s="63"/>
      <c r="CQ8" s="13"/>
      <c r="CU8" s="17"/>
      <c r="CV8" s="17"/>
      <c r="CW8" s="17"/>
      <c r="CX8" s="18" t="s">
        <v>72</v>
      </c>
      <c r="CY8" s="17"/>
      <c r="CZ8" s="17"/>
      <c r="DA8" s="17"/>
      <c r="DB8" s="17"/>
      <c r="DC8" s="17"/>
      <c r="DD8" s="17"/>
      <c r="DE8" s="17"/>
      <c r="DF8" s="17"/>
      <c r="DG8" s="17"/>
      <c r="DH8" s="17"/>
      <c r="DI8" s="113"/>
      <c r="DJ8" s="114" t="s">
        <v>73</v>
      </c>
      <c r="DK8" s="98">
        <f>174216541543/1000</f>
        <v>174216541.54300001</v>
      </c>
      <c r="DL8" s="83"/>
      <c r="DM8" s="115" t="s">
        <v>74</v>
      </c>
      <c r="DN8" s="116">
        <v>1993</v>
      </c>
      <c r="DO8" s="117">
        <v>202700</v>
      </c>
      <c r="DP8" s="117">
        <v>0</v>
      </c>
      <c r="DQ8" s="117">
        <v>0</v>
      </c>
      <c r="DR8" s="117">
        <v>12933400</v>
      </c>
      <c r="DS8" s="117">
        <v>13136100</v>
      </c>
      <c r="DT8" s="117"/>
      <c r="DU8" s="117">
        <v>0</v>
      </c>
      <c r="DV8" s="117">
        <v>13136100</v>
      </c>
      <c r="DW8" s="118"/>
      <c r="DX8" s="119"/>
      <c r="DY8" s="805" t="s">
        <v>75</v>
      </c>
      <c r="DZ8" s="805"/>
      <c r="EA8" s="805"/>
      <c r="EB8" s="805"/>
      <c r="EC8" s="805"/>
      <c r="ED8" s="805"/>
      <c r="EE8" s="805"/>
      <c r="EF8" s="805"/>
      <c r="EG8" s="805"/>
      <c r="EH8" s="805"/>
      <c r="EI8" s="805"/>
      <c r="EJ8" s="31">
        <v>1956</v>
      </c>
      <c r="EK8" s="32">
        <v>1234.5450000000001</v>
      </c>
      <c r="EL8" s="33">
        <v>957.06899999999996</v>
      </c>
      <c r="EP8" s="102" t="s">
        <v>76</v>
      </c>
      <c r="EW8" s="120" t="s">
        <v>77</v>
      </c>
      <c r="FA8" s="1" t="s">
        <v>78</v>
      </c>
      <c r="FB8" s="1" t="s">
        <v>78</v>
      </c>
    </row>
    <row r="9" spans="27:159" ht="12.75" customHeight="1">
      <c r="AA9" s="121">
        <v>1996</v>
      </c>
      <c r="AB9" s="121" t="s">
        <v>79</v>
      </c>
      <c r="AC9" s="122"/>
      <c r="AD9" s="123"/>
      <c r="AE9" s="124">
        <v>1503978</v>
      </c>
      <c r="AF9" s="124">
        <v>1477463</v>
      </c>
      <c r="AG9" s="124">
        <v>1524720</v>
      </c>
      <c r="AH9" s="124">
        <v>1439097</v>
      </c>
      <c r="AI9" s="124">
        <v>1530813</v>
      </c>
      <c r="AJ9" s="124">
        <v>1600866</v>
      </c>
      <c r="AK9" s="124">
        <v>1570017</v>
      </c>
      <c r="AL9" s="124">
        <v>1618198</v>
      </c>
      <c r="AM9" s="124">
        <v>1383158</v>
      </c>
      <c r="AN9" s="124">
        <v>1758421</v>
      </c>
      <c r="AO9" s="124">
        <v>1599548</v>
      </c>
      <c r="AP9" s="124">
        <v>1459126</v>
      </c>
      <c r="AQ9" s="125">
        <f>IVA!AE9+IVA!AF9+IVA!AG9</f>
        <v>4506161</v>
      </c>
      <c r="AR9" s="126">
        <f>IVA!AH9+IVA!AI9+IVA!AJ9</f>
        <v>4570776</v>
      </c>
      <c r="AS9" s="126">
        <f>IVA!AK9+IVA!AL9+IVA!AM9</f>
        <v>4571373</v>
      </c>
      <c r="AT9" s="126">
        <f>IVA!AN9+IVA!AO9+IVA!AP9</f>
        <v>4817095</v>
      </c>
      <c r="AU9" s="127">
        <f>IVA!AQ9+IVA!AR9+IVA!AS9+IVA!AT9</f>
        <v>18465405</v>
      </c>
      <c r="AV9" s="128"/>
      <c r="AW9" s="128"/>
      <c r="AX9" s="128"/>
      <c r="AY9" s="128"/>
      <c r="AZ9" s="129"/>
      <c r="BA9" s="130">
        <v>1996</v>
      </c>
      <c r="BB9" s="131" t="s">
        <v>80</v>
      </c>
      <c r="BC9" s="131"/>
      <c r="BD9" s="131"/>
      <c r="BE9" s="131"/>
      <c r="BF9" s="132">
        <f>0.89*IVA!AE9</f>
        <v>1338540.42</v>
      </c>
      <c r="BG9" s="132">
        <f>0.89*IVA!AF9</f>
        <v>1314942.07</v>
      </c>
      <c r="BH9" s="132">
        <f>0.89*IVA!AG9</f>
        <v>1357000.8</v>
      </c>
      <c r="BI9" s="132">
        <f>0.89*IVA!AH9</f>
        <v>1280796.33</v>
      </c>
      <c r="BJ9" s="132">
        <f>0.89*IVA!AI9</f>
        <v>1362423.57</v>
      </c>
      <c r="BK9" s="132">
        <f>0.89*IVA!AJ9</f>
        <v>1424770.74</v>
      </c>
      <c r="BL9" s="132">
        <f>0.89*IVA!AK9</f>
        <v>1397315.1300000001</v>
      </c>
      <c r="BM9" s="132">
        <f>0.89*IVA!AL9</f>
        <v>1440196.22</v>
      </c>
      <c r="BN9" s="132">
        <f>0.89*IVA!AM9</f>
        <v>1231010.6200000001</v>
      </c>
      <c r="BO9" s="132">
        <f>0.89*IVA!AN9</f>
        <v>1564994.69</v>
      </c>
      <c r="BP9" s="132">
        <f>0.89*IVA!AO9</f>
        <v>1423597.72</v>
      </c>
      <c r="BQ9" s="132">
        <f>0.89*IVA!AP9</f>
        <v>1298622.1400000001</v>
      </c>
      <c r="BR9" s="133">
        <f>0.89*IVA!AQ9</f>
        <v>4010483.29</v>
      </c>
      <c r="BS9" s="133">
        <f>0.89*IVA!AR9</f>
        <v>4067990.64</v>
      </c>
      <c r="BT9" s="133">
        <f>0.89*IVA!AS9</f>
        <v>4068521.97</v>
      </c>
      <c r="BU9" s="134">
        <f>0.89*IVA!AT9</f>
        <v>4287214.55</v>
      </c>
      <c r="BV9" s="135">
        <f>0.89*IVA!AU9</f>
        <v>16434210.450000001</v>
      </c>
      <c r="BW9" s="136"/>
      <c r="BX9" s="137"/>
      <c r="BY9" s="136"/>
      <c r="BZ9" s="136"/>
      <c r="CA9" s="138"/>
      <c r="CH9" s="13"/>
      <c r="CI9" s="53">
        <v>2000</v>
      </c>
      <c r="CJ9" s="54">
        <f>IVA!AQ265*1000</f>
        <v>270444000</v>
      </c>
      <c r="CK9" s="54">
        <f>IVA!AR265*1000</f>
        <v>291796004.44679397</v>
      </c>
      <c r="CL9" s="54">
        <f>IVA!AS265*1000</f>
        <v>287495642.39376104</v>
      </c>
      <c r="CM9" s="54">
        <f>IVA!AT265*1000</f>
        <v>287079012.35584795</v>
      </c>
      <c r="CN9" s="55">
        <f>IVA!AU265*1000</f>
        <v>284203739.31462198</v>
      </c>
      <c r="CO9" s="63"/>
      <c r="CP9" s="63"/>
      <c r="CQ9" s="13"/>
      <c r="CU9" s="139"/>
      <c r="CV9" s="73"/>
      <c r="CW9" s="140" t="s">
        <v>81</v>
      </c>
      <c r="CX9" s="73"/>
      <c r="CY9" s="73"/>
      <c r="CZ9" s="73"/>
      <c r="DA9" s="73"/>
      <c r="DB9" s="141"/>
      <c r="DC9" s="142" t="s">
        <v>82</v>
      </c>
      <c r="DD9" s="73"/>
      <c r="DE9" s="73"/>
      <c r="DF9" s="141"/>
      <c r="DG9" s="143" t="s">
        <v>83</v>
      </c>
      <c r="DH9" s="144"/>
      <c r="DI9" s="97">
        <v>2011</v>
      </c>
      <c r="DJ9" s="97" t="s">
        <v>84</v>
      </c>
      <c r="DK9" s="145">
        <f>147897.7*1000</f>
        <v>147897700</v>
      </c>
      <c r="DL9" s="146"/>
      <c r="DM9" s="147" t="s">
        <v>74</v>
      </c>
      <c r="DN9" s="148">
        <v>1994</v>
      </c>
      <c r="DO9" s="149">
        <v>228200</v>
      </c>
      <c r="DP9" s="149">
        <v>62300</v>
      </c>
      <c r="DQ9" s="149">
        <v>0</v>
      </c>
      <c r="DR9" s="149">
        <v>15710300</v>
      </c>
      <c r="DS9" s="149">
        <v>16000800</v>
      </c>
      <c r="DT9" s="149"/>
      <c r="DU9" s="149">
        <v>0</v>
      </c>
      <c r="DV9" s="149">
        <v>16000800</v>
      </c>
      <c r="DW9" s="150"/>
      <c r="DX9" s="151"/>
      <c r="DY9" s="45"/>
      <c r="DZ9" s="45"/>
      <c r="EA9" s="45"/>
      <c r="EB9" s="45"/>
      <c r="EC9" s="45"/>
      <c r="ED9" s="45"/>
      <c r="EE9" s="45"/>
      <c r="EF9" s="45"/>
      <c r="EG9" s="45"/>
      <c r="EH9" s="57" t="s">
        <v>85</v>
      </c>
      <c r="EI9" s="57"/>
      <c r="EJ9" s="31">
        <v>1957</v>
      </c>
      <c r="EK9" s="32">
        <v>1290.489</v>
      </c>
      <c r="EL9" s="33">
        <v>1001.607</v>
      </c>
      <c r="EN9" s="152" t="s">
        <v>86</v>
      </c>
      <c r="EO9" s="120" t="s">
        <v>87</v>
      </c>
      <c r="EP9" s="120" t="s">
        <v>88</v>
      </c>
      <c r="EQ9" s="120" t="s">
        <v>89</v>
      </c>
      <c r="ER9" s="120" t="s">
        <v>90</v>
      </c>
      <c r="EV9" s="102" t="s">
        <v>91</v>
      </c>
      <c r="EX9" s="120" t="s">
        <v>92</v>
      </c>
      <c r="FA9" s="1" t="s">
        <v>93</v>
      </c>
      <c r="FB9" s="1" t="s">
        <v>93</v>
      </c>
    </row>
    <row r="10" spans="27:159" ht="12.75" customHeight="1">
      <c r="AA10" s="121">
        <v>1997</v>
      </c>
      <c r="AB10" s="121" t="s">
        <v>79</v>
      </c>
      <c r="AC10" s="122"/>
      <c r="AD10" s="123"/>
      <c r="AE10" s="124">
        <v>1754567</v>
      </c>
      <c r="AF10" s="124">
        <v>1533071</v>
      </c>
      <c r="AG10" s="124">
        <v>1520830</v>
      </c>
      <c r="AH10" s="124">
        <v>1554670</v>
      </c>
      <c r="AI10" s="124">
        <v>1699774</v>
      </c>
      <c r="AJ10" s="124">
        <v>1630440</v>
      </c>
      <c r="AK10" s="124">
        <v>1604393</v>
      </c>
      <c r="AL10" s="124">
        <v>1702040</v>
      </c>
      <c r="AM10" s="124">
        <v>1874730</v>
      </c>
      <c r="AN10" s="124">
        <v>1586598</v>
      </c>
      <c r="AO10" s="124">
        <v>1664550</v>
      </c>
      <c r="AP10" s="124">
        <v>1694701</v>
      </c>
      <c r="AQ10" s="125">
        <f>IVA!AE10+IVA!AF10+IVA!AG10</f>
        <v>4808468</v>
      </c>
      <c r="AR10" s="153">
        <f>IVA!AH10+IVA!AI10+IVA!AJ10</f>
        <v>4884884</v>
      </c>
      <c r="AS10" s="153">
        <f>IVA!AK10+IVA!AL10+IVA!AM10</f>
        <v>5181163</v>
      </c>
      <c r="AT10" s="153">
        <f>IVA!AN10+IVA!AO10+IVA!AP10</f>
        <v>4945849</v>
      </c>
      <c r="AU10" s="154">
        <f>IVA!AQ10+IVA!AR10+IVA!AS10+IVA!AT10</f>
        <v>19820364</v>
      </c>
      <c r="AV10" s="128">
        <f>IVA!AQ10/IVA!CJ6</f>
        <v>1.7726417459264173E-2</v>
      </c>
      <c r="AW10" s="128">
        <f>IVA!AR10/IVA!CK6</f>
        <v>1.6289867755202258E-2</v>
      </c>
      <c r="AX10" s="128">
        <f>IVA!AS10/IVA!CL6</f>
        <v>1.7371006143876863E-2</v>
      </c>
      <c r="AY10" s="128">
        <f>IVA!AT10/IVA!CM6</f>
        <v>1.6374948898106107E-2</v>
      </c>
      <c r="AZ10" s="155">
        <f>IVA!AU10/IVA!CN6</f>
        <v>6.7678890873083888E-2</v>
      </c>
      <c r="BA10" s="130">
        <v>1997</v>
      </c>
      <c r="BB10" s="131" t="s">
        <v>80</v>
      </c>
      <c r="BC10" s="131"/>
      <c r="BD10" s="131"/>
      <c r="BE10" s="131"/>
      <c r="BF10" s="132">
        <f>0.89*IVA!AE10</f>
        <v>1561564.6300000001</v>
      </c>
      <c r="BG10" s="132">
        <f>0.89*IVA!AF10</f>
        <v>1364433.19</v>
      </c>
      <c r="BH10" s="132">
        <f>0.89*IVA!AG10</f>
        <v>1353538.7</v>
      </c>
      <c r="BI10" s="132">
        <f>0.89*IVA!AH10</f>
        <v>1383656.3</v>
      </c>
      <c r="BJ10" s="132">
        <f>0.89*IVA!AI10</f>
        <v>1512798.86</v>
      </c>
      <c r="BK10" s="132">
        <f>0.89*IVA!AJ10</f>
        <v>1451091.6</v>
      </c>
      <c r="BL10" s="132">
        <f>0.89*IVA!AK10</f>
        <v>1427909.77</v>
      </c>
      <c r="BM10" s="132">
        <f>0.89*IVA!AL10</f>
        <v>1514815.6</v>
      </c>
      <c r="BN10" s="132">
        <f>0.89*IVA!AM10</f>
        <v>1668509.7</v>
      </c>
      <c r="BO10" s="132">
        <f>0.89*IVA!AN10</f>
        <v>1412072.22</v>
      </c>
      <c r="BP10" s="132">
        <f>0.89*IVA!AO10</f>
        <v>1481449.5</v>
      </c>
      <c r="BQ10" s="132">
        <f>0.89*IVA!AP10</f>
        <v>1508283.8900000001</v>
      </c>
      <c r="BR10" s="133">
        <f>0.89*IVA!AQ10</f>
        <v>4279536.5200000005</v>
      </c>
      <c r="BS10" s="133">
        <f>0.89*IVA!AR10</f>
        <v>4347546.76</v>
      </c>
      <c r="BT10" s="133">
        <f>0.89*IVA!AS10</f>
        <v>4611235.07</v>
      </c>
      <c r="BU10" s="134">
        <f>0.89*IVA!AT10</f>
        <v>4401805.6100000003</v>
      </c>
      <c r="BV10" s="135">
        <f>0.89*IVA!AU10</f>
        <v>17640123.960000001</v>
      </c>
      <c r="BW10" s="136">
        <f>IVA!BR10/IVA!CJ6</f>
        <v>1.5776511538745118E-2</v>
      </c>
      <c r="BX10" s="137">
        <f>IVA!BS10/IVA!CK6</f>
        <v>1.4497982302130008E-2</v>
      </c>
      <c r="BY10" s="136">
        <f>IVA!BT10/IVA!CL6</f>
        <v>1.546019546805041E-2</v>
      </c>
      <c r="BZ10" s="136">
        <f>IVA!BU10/IVA!CM6</f>
        <v>1.4573704519314437E-2</v>
      </c>
      <c r="CA10" s="156">
        <f>IVA!BV10/IVA!CN6</f>
        <v>6.0234212877044661E-2</v>
      </c>
      <c r="CH10" s="13"/>
      <c r="CI10" s="53">
        <v>2001</v>
      </c>
      <c r="CJ10" s="54">
        <f>IVA!AQ266*1000</f>
        <v>263331000</v>
      </c>
      <c r="CK10" s="54">
        <f>IVA!AR266*1000</f>
        <v>288026075.22980601</v>
      </c>
      <c r="CL10" s="54">
        <f>IVA!AS266*1000</f>
        <v>271367227.09886003</v>
      </c>
      <c r="CM10" s="54">
        <f>IVA!AT266*1000</f>
        <v>252062944.321547</v>
      </c>
      <c r="CN10" s="55">
        <f>IVA!AU266*1000</f>
        <v>268696708.83429199</v>
      </c>
      <c r="CO10" s="63"/>
      <c r="CP10" s="63"/>
      <c r="CQ10" s="13"/>
      <c r="CU10" s="157"/>
      <c r="CV10" s="158" t="s">
        <v>94</v>
      </c>
      <c r="CW10" s="159"/>
      <c r="CX10" s="160" t="s">
        <v>95</v>
      </c>
      <c r="CY10" s="161" t="s">
        <v>96</v>
      </c>
      <c r="CZ10" s="161" t="s">
        <v>97</v>
      </c>
      <c r="DA10" s="161" t="s">
        <v>98</v>
      </c>
      <c r="DB10" s="161" t="s">
        <v>37</v>
      </c>
      <c r="DC10" s="157" t="s">
        <v>99</v>
      </c>
      <c r="DD10" s="162" t="s">
        <v>100</v>
      </c>
      <c r="DE10" s="162" t="s">
        <v>99</v>
      </c>
      <c r="DF10" s="161" t="s">
        <v>101</v>
      </c>
      <c r="DG10" s="163"/>
      <c r="DH10" s="160"/>
      <c r="DI10" s="113"/>
      <c r="DJ10" s="114" t="s">
        <v>102</v>
      </c>
      <c r="DK10" s="164">
        <f>146418.1*1000</f>
        <v>146418100</v>
      </c>
      <c r="DL10" s="146"/>
      <c r="DM10" s="115" t="s">
        <v>74</v>
      </c>
      <c r="DN10" s="116">
        <v>1995</v>
      </c>
      <c r="DO10" s="117">
        <v>0</v>
      </c>
      <c r="DP10" s="117">
        <v>416400</v>
      </c>
      <c r="DQ10" s="117">
        <v>0</v>
      </c>
      <c r="DR10" s="117">
        <v>15211400</v>
      </c>
      <c r="DS10" s="117">
        <v>15627800</v>
      </c>
      <c r="DT10" s="117">
        <v>0</v>
      </c>
      <c r="DU10" s="117">
        <v>0</v>
      </c>
      <c r="DV10" s="117">
        <v>15627800</v>
      </c>
      <c r="DW10" s="118"/>
      <c r="DX10" s="119"/>
      <c r="DY10" s="165"/>
      <c r="DZ10" s="166"/>
      <c r="EA10" s="167"/>
      <c r="EB10" s="167"/>
      <c r="EC10" s="167"/>
      <c r="ED10" s="167"/>
      <c r="EE10" s="167"/>
      <c r="EF10" s="167"/>
      <c r="EG10" s="168"/>
      <c r="EH10" s="169"/>
      <c r="EI10" s="170"/>
      <c r="EJ10" s="31">
        <v>1958</v>
      </c>
      <c r="EK10" s="32">
        <v>1347.5309999999999</v>
      </c>
      <c r="EL10" s="33">
        <v>1046.2639999999999</v>
      </c>
      <c r="EN10" s="120" t="s">
        <v>103</v>
      </c>
      <c r="EO10" s="171" t="s">
        <v>104</v>
      </c>
      <c r="EP10" s="172">
        <v>955.01199999999994</v>
      </c>
      <c r="EQ10" s="120" t="s">
        <v>105</v>
      </c>
      <c r="ER10" s="172">
        <v>4.742</v>
      </c>
      <c r="EU10" s="152" t="s">
        <v>86</v>
      </c>
      <c r="EW10" s="120" t="s">
        <v>106</v>
      </c>
      <c r="EX10" s="120" t="s">
        <v>107</v>
      </c>
      <c r="EY10" s="120" t="s">
        <v>87</v>
      </c>
      <c r="FA10" s="1" t="s">
        <v>108</v>
      </c>
      <c r="FB10" s="1" t="s">
        <v>109</v>
      </c>
    </row>
    <row r="11" spans="27:159" ht="12.75" customHeight="1">
      <c r="AA11" s="121">
        <v>1998</v>
      </c>
      <c r="AB11" s="121" t="s">
        <v>79</v>
      </c>
      <c r="AC11" s="122"/>
      <c r="AD11" s="123"/>
      <c r="AE11" s="124">
        <v>1706199</v>
      </c>
      <c r="AF11" s="124">
        <v>1660199</v>
      </c>
      <c r="AG11" s="124">
        <v>1791267</v>
      </c>
      <c r="AH11" s="124">
        <v>1545623</v>
      </c>
      <c r="AI11" s="124">
        <v>1682528</v>
      </c>
      <c r="AJ11" s="124">
        <v>1843422</v>
      </c>
      <c r="AK11" s="124">
        <v>1732800</v>
      </c>
      <c r="AL11" s="124">
        <v>1711940</v>
      </c>
      <c r="AM11" s="124">
        <v>1825987</v>
      </c>
      <c r="AN11" s="124">
        <v>1590844</v>
      </c>
      <c r="AO11" s="124">
        <v>1717257</v>
      </c>
      <c r="AP11" s="124">
        <v>1537680</v>
      </c>
      <c r="AQ11" s="153">
        <f>IVA!AE11+IVA!AF11+IVA!AG11</f>
        <v>5157665</v>
      </c>
      <c r="AR11" s="153">
        <f>IVA!AH11+IVA!AI11+IVA!AJ11</f>
        <v>5071573</v>
      </c>
      <c r="AS11" s="153">
        <f>IVA!AK11+IVA!AL11+IVA!AM11</f>
        <v>5270727</v>
      </c>
      <c r="AT11" s="153">
        <f>IVA!AN11+IVA!AO11+IVA!AP11</f>
        <v>4845781</v>
      </c>
      <c r="AU11" s="154">
        <f>IVA!AQ11+IVA!AR11+IVA!AS11+IVA!AT11</f>
        <v>20345746</v>
      </c>
      <c r="AV11" s="128">
        <f>IVA!AQ11/IVA!CJ7</f>
        <v>1.8240175552757778E-2</v>
      </c>
      <c r="AW11" s="128">
        <f>IVA!AR11/IVA!CK7</f>
        <v>1.6248317829807204E-2</v>
      </c>
      <c r="AX11" s="128">
        <f>IVA!AS11/IVA!CL7</f>
        <v>1.7254213920988838E-2</v>
      </c>
      <c r="AY11" s="128">
        <f>IVA!AT11/IVA!CM7</f>
        <v>1.6402727287790863E-2</v>
      </c>
      <c r="AZ11" s="129">
        <f>IVA!AU11/IVA!CN7</f>
        <v>6.8057727757386985E-2</v>
      </c>
      <c r="BA11" s="130">
        <v>1998</v>
      </c>
      <c r="BB11" s="131" t="s">
        <v>80</v>
      </c>
      <c r="BC11" s="131"/>
      <c r="BD11" s="131"/>
      <c r="BE11" s="131"/>
      <c r="BF11" s="132">
        <f>0.89*IVA!AE11</f>
        <v>1518517.11</v>
      </c>
      <c r="BG11" s="132">
        <f>0.89*IVA!AF11</f>
        <v>1477577.11</v>
      </c>
      <c r="BH11" s="132">
        <f>0.89*IVA!AG11</f>
        <v>1594227.6300000001</v>
      </c>
      <c r="BI11" s="132">
        <f>0.89*IVA!AH11</f>
        <v>1375604.47</v>
      </c>
      <c r="BJ11" s="132">
        <f>0.89*IVA!AI11</f>
        <v>1497449.92</v>
      </c>
      <c r="BK11" s="132">
        <f>0.89*IVA!AJ11</f>
        <v>1640645.58</v>
      </c>
      <c r="BL11" s="132">
        <f>0.89*IVA!AK11</f>
        <v>1542192</v>
      </c>
      <c r="BM11" s="132">
        <f>0.89*IVA!AL11</f>
        <v>1523626.6</v>
      </c>
      <c r="BN11" s="132">
        <f>0.89*IVA!AM11</f>
        <v>1625128.43</v>
      </c>
      <c r="BO11" s="132">
        <f>0.89*IVA!AN11</f>
        <v>1415851.16</v>
      </c>
      <c r="BP11" s="132">
        <f>0.89*IVA!AO11</f>
        <v>1528358.73</v>
      </c>
      <c r="BQ11" s="132">
        <f>0.89*IVA!AP11</f>
        <v>1368535.2</v>
      </c>
      <c r="BR11" s="173">
        <f>0.89*IVA!AQ11</f>
        <v>4590321.8499999996</v>
      </c>
      <c r="BS11" s="173">
        <f>0.89*IVA!AR11</f>
        <v>4513699.97</v>
      </c>
      <c r="BT11" s="173">
        <f>0.89*IVA!AS11</f>
        <v>4690947.03</v>
      </c>
      <c r="BU11" s="174">
        <f>0.89*IVA!AT11</f>
        <v>4312745.09</v>
      </c>
      <c r="BV11" s="135">
        <f>0.89*IVA!AU11</f>
        <v>18107713.940000001</v>
      </c>
      <c r="BW11" s="136">
        <f>IVA!BR11/IVA!CJ7</f>
        <v>1.623375624195442E-2</v>
      </c>
      <c r="BX11" s="137">
        <f>IVA!BS11/IVA!CK7</f>
        <v>1.4461002868528411E-2</v>
      </c>
      <c r="BY11" s="136">
        <f>IVA!BT11/IVA!CL7</f>
        <v>1.5356250389680068E-2</v>
      </c>
      <c r="BZ11" s="136">
        <f>IVA!BU11/IVA!CM7</f>
        <v>1.4598427286133867E-2</v>
      </c>
      <c r="CA11" s="138">
        <f>IVA!BV11/IVA!CN7</f>
        <v>6.0571377704074419E-2</v>
      </c>
      <c r="CH11" s="13"/>
      <c r="CI11" s="53">
        <v>2002</v>
      </c>
      <c r="CJ11" s="54">
        <f>IVA!AQ267*1000</f>
        <v>237057000</v>
      </c>
      <c r="CK11" s="54">
        <f>IVA!AR267*1000</f>
        <v>339008201.67956102</v>
      </c>
      <c r="CL11" s="54">
        <f>IVA!AS267*1000</f>
        <v>334006230.84900904</v>
      </c>
      <c r="CM11" s="54">
        <f>IVA!AT267*1000</f>
        <v>340249423.02398199</v>
      </c>
      <c r="CN11" s="55">
        <f>IVA!AU267*1000</f>
        <v>312580143.860367</v>
      </c>
      <c r="CO11" s="63"/>
      <c r="CP11" s="63"/>
      <c r="CQ11" s="13"/>
      <c r="CU11" s="157"/>
      <c r="CV11" s="160"/>
      <c r="CW11" s="159"/>
      <c r="CX11" s="160" t="s">
        <v>110</v>
      </c>
      <c r="CY11" s="161" t="s">
        <v>111</v>
      </c>
      <c r="CZ11" s="161" t="s">
        <v>112</v>
      </c>
      <c r="DA11" s="161" t="s">
        <v>113</v>
      </c>
      <c r="DB11" s="161"/>
      <c r="DC11" s="157" t="s">
        <v>114</v>
      </c>
      <c r="DD11" s="162" t="s">
        <v>115</v>
      </c>
      <c r="DE11" s="162" t="s">
        <v>116</v>
      </c>
      <c r="DF11" s="162"/>
      <c r="DG11" s="163"/>
      <c r="DH11" s="160"/>
      <c r="DI11" s="97">
        <v>2010</v>
      </c>
      <c r="DJ11" s="97" t="s">
        <v>84</v>
      </c>
      <c r="DK11" s="145">
        <v>106352500</v>
      </c>
      <c r="DL11" s="146"/>
      <c r="DM11" s="147" t="s">
        <v>74</v>
      </c>
      <c r="DN11" s="148">
        <v>1996</v>
      </c>
      <c r="DO11" s="149">
        <v>16400</v>
      </c>
      <c r="DP11" s="149">
        <v>780500</v>
      </c>
      <c r="DQ11" s="149">
        <v>0</v>
      </c>
      <c r="DR11" s="149">
        <v>14647000</v>
      </c>
      <c r="DS11" s="149">
        <v>15443900</v>
      </c>
      <c r="DT11" s="149">
        <v>0</v>
      </c>
      <c r="DU11" s="149">
        <v>0</v>
      </c>
      <c r="DV11" s="149">
        <v>15443900</v>
      </c>
      <c r="DW11" s="150"/>
      <c r="DX11" s="151"/>
      <c r="DY11" s="175" t="s">
        <v>117</v>
      </c>
      <c r="EA11" s="176" t="s">
        <v>32</v>
      </c>
      <c r="EB11" s="176" t="s">
        <v>118</v>
      </c>
      <c r="EC11" s="176" t="s">
        <v>119</v>
      </c>
      <c r="ED11" s="176" t="s">
        <v>118</v>
      </c>
      <c r="EE11" s="176" t="s">
        <v>120</v>
      </c>
      <c r="EF11" s="176" t="s">
        <v>121</v>
      </c>
      <c r="EG11" s="177" t="s">
        <v>122</v>
      </c>
      <c r="EH11" s="178" t="s">
        <v>118</v>
      </c>
      <c r="EI11" s="30"/>
      <c r="EJ11" s="31">
        <v>1959</v>
      </c>
      <c r="EK11" s="32">
        <v>1405.778</v>
      </c>
      <c r="EL11" s="33">
        <v>1091.627</v>
      </c>
      <c r="EN11" s="120" t="s">
        <v>123</v>
      </c>
      <c r="EO11" s="171" t="s">
        <v>124</v>
      </c>
      <c r="EP11" s="120" t="s">
        <v>125</v>
      </c>
      <c r="EQ11" s="120" t="s">
        <v>126</v>
      </c>
      <c r="ER11" s="172">
        <v>22.314</v>
      </c>
      <c r="EU11" s="120" t="s">
        <v>103</v>
      </c>
      <c r="EV11" s="179">
        <v>150</v>
      </c>
      <c r="EW11" s="120" t="s">
        <v>127</v>
      </c>
      <c r="EX11" s="120" t="s">
        <v>128</v>
      </c>
      <c r="EY11" s="120" t="s">
        <v>129</v>
      </c>
      <c r="FA11" s="180">
        <f>IVA!EY11*IVA!EO10*12/1000</f>
        <v>7918742.0560799995</v>
      </c>
      <c r="FB11" s="34">
        <f>IVA!FA11/IVA!CM4</f>
        <v>3.0080653160119812E-2</v>
      </c>
      <c r="FC11" s="34"/>
    </row>
    <row r="12" spans="27:159" ht="12.75" customHeight="1">
      <c r="AA12" s="121">
        <v>1999</v>
      </c>
      <c r="AB12" s="121" t="s">
        <v>79</v>
      </c>
      <c r="AC12" s="122"/>
      <c r="AD12" s="123"/>
      <c r="AE12" s="124">
        <v>1629627</v>
      </c>
      <c r="AF12" s="124">
        <v>1465821</v>
      </c>
      <c r="AG12" s="124">
        <v>1631707</v>
      </c>
      <c r="AH12" s="124">
        <v>1468978</v>
      </c>
      <c r="AI12" s="124">
        <v>1389274</v>
      </c>
      <c r="AJ12" s="124">
        <v>1552426</v>
      </c>
      <c r="AK12" s="124">
        <v>1409236</v>
      </c>
      <c r="AL12" s="124">
        <v>1553644</v>
      </c>
      <c r="AM12" s="124">
        <v>1602550</v>
      </c>
      <c r="AN12" s="124">
        <v>1508164</v>
      </c>
      <c r="AO12" s="124">
        <v>1559006</v>
      </c>
      <c r="AP12" s="124">
        <v>1426494</v>
      </c>
      <c r="AQ12" s="153">
        <f>IVA!AE12+IVA!AF12+IVA!AG12</f>
        <v>4727155</v>
      </c>
      <c r="AR12" s="153">
        <f>IVA!AH12+IVA!AI12+IVA!AJ12</f>
        <v>4410678</v>
      </c>
      <c r="AS12" s="153">
        <f>IVA!AK12+IVA!AL12+IVA!AM12</f>
        <v>4565430</v>
      </c>
      <c r="AT12" s="153">
        <f>IVA!AN12+IVA!AO12+IVA!AP12</f>
        <v>4493664</v>
      </c>
      <c r="AU12" s="127">
        <f>IVA!AQ12+IVA!AR12+IVA!AS12+IVA!AT12</f>
        <v>18196927</v>
      </c>
      <c r="AV12" s="128">
        <f>IVA!AQ12/IVA!CJ8</f>
        <v>1.7459740864130956E-2</v>
      </c>
      <c r="AW12" s="128">
        <f>IVA!AR12/IVA!CK8</f>
        <v>1.527085205822723E-2</v>
      </c>
      <c r="AX12" s="128">
        <f>IVA!AS12/IVA!CL8</f>
        <v>1.6014162895699763E-2</v>
      </c>
      <c r="AY12" s="128">
        <f>IVA!AT12/IVA!CM8</f>
        <v>1.5525972363858423E-2</v>
      </c>
      <c r="AZ12" s="129">
        <f>IVA!AU12/IVA!CN8</f>
        <v>6.4181478966026786E-2</v>
      </c>
      <c r="BA12" s="130">
        <v>1999</v>
      </c>
      <c r="BB12" s="131" t="s">
        <v>80</v>
      </c>
      <c r="BC12" s="131"/>
      <c r="BD12" s="131"/>
      <c r="BE12" s="131"/>
      <c r="BF12" s="132">
        <f>0.89*IVA!AE12</f>
        <v>1450368.03</v>
      </c>
      <c r="BG12" s="132">
        <f>0.89*IVA!AF12</f>
        <v>1304580.69</v>
      </c>
      <c r="BH12" s="132">
        <f>0.89*IVA!AG12</f>
        <v>1452219.23</v>
      </c>
      <c r="BI12" s="132">
        <f>0.89*IVA!AH12</f>
        <v>1307390.42</v>
      </c>
      <c r="BJ12" s="132">
        <f>0.89*IVA!AI12</f>
        <v>1236453.8600000001</v>
      </c>
      <c r="BK12" s="132">
        <f>0.89*IVA!AJ12</f>
        <v>1381659.1400000001</v>
      </c>
      <c r="BL12" s="132">
        <f>0.89*IVA!AK12</f>
        <v>1254220.04</v>
      </c>
      <c r="BM12" s="132">
        <f>0.89*IVA!AL12</f>
        <v>1382743.16</v>
      </c>
      <c r="BN12" s="132">
        <f>0.89*IVA!AM12</f>
        <v>1426269.5</v>
      </c>
      <c r="BO12" s="132">
        <f>0.89*IVA!AN12</f>
        <v>1342265.96</v>
      </c>
      <c r="BP12" s="132">
        <f>0.89*IVA!AO12</f>
        <v>1387515.34</v>
      </c>
      <c r="BQ12" s="132">
        <f>0.89*IVA!AP12</f>
        <v>1269579.6599999999</v>
      </c>
      <c r="BR12" s="173">
        <f>0.89*IVA!AQ12</f>
        <v>4207167.95</v>
      </c>
      <c r="BS12" s="173">
        <f>0.89*IVA!AR12</f>
        <v>3925503.42</v>
      </c>
      <c r="BT12" s="173">
        <f>0.89*IVA!AS12</f>
        <v>4063232.7</v>
      </c>
      <c r="BU12" s="174">
        <f>0.89*IVA!AT12</f>
        <v>3999360.96</v>
      </c>
      <c r="BV12" s="135">
        <f>0.89*IVA!AU12</f>
        <v>16195265.029999999</v>
      </c>
      <c r="BW12" s="136">
        <f>IVA!BR12/IVA!CJ8</f>
        <v>1.5539169369076553E-2</v>
      </c>
      <c r="BX12" s="137">
        <f>IVA!BS12/IVA!CK8</f>
        <v>1.3591058331822234E-2</v>
      </c>
      <c r="BY12" s="136">
        <f>IVA!BT12/IVA!CL8</f>
        <v>1.4252604977172791E-2</v>
      </c>
      <c r="BZ12" s="136">
        <f>IVA!BU12/IVA!CM8</f>
        <v>1.3818115403833996E-2</v>
      </c>
      <c r="CA12" s="138">
        <f>IVA!BV12/IVA!CN8</f>
        <v>5.7121516279763841E-2</v>
      </c>
      <c r="CH12" s="13"/>
      <c r="CI12" s="53">
        <v>2003</v>
      </c>
      <c r="CJ12" s="54">
        <f>IVA!AQ268*1000</f>
        <v>327362000</v>
      </c>
      <c r="CK12" s="54">
        <f>IVA!AR268*1000</f>
        <v>399118836.68133497</v>
      </c>
      <c r="CL12" s="54">
        <f>IVA!AS268*1000</f>
        <v>377887242.82742798</v>
      </c>
      <c r="CM12" s="54">
        <f>IVA!AT268*1000</f>
        <v>399269599.01787704</v>
      </c>
      <c r="CN12" s="55">
        <f>IVA!AU268*1000</f>
        <v>375909361.396649</v>
      </c>
      <c r="CO12" s="63"/>
      <c r="CP12" s="63"/>
      <c r="CQ12" s="13"/>
      <c r="CU12" s="181" t="s">
        <v>130</v>
      </c>
      <c r="CV12" s="182" t="s">
        <v>131</v>
      </c>
      <c r="CW12" s="183" t="s">
        <v>132</v>
      </c>
      <c r="CX12" s="104"/>
      <c r="CY12" s="184" t="s">
        <v>133</v>
      </c>
      <c r="CZ12" s="184"/>
      <c r="DA12" s="184"/>
      <c r="DB12" s="184"/>
      <c r="DC12" s="185" t="s">
        <v>112</v>
      </c>
      <c r="DD12" s="182"/>
      <c r="DE12" s="182"/>
      <c r="DF12" s="182"/>
      <c r="DG12" s="186"/>
      <c r="DH12" s="160"/>
      <c r="DI12" s="113"/>
      <c r="DJ12" s="114" t="s">
        <v>102</v>
      </c>
      <c r="DK12" s="164">
        <v>106003600</v>
      </c>
      <c r="DL12" s="146"/>
      <c r="DM12" s="115" t="s">
        <v>74</v>
      </c>
      <c r="DN12" s="116">
        <v>1997</v>
      </c>
      <c r="DO12" s="117">
        <v>69500</v>
      </c>
      <c r="DP12" s="117">
        <v>884000</v>
      </c>
      <c r="DQ12" s="117">
        <v>0</v>
      </c>
      <c r="DR12" s="117">
        <v>14253100</v>
      </c>
      <c r="DS12" s="117">
        <v>15206600</v>
      </c>
      <c r="DT12" s="117">
        <v>1992700</v>
      </c>
      <c r="DU12" s="117">
        <v>0</v>
      </c>
      <c r="DV12" s="117">
        <v>17199300</v>
      </c>
      <c r="DW12" s="118"/>
      <c r="DX12" s="119"/>
      <c r="DY12" s="187" t="s">
        <v>134</v>
      </c>
      <c r="EA12" s="176"/>
      <c r="EB12" s="177" t="s">
        <v>135</v>
      </c>
      <c r="EC12" s="188"/>
      <c r="ED12" s="177" t="s">
        <v>136</v>
      </c>
      <c r="EE12" s="189"/>
      <c r="EF12" s="189"/>
      <c r="EG12" s="188"/>
      <c r="EH12" s="178" t="s">
        <v>137</v>
      </c>
      <c r="EI12" s="30"/>
      <c r="EJ12" s="31">
        <v>1960</v>
      </c>
      <c r="EK12" s="32">
        <v>1465.4949999999999</v>
      </c>
      <c r="EL12" s="33">
        <v>1138.2270000000001</v>
      </c>
      <c r="EN12" s="120" t="s">
        <v>138</v>
      </c>
      <c r="EO12" s="171" t="s">
        <v>139</v>
      </c>
      <c r="EP12" s="120" t="s">
        <v>140</v>
      </c>
      <c r="EQ12" s="120" t="s">
        <v>141</v>
      </c>
      <c r="ER12" s="172">
        <v>117.458</v>
      </c>
      <c r="EU12" s="120" t="s">
        <v>123</v>
      </c>
      <c r="EV12" s="179">
        <v>150</v>
      </c>
      <c r="EW12" s="120" t="s">
        <v>142</v>
      </c>
      <c r="EX12" s="120" t="s">
        <v>143</v>
      </c>
      <c r="EY12" s="120" t="s">
        <v>144</v>
      </c>
      <c r="FA12" s="180">
        <f>IVA!EY12*IVA!EO11*12/1000</f>
        <v>8940623.6253600009</v>
      </c>
      <c r="FB12" s="34">
        <f>IVA!FA12/IVA!CM5</f>
        <v>3.1622528771754907E-2</v>
      </c>
      <c r="FC12" s="34"/>
    </row>
    <row r="13" spans="27:159" ht="12.75" customHeight="1">
      <c r="AA13" s="121">
        <v>2000</v>
      </c>
      <c r="AB13" s="121" t="s">
        <v>79</v>
      </c>
      <c r="AC13" s="122"/>
      <c r="AD13" s="123"/>
      <c r="AE13" s="190">
        <v>1650628.2398900001</v>
      </c>
      <c r="AF13" s="190">
        <v>1378905.3745599999</v>
      </c>
      <c r="AG13" s="190">
        <v>1615341.4624600001</v>
      </c>
      <c r="AH13" s="190">
        <v>1559602.8523200001</v>
      </c>
      <c r="AI13" s="190">
        <v>1547778.1503399999</v>
      </c>
      <c r="AJ13" s="190">
        <v>1709946.85396</v>
      </c>
      <c r="AK13" s="190">
        <v>1630323.8277</v>
      </c>
      <c r="AL13" s="190">
        <v>1640054.8654</v>
      </c>
      <c r="AM13" s="190">
        <v>1666929.4890999999</v>
      </c>
      <c r="AN13" s="190">
        <v>1508372.8452000001</v>
      </c>
      <c r="AO13" s="190">
        <v>1557909.5529</v>
      </c>
      <c r="AP13" s="190">
        <v>1542749.92184</v>
      </c>
      <c r="AQ13" s="126">
        <f>IVA!AE13+IVA!AF13+IVA!AG13</f>
        <v>4644875.0769100003</v>
      </c>
      <c r="AR13" s="126">
        <f>IVA!AH13+IVA!AI13+IVA!AJ13</f>
        <v>4817327.8566199997</v>
      </c>
      <c r="AS13" s="126">
        <f>IVA!AK13+IVA!AL13+IVA!AM13</f>
        <v>4937308.1821999997</v>
      </c>
      <c r="AT13" s="126">
        <f>IVA!AN13+IVA!AO13+IVA!AP13</f>
        <v>4609032.3199399998</v>
      </c>
      <c r="AU13" s="127">
        <f>IVA!AQ13+IVA!AR13+IVA!AS13+IVA!AT13</f>
        <v>19008543.43567</v>
      </c>
      <c r="AV13" s="128">
        <f>IVA!AQ13/IVA!CJ9</f>
        <v>1.7174997696047981E-2</v>
      </c>
      <c r="AW13" s="128">
        <f>IVA!AR13/IVA!CK9</f>
        <v>1.650923173452291E-2</v>
      </c>
      <c r="AX13" s="128">
        <f>IVA!AS13/IVA!CL9</f>
        <v>1.7173506148095777E-2</v>
      </c>
      <c r="AY13" s="128">
        <f>IVA!AT13/IVA!CM9</f>
        <v>1.6054926071108561E-2</v>
      </c>
      <c r="AZ13" s="129">
        <f>IVA!AU13/IVA!CN9</f>
        <v>6.6883509279330691E-2</v>
      </c>
      <c r="BA13" s="130">
        <v>2000</v>
      </c>
      <c r="BB13" s="131" t="s">
        <v>80</v>
      </c>
      <c r="BC13" s="131"/>
      <c r="BD13" s="131"/>
      <c r="BE13" s="131"/>
      <c r="BF13" s="132">
        <f>0.89*IVA!AE13</f>
        <v>1469059.1335021001</v>
      </c>
      <c r="BG13" s="132">
        <f>0.89*IVA!AF13</f>
        <v>1227225.7833584</v>
      </c>
      <c r="BH13" s="132">
        <f>0.89*IVA!AG13</f>
        <v>1437653.9015894001</v>
      </c>
      <c r="BI13" s="132">
        <f>0.89*IVA!AH13</f>
        <v>1388046.5385648001</v>
      </c>
      <c r="BJ13" s="132">
        <f>0.89*IVA!AI13</f>
        <v>1377522.5538025999</v>
      </c>
      <c r="BK13" s="132">
        <f>0.89*IVA!AJ13</f>
        <v>1521852.7000243999</v>
      </c>
      <c r="BL13" s="132">
        <f>0.89*IVA!AK13</f>
        <v>1450988.2066530001</v>
      </c>
      <c r="BM13" s="132">
        <f>0.89*IVA!AL13</f>
        <v>1459648.830206</v>
      </c>
      <c r="BN13" s="132">
        <f>0.89*IVA!AM13</f>
        <v>1483567.2452989998</v>
      </c>
      <c r="BO13" s="132">
        <f>0.89*IVA!AN13</f>
        <v>1342451.832228</v>
      </c>
      <c r="BP13" s="132">
        <f>0.89*IVA!AO13</f>
        <v>1386539.502081</v>
      </c>
      <c r="BQ13" s="132">
        <f>0.89*IVA!AP13</f>
        <v>1373047.4304376</v>
      </c>
      <c r="BR13" s="173">
        <f>0.89*IVA!AQ13</f>
        <v>4133938.8184499005</v>
      </c>
      <c r="BS13" s="173">
        <f>0.89*IVA!AR13</f>
        <v>4287421.7923917994</v>
      </c>
      <c r="BT13" s="173">
        <f>0.89*IVA!AS13</f>
        <v>4394204.2821579995</v>
      </c>
      <c r="BU13" s="174">
        <f>0.89*IVA!AT13</f>
        <v>4102038.7647465998</v>
      </c>
      <c r="BV13" s="135">
        <f>0.89*IVA!AU13</f>
        <v>16917603.6577463</v>
      </c>
      <c r="BW13" s="136">
        <f>IVA!BR13/IVA!CJ9</f>
        <v>1.5285747949482705E-2</v>
      </c>
      <c r="BX13" s="137">
        <f>IVA!BS13/IVA!CK9</f>
        <v>1.4693216243725391E-2</v>
      </c>
      <c r="BY13" s="136">
        <f>IVA!BT13/IVA!CL9</f>
        <v>1.5284420471805239E-2</v>
      </c>
      <c r="BZ13" s="136">
        <f>IVA!BU13/IVA!CM9</f>
        <v>1.4288884203286618E-2</v>
      </c>
      <c r="CA13" s="138">
        <f>IVA!BV13/IVA!CN9</f>
        <v>5.9526323258604318E-2</v>
      </c>
      <c r="CH13" s="13"/>
      <c r="CI13" s="53">
        <v>2004</v>
      </c>
      <c r="CJ13" s="54">
        <f>IVA!AQ269*1000</f>
        <v>392817000</v>
      </c>
      <c r="CK13" s="54">
        <f>IVA!AR269*1000</f>
        <v>474213080.06317198</v>
      </c>
      <c r="CL13" s="54">
        <f>IVA!AS269*1000</f>
        <v>452079663.84084696</v>
      </c>
      <c r="CM13" s="54">
        <f>IVA!AT269*1000</f>
        <v>471463528.66644299</v>
      </c>
      <c r="CN13" s="55">
        <f>IVA!AU269*1000</f>
        <v>447643425.64184099</v>
      </c>
      <c r="CO13" s="63"/>
      <c r="CP13" s="63"/>
      <c r="CQ13" s="13"/>
      <c r="CU13" s="191"/>
      <c r="CV13" s="162"/>
      <c r="CW13" s="159"/>
      <c r="CX13" s="160"/>
      <c r="CY13" s="162"/>
      <c r="CZ13" s="162"/>
      <c r="DA13" s="162"/>
      <c r="DB13" s="162"/>
      <c r="DC13" s="157"/>
      <c r="DD13" s="162"/>
      <c r="DE13" s="162"/>
      <c r="DF13" s="162"/>
      <c r="DG13" s="163"/>
      <c r="DH13" s="160"/>
      <c r="DI13" s="97">
        <v>2009</v>
      </c>
      <c r="DJ13" s="97" t="s">
        <v>84</v>
      </c>
      <c r="DK13" s="145">
        <v>85429500</v>
      </c>
      <c r="DL13" s="146"/>
      <c r="DM13" s="147" t="s">
        <v>74</v>
      </c>
      <c r="DN13" s="148">
        <v>1998</v>
      </c>
      <c r="DO13" s="149">
        <v>46800</v>
      </c>
      <c r="DP13" s="149">
        <v>913500</v>
      </c>
      <c r="DQ13" s="149">
        <v>800</v>
      </c>
      <c r="DR13" s="149">
        <v>14543000</v>
      </c>
      <c r="DS13" s="149">
        <v>17480600</v>
      </c>
      <c r="DT13" s="149">
        <v>1976500</v>
      </c>
      <c r="DU13" s="149">
        <v>0</v>
      </c>
      <c r="DV13" s="149">
        <v>17480600</v>
      </c>
      <c r="DW13" s="150"/>
      <c r="DX13" s="151"/>
      <c r="DY13" s="187" t="s">
        <v>145</v>
      </c>
      <c r="EA13" s="192"/>
      <c r="EB13" s="192"/>
      <c r="EC13" s="192"/>
      <c r="ED13" s="192"/>
      <c r="EE13" s="192"/>
      <c r="EF13" s="192"/>
      <c r="EG13" s="193"/>
      <c r="EH13" s="194"/>
      <c r="EI13" s="170"/>
      <c r="EJ13" s="31">
        <v>1961</v>
      </c>
      <c r="EK13" s="32">
        <v>1523.5509999999999</v>
      </c>
      <c r="EL13" s="33">
        <v>1184.0129999999999</v>
      </c>
      <c r="EN13" s="120" t="s">
        <v>146</v>
      </c>
      <c r="EO13" s="171" t="s">
        <v>147</v>
      </c>
      <c r="EP13" s="120" t="s">
        <v>148</v>
      </c>
      <c r="EQ13" s="120" t="s">
        <v>149</v>
      </c>
      <c r="ER13" s="172">
        <v>62.408999999999999</v>
      </c>
      <c r="EU13" s="120" t="s">
        <v>138</v>
      </c>
      <c r="EV13" s="179">
        <v>150</v>
      </c>
      <c r="EW13" s="120" t="s">
        <v>150</v>
      </c>
      <c r="EX13" s="120" t="s">
        <v>151</v>
      </c>
      <c r="EY13" s="120" t="s">
        <v>152</v>
      </c>
      <c r="FA13" s="180">
        <f>IVA!EY13*IVA!EO12*12/1000</f>
        <v>12603455.93664</v>
      </c>
      <c r="FB13" s="34">
        <f>IVA!FA13/IVA!CM6</f>
        <v>4.1728113191893255E-2</v>
      </c>
      <c r="FC13" s="34"/>
    </row>
    <row r="14" spans="27:159" ht="12.75" customHeight="1">
      <c r="AA14" s="121">
        <v>2001</v>
      </c>
      <c r="AB14" s="121" t="s">
        <v>79</v>
      </c>
      <c r="AC14" s="122"/>
      <c r="AD14" s="123"/>
      <c r="AE14" s="190">
        <v>1630627.35194</v>
      </c>
      <c r="AF14" s="190">
        <v>1348256.0667999999</v>
      </c>
      <c r="AG14" s="190">
        <v>1423564.79709</v>
      </c>
      <c r="AH14" s="190">
        <v>1413483.5044199999</v>
      </c>
      <c r="AI14" s="190">
        <v>1382851.24556</v>
      </c>
      <c r="AJ14" s="190">
        <v>1393490.7076900001</v>
      </c>
      <c r="AK14" s="190">
        <v>1264755.5852699999</v>
      </c>
      <c r="AL14" s="190">
        <v>1356638.67408</v>
      </c>
      <c r="AM14" s="190">
        <v>1142905.2569200001</v>
      </c>
      <c r="AN14" s="190">
        <v>1079026.15787</v>
      </c>
      <c r="AO14" s="190">
        <v>1090223.8860500001</v>
      </c>
      <c r="AP14" s="190">
        <v>825183.50612999999</v>
      </c>
      <c r="AQ14" s="126">
        <f>IVA!AE14+IVA!AF14+IVA!AG14</f>
        <v>4402448.2158300001</v>
      </c>
      <c r="AR14" s="126">
        <f>IVA!AH14+IVA!AI14+IVA!AJ14</f>
        <v>4189825.4576699999</v>
      </c>
      <c r="AS14" s="126">
        <f>IVA!AK14+IVA!AL14+IVA!AM14</f>
        <v>3764299.51627</v>
      </c>
      <c r="AT14" s="126">
        <f>IVA!AN14+IVA!AO14+IVA!AP14</f>
        <v>2994433.5500500002</v>
      </c>
      <c r="AU14" s="127">
        <f>IVA!AQ14+IVA!AR14+IVA!AS14+IVA!AT14</f>
        <v>15351006.73982</v>
      </c>
      <c r="AV14" s="128">
        <f>IVA!AQ14/IVA!CJ10</f>
        <v>1.6718305918520797E-2</v>
      </c>
      <c r="AW14" s="128">
        <f>IVA!AR14/IVA!CK10</f>
        <v>1.4546688018878443E-2</v>
      </c>
      <c r="AX14" s="128">
        <f>IVA!AS14/IVA!CL10</f>
        <v>1.3871606960477408E-2</v>
      </c>
      <c r="AY14" s="128">
        <f>IVA!AT14/IVA!CM10</f>
        <v>1.1879705516056008E-2</v>
      </c>
      <c r="AZ14" s="129">
        <f>IVA!AU14/IVA!CN10</f>
        <v>5.713135380935061E-2</v>
      </c>
      <c r="BA14" s="130">
        <v>2001</v>
      </c>
      <c r="BB14" s="131" t="s">
        <v>80</v>
      </c>
      <c r="BC14" s="131"/>
      <c r="BD14" s="131"/>
      <c r="BE14" s="131"/>
      <c r="BF14" s="132">
        <f>0.89*IVA!AE14</f>
        <v>1451258.3432266</v>
      </c>
      <c r="BG14" s="132">
        <f>0.89*IVA!AF14</f>
        <v>1199947.8994519999</v>
      </c>
      <c r="BH14" s="132">
        <f>0.89*IVA!AG14</f>
        <v>1266972.6694101</v>
      </c>
      <c r="BI14" s="132">
        <f>0.89*IVA!AH14</f>
        <v>1258000.3189337999</v>
      </c>
      <c r="BJ14" s="132">
        <f>0.89*IVA!AI14</f>
        <v>1230737.6085484</v>
      </c>
      <c r="BK14" s="132">
        <f>0.89*IVA!AJ14</f>
        <v>1240206.7298441001</v>
      </c>
      <c r="BL14" s="132">
        <f>0.89*IVA!AK14</f>
        <v>1125632.4708902999</v>
      </c>
      <c r="BM14" s="132">
        <f>0.89*IVA!AL14</f>
        <v>1207408.4199312001</v>
      </c>
      <c r="BN14" s="132">
        <f>0.89*IVA!AM14</f>
        <v>1017185.6786588001</v>
      </c>
      <c r="BO14" s="132">
        <f>0.89*IVA!AN14</f>
        <v>960333.28050430003</v>
      </c>
      <c r="BP14" s="132">
        <f>0.89*IVA!AO14</f>
        <v>970299.25858450006</v>
      </c>
      <c r="BQ14" s="132">
        <f>0.89*IVA!AP14</f>
        <v>734413.32045570004</v>
      </c>
      <c r="BR14" s="173">
        <f>0.89*IVA!AQ14</f>
        <v>3918178.9120887001</v>
      </c>
      <c r="BS14" s="173">
        <f>0.89*IVA!AR14</f>
        <v>3728944.6573263002</v>
      </c>
      <c r="BT14" s="173">
        <f>0.89*IVA!AS14</f>
        <v>3350226.5694802999</v>
      </c>
      <c r="BU14" s="174">
        <f>0.89*IVA!AT14</f>
        <v>2665045.8595445002</v>
      </c>
      <c r="BV14" s="135">
        <f>0.89*IVA!AU14</f>
        <v>13662395.9984398</v>
      </c>
      <c r="BW14" s="136">
        <f>IVA!BR14/IVA!CJ10</f>
        <v>1.487929226748351E-2</v>
      </c>
      <c r="BX14" s="137">
        <f>IVA!BS14/IVA!CK10</f>
        <v>1.2946552336801814E-2</v>
      </c>
      <c r="BY14" s="136">
        <f>IVA!BT14/IVA!CL10</f>
        <v>1.2345730194824892E-2</v>
      </c>
      <c r="BZ14" s="136">
        <f>IVA!BU14/IVA!CM10</f>
        <v>1.0572937909289848E-2</v>
      </c>
      <c r="CA14" s="138">
        <f>IVA!BV14/IVA!CN10</f>
        <v>5.0846904890322044E-2</v>
      </c>
      <c r="CH14" s="13"/>
      <c r="CI14" s="53">
        <v>2005</v>
      </c>
      <c r="CJ14" s="54">
        <f>IVA!AQ270*1000</f>
        <v>456764000</v>
      </c>
      <c r="CK14" s="54">
        <f>IVA!AR270*1000</f>
        <v>552411829.67394102</v>
      </c>
      <c r="CL14" s="54">
        <f>IVA!AS270*1000</f>
        <v>544228166.86561406</v>
      </c>
      <c r="CM14" s="54">
        <f>IVA!AT270*1000</f>
        <v>574351154.07466006</v>
      </c>
      <c r="CN14" s="55">
        <f>IVA!AU270*1000</f>
        <v>531938722.29640502</v>
      </c>
      <c r="CO14" s="63"/>
      <c r="CP14" s="63"/>
      <c r="CQ14" s="13"/>
      <c r="CS14" s="195" t="s">
        <v>153</v>
      </c>
      <c r="CT14" s="195" t="s">
        <v>154</v>
      </c>
      <c r="CU14" s="196"/>
      <c r="CV14" s="197"/>
      <c r="CW14" s="198"/>
      <c r="CX14" s="146"/>
      <c r="CY14" s="197"/>
      <c r="CZ14" s="197"/>
      <c r="DA14" s="197"/>
      <c r="DB14" s="197"/>
      <c r="DC14" s="199"/>
      <c r="DD14" s="197"/>
      <c r="DE14" s="197"/>
      <c r="DF14" s="197"/>
      <c r="DG14" s="200"/>
      <c r="DH14" s="146"/>
      <c r="DI14" s="113"/>
      <c r="DJ14" s="114" t="s">
        <v>102</v>
      </c>
      <c r="DK14" s="164">
        <v>83091700</v>
      </c>
      <c r="DL14" s="146"/>
      <c r="DM14" s="115" t="s">
        <v>74</v>
      </c>
      <c r="DN14" s="116">
        <v>1999</v>
      </c>
      <c r="DO14" s="117">
        <v>44300</v>
      </c>
      <c r="DP14" s="117">
        <v>957600</v>
      </c>
      <c r="DQ14" s="117">
        <v>500</v>
      </c>
      <c r="DR14" s="117">
        <v>14414600</v>
      </c>
      <c r="DS14" s="117">
        <v>17436400</v>
      </c>
      <c r="DT14" s="117">
        <v>2019400</v>
      </c>
      <c r="DU14" s="117">
        <v>0</v>
      </c>
      <c r="DV14" s="117">
        <v>17436400</v>
      </c>
      <c r="DW14" s="118"/>
      <c r="DX14" s="119"/>
      <c r="DY14" s="201"/>
      <c r="DZ14" s="202"/>
      <c r="EA14" s="203"/>
      <c r="EB14" s="203"/>
      <c r="EC14" s="203"/>
      <c r="ED14" s="203"/>
      <c r="EE14" s="203"/>
      <c r="EF14" s="203"/>
      <c r="EG14" s="204"/>
      <c r="EH14" s="205"/>
      <c r="EI14" s="170"/>
      <c r="EJ14" s="31">
        <v>1962</v>
      </c>
      <c r="EK14" s="32">
        <v>1581.933</v>
      </c>
      <c r="EL14" s="33">
        <v>1229.748</v>
      </c>
      <c r="EN14" s="120" t="s">
        <v>155</v>
      </c>
      <c r="EO14" s="171" t="s">
        <v>156</v>
      </c>
      <c r="EP14" s="120" t="s">
        <v>157</v>
      </c>
      <c r="EQ14" s="120" t="s">
        <v>158</v>
      </c>
      <c r="ER14" s="172">
        <v>57.976999999999997</v>
      </c>
      <c r="EU14" s="120" t="s">
        <v>146</v>
      </c>
      <c r="EV14" s="179">
        <v>150</v>
      </c>
      <c r="EW14" s="120" t="s">
        <v>159</v>
      </c>
      <c r="EX14" s="120" t="s">
        <v>160</v>
      </c>
      <c r="EY14" s="120" t="s">
        <v>161</v>
      </c>
      <c r="FA14" s="180">
        <f>IVA!EY14*IVA!EO13*12/1000</f>
        <v>12525840.052200001</v>
      </c>
      <c r="FB14" s="34">
        <f>IVA!FA14/IVA!CM7</f>
        <v>4.2399344590010296E-2</v>
      </c>
      <c r="FC14" s="34"/>
    </row>
    <row r="15" spans="27:159" ht="12.75" customHeight="1">
      <c r="AA15" s="121">
        <v>2002</v>
      </c>
      <c r="AB15" s="121" t="s">
        <v>79</v>
      </c>
      <c r="AC15" s="122"/>
      <c r="AD15" s="123"/>
      <c r="AE15" s="190">
        <v>1008828.40513</v>
      </c>
      <c r="AF15" s="190">
        <v>1026745.64271</v>
      </c>
      <c r="AG15" s="190">
        <v>1036153.40374</v>
      </c>
      <c r="AH15" s="190">
        <v>898808.55325</v>
      </c>
      <c r="AI15" s="190">
        <v>1510907.3894</v>
      </c>
      <c r="AJ15" s="190">
        <v>1403144.87891</v>
      </c>
      <c r="AK15" s="190">
        <v>1412876.73591</v>
      </c>
      <c r="AL15" s="190">
        <v>1364219.37824</v>
      </c>
      <c r="AM15" s="190">
        <v>1340262.6817399999</v>
      </c>
      <c r="AN15" s="190">
        <v>1424096.2553300001</v>
      </c>
      <c r="AO15" s="190">
        <v>1501747.0615999999</v>
      </c>
      <c r="AP15" s="190">
        <v>1314383.8300600001</v>
      </c>
      <c r="AQ15" s="126">
        <f>IVA!AE15+IVA!AF15+IVA!AG15</f>
        <v>3071727.4515800001</v>
      </c>
      <c r="AR15" s="126">
        <f>IVA!AH15+IVA!AI15+IVA!AJ15</f>
        <v>3812860.8215600001</v>
      </c>
      <c r="AS15" s="126">
        <f>IVA!AK15+IVA!AL15+IVA!AM15</f>
        <v>4117358.7958899997</v>
      </c>
      <c r="AT15" s="126">
        <f>IVA!AN15+IVA!AO15+IVA!AP15</f>
        <v>4240227.1469899993</v>
      </c>
      <c r="AU15" s="127">
        <f>IVA!AQ15+IVA!AR15+IVA!AS15+IVA!AT15</f>
        <v>15242174.216019999</v>
      </c>
      <c r="AV15" s="128">
        <f>IVA!AQ15/IVA!CJ11</f>
        <v>1.2957758900095758E-2</v>
      </c>
      <c r="AW15" s="128">
        <f>IVA!AR15/IVA!CK11</f>
        <v>1.1247104945160031E-2</v>
      </c>
      <c r="AX15" s="128">
        <f>IVA!AS15/IVA!CL11</f>
        <v>1.2327191577905905E-2</v>
      </c>
      <c r="AY15" s="128">
        <f>IVA!AT15/IVA!CM11</f>
        <v>1.2462114143515045E-2</v>
      </c>
      <c r="AZ15" s="129">
        <f>IVA!AU15/IVA!CN11</f>
        <v>4.8762451855639453E-2</v>
      </c>
      <c r="BA15" s="130">
        <v>2002</v>
      </c>
      <c r="BB15" s="131" t="s">
        <v>80</v>
      </c>
      <c r="BC15" s="131"/>
      <c r="BD15" s="131"/>
      <c r="BE15" s="131"/>
      <c r="BF15" s="132">
        <f>0.89*IVA!AE15</f>
        <v>897857.28056570003</v>
      </c>
      <c r="BG15" s="132">
        <f>0.89*IVA!AF15</f>
        <v>913803.62201190006</v>
      </c>
      <c r="BH15" s="132">
        <f>0.89*IVA!AG15</f>
        <v>922176.52932860004</v>
      </c>
      <c r="BI15" s="132">
        <f>0.89*IVA!AH15</f>
        <v>799939.61239250004</v>
      </c>
      <c r="BJ15" s="132">
        <f>0.89*IVA!AI15</f>
        <v>1344707.576566</v>
      </c>
      <c r="BK15" s="132">
        <f>0.89*IVA!AJ15</f>
        <v>1248798.9422299</v>
      </c>
      <c r="BL15" s="132">
        <f>0.89*IVA!AK15</f>
        <v>1257460.2949599</v>
      </c>
      <c r="BM15" s="132">
        <f>0.89*IVA!AL15</f>
        <v>1214155.2466336</v>
      </c>
      <c r="BN15" s="132">
        <f>0.89*IVA!AM15</f>
        <v>1192833.7867486</v>
      </c>
      <c r="BO15" s="132">
        <f>0.89*IVA!AN15</f>
        <v>1267445.6672437</v>
      </c>
      <c r="BP15" s="132">
        <f>0.89*IVA!AO15</f>
        <v>1336554.8848239998</v>
      </c>
      <c r="BQ15" s="132">
        <f>0.89*IVA!AP15</f>
        <v>1169801.6087534002</v>
      </c>
      <c r="BR15" s="173">
        <f>0.89*IVA!AQ15</f>
        <v>2733837.4319062</v>
      </c>
      <c r="BS15" s="173">
        <f>0.89*IVA!AR15</f>
        <v>3393446.1311884001</v>
      </c>
      <c r="BT15" s="173">
        <f>0.89*IVA!AS15</f>
        <v>3664449.3283420997</v>
      </c>
      <c r="BU15" s="174">
        <f>0.89*IVA!AT15</f>
        <v>3773802.1608210993</v>
      </c>
      <c r="BV15" s="135">
        <f>0.89*IVA!AU15</f>
        <v>13565535.052257799</v>
      </c>
      <c r="BW15" s="136">
        <f>IVA!BR15/IVA!CJ11</f>
        <v>1.1532405421085225E-2</v>
      </c>
      <c r="BX15" s="137">
        <f>IVA!BS15/IVA!CK11</f>
        <v>1.0009923401192429E-2</v>
      </c>
      <c r="BY15" s="136">
        <f>IVA!BT15/IVA!CL11</f>
        <v>1.0971200504336255E-2</v>
      </c>
      <c r="BZ15" s="136">
        <f>IVA!BU15/IVA!CM11</f>
        <v>1.109128158772839E-2</v>
      </c>
      <c r="CA15" s="138">
        <f>IVA!BV15/IVA!CN11</f>
        <v>4.3398582151519108E-2</v>
      </c>
      <c r="CH15" s="13"/>
      <c r="CI15" s="53">
        <v>2006</v>
      </c>
      <c r="CJ15" s="54">
        <f>IVA!AQ271*1000</f>
        <v>567994000</v>
      </c>
      <c r="CK15" s="54">
        <f>IVA!AR271*1000</f>
        <v>678278475.2845391</v>
      </c>
      <c r="CL15" s="54">
        <f>IVA!AS271*1000</f>
        <v>668197229.16459394</v>
      </c>
      <c r="CM15" s="54">
        <f>IVA!AT271*1000</f>
        <v>703285920.83849895</v>
      </c>
      <c r="CN15" s="55">
        <f>IVA!AU271*1000</f>
        <v>654438985.24864709</v>
      </c>
      <c r="CO15" s="63"/>
      <c r="CP15" s="63"/>
      <c r="CQ15" s="13"/>
      <c r="CS15" s="97">
        <v>2012</v>
      </c>
      <c r="CT15" s="206" t="s">
        <v>162</v>
      </c>
      <c r="CU15" s="196">
        <v>4612575</v>
      </c>
      <c r="CV15" s="197">
        <v>2565357.142</v>
      </c>
      <c r="CW15" s="198">
        <v>7177932.142</v>
      </c>
      <c r="CX15" s="146">
        <v>0</v>
      </c>
      <c r="CY15" s="207">
        <v>201515996.20300001</v>
      </c>
      <c r="CZ15" s="197">
        <v>0</v>
      </c>
      <c r="DA15" s="197">
        <v>39398339.361000001</v>
      </c>
      <c r="DB15" s="197">
        <v>248092267.706</v>
      </c>
      <c r="DC15" s="199">
        <v>1510250.365</v>
      </c>
      <c r="DD15" s="197">
        <v>0</v>
      </c>
      <c r="DE15" s="197">
        <v>0</v>
      </c>
      <c r="DF15" s="197">
        <v>1510250.365</v>
      </c>
      <c r="DG15" s="200">
        <v>249602518.07100001</v>
      </c>
      <c r="DH15" s="146"/>
      <c r="DI15" s="97">
        <v>2008</v>
      </c>
      <c r="DJ15" s="97" t="s">
        <v>84</v>
      </c>
      <c r="DK15" s="145">
        <v>65053700</v>
      </c>
      <c r="DL15" s="146"/>
      <c r="DM15" s="147" t="s">
        <v>74</v>
      </c>
      <c r="DN15" s="148">
        <v>2000</v>
      </c>
      <c r="DO15" s="149">
        <v>55300</v>
      </c>
      <c r="DP15" s="149">
        <v>945900</v>
      </c>
      <c r="DQ15" s="149">
        <v>800</v>
      </c>
      <c r="DR15" s="149">
        <v>14421300</v>
      </c>
      <c r="DS15" s="149">
        <v>17431300</v>
      </c>
      <c r="DT15" s="149">
        <v>2008000</v>
      </c>
      <c r="DU15" s="149">
        <v>0</v>
      </c>
      <c r="DV15" s="149">
        <v>17431300</v>
      </c>
      <c r="DW15" s="150">
        <f>IVA!CY45/IVA!DV15</f>
        <v>0.91605904321536546</v>
      </c>
      <c r="DX15" s="151"/>
      <c r="DY15" s="175" t="s">
        <v>163</v>
      </c>
      <c r="DZ15" s="45"/>
      <c r="EA15" s="208">
        <v>1993</v>
      </c>
      <c r="EB15" s="209">
        <v>16840420000</v>
      </c>
      <c r="EC15" s="209">
        <v>72071431</v>
      </c>
      <c r="ED15" s="209">
        <v>16912491431</v>
      </c>
      <c r="EE15" s="209">
        <v>15622091315.48</v>
      </c>
      <c r="EF15" s="209">
        <v>15604520619.77</v>
      </c>
      <c r="EG15" s="210">
        <v>14398605300.4</v>
      </c>
      <c r="EH15" s="211">
        <v>1307970811.23</v>
      </c>
      <c r="EI15" s="212"/>
      <c r="EJ15" s="31">
        <v>1963</v>
      </c>
      <c r="EK15" s="32">
        <v>1641.3710000000001</v>
      </c>
      <c r="EL15" s="33">
        <v>1276.008</v>
      </c>
      <c r="EN15" s="120" t="s">
        <v>164</v>
      </c>
      <c r="EO15" s="171" t="s">
        <v>165</v>
      </c>
      <c r="EP15" s="120" t="s">
        <v>166</v>
      </c>
      <c r="EQ15" s="120" t="s">
        <v>167</v>
      </c>
      <c r="ER15" s="172">
        <v>55.082999999999998</v>
      </c>
      <c r="EU15" s="120" t="s">
        <v>155</v>
      </c>
      <c r="EV15" s="179">
        <v>150</v>
      </c>
      <c r="EW15" s="120" t="s">
        <v>168</v>
      </c>
      <c r="EX15" s="120" t="s">
        <v>169</v>
      </c>
      <c r="EY15" s="120" t="s">
        <v>170</v>
      </c>
      <c r="FA15" s="180">
        <f>IVA!EY15*IVA!EO14*12/1000</f>
        <v>13003299.756959999</v>
      </c>
      <c r="FB15" s="34">
        <f>IVA!FA15/IVA!CM8</f>
        <v>4.4927451777775976E-2</v>
      </c>
      <c r="FC15" s="34"/>
    </row>
    <row r="16" spans="27:159" ht="12.75" customHeight="1">
      <c r="AA16" s="121">
        <v>2003</v>
      </c>
      <c r="AB16" s="121" t="s">
        <v>79</v>
      </c>
      <c r="AC16" s="122"/>
      <c r="AD16" s="123"/>
      <c r="AE16" s="190">
        <v>1686352.5315700001</v>
      </c>
      <c r="AF16" s="190">
        <v>1354237.0430600001</v>
      </c>
      <c r="AG16" s="190">
        <v>1498919.97226</v>
      </c>
      <c r="AH16" s="190">
        <v>1695606.8880100001</v>
      </c>
      <c r="AI16" s="190">
        <v>1377491.92041</v>
      </c>
      <c r="AJ16" s="190">
        <v>1629306.28452</v>
      </c>
      <c r="AK16" s="190">
        <v>1830753.3754</v>
      </c>
      <c r="AL16" s="190">
        <v>1820276.9656400001</v>
      </c>
      <c r="AM16" s="190">
        <v>2049487.6617999999</v>
      </c>
      <c r="AN16" s="190">
        <v>1920791.05308</v>
      </c>
      <c r="AO16" s="190">
        <v>2003155.05115</v>
      </c>
      <c r="AP16" s="190">
        <v>2081194.027</v>
      </c>
      <c r="AQ16" s="126">
        <f>IVA!AE16+IVA!AF16+IVA!AG16</f>
        <v>4539509.5468899999</v>
      </c>
      <c r="AR16" s="126">
        <f>IVA!AH16+IVA!AI16+IVA!AJ16</f>
        <v>4702405.0929399999</v>
      </c>
      <c r="AS16" s="126">
        <f>IVA!AK16+IVA!AL16+IVA!AM16</f>
        <v>5700518.0028400002</v>
      </c>
      <c r="AT16" s="126">
        <f>IVA!AN16+IVA!AO16+IVA!AP16</f>
        <v>6005140.1312299995</v>
      </c>
      <c r="AU16" s="127">
        <f>IVA!AQ16+IVA!AR16+IVA!AS16+IVA!AT16</f>
        <v>20947572.773900002</v>
      </c>
      <c r="AV16" s="128">
        <f>IVA!AQ16/IVA!CJ12</f>
        <v>1.3866941022140627E-2</v>
      </c>
      <c r="AW16" s="128">
        <f>IVA!AR16/IVA!CK12</f>
        <v>1.1781967325923284E-2</v>
      </c>
      <c r="AX16" s="128">
        <f>IVA!AS16/IVA!CL12</f>
        <v>1.5085235373884504E-2</v>
      </c>
      <c r="AY16" s="128">
        <f>IVA!AT16/IVA!CM12</f>
        <v>1.5040313978328021E-2</v>
      </c>
      <c r="AZ16" s="129">
        <f>IVA!AU16/IVA!CN12</f>
        <v>5.5725062807884453E-2</v>
      </c>
      <c r="BA16" s="130">
        <v>2003</v>
      </c>
      <c r="BB16" s="131" t="s">
        <v>80</v>
      </c>
      <c r="BC16" s="131"/>
      <c r="BD16" s="131"/>
      <c r="BE16" s="131"/>
      <c r="BF16" s="132">
        <f>0.89*IVA!AE16</f>
        <v>1500853.7530973002</v>
      </c>
      <c r="BG16" s="132">
        <f>0.89*IVA!AF16</f>
        <v>1205270.9683234</v>
      </c>
      <c r="BH16" s="132">
        <f>0.89*IVA!AG16</f>
        <v>1334038.7753113999</v>
      </c>
      <c r="BI16" s="132">
        <f>0.89*IVA!AH16</f>
        <v>1509090.1303289002</v>
      </c>
      <c r="BJ16" s="132">
        <f>0.89*IVA!AI16</f>
        <v>1225967.8091649001</v>
      </c>
      <c r="BK16" s="132">
        <f>0.89*IVA!AJ16</f>
        <v>1450082.5932227999</v>
      </c>
      <c r="BL16" s="132">
        <f>0.89*IVA!AK16</f>
        <v>1629370.5041060001</v>
      </c>
      <c r="BM16" s="132">
        <f>0.89*IVA!AL16</f>
        <v>1620046.4994196</v>
      </c>
      <c r="BN16" s="132">
        <f>0.89*IVA!AM16</f>
        <v>1824044.0190019999</v>
      </c>
      <c r="BO16" s="132">
        <f>0.89*IVA!AN16</f>
        <v>1709504.0372412</v>
      </c>
      <c r="BP16" s="132">
        <f>0.89*IVA!AO16</f>
        <v>1782807.9955235</v>
      </c>
      <c r="BQ16" s="132">
        <f>0.89*IVA!AP16</f>
        <v>1852262.6840300001</v>
      </c>
      <c r="BR16" s="173">
        <f>0.89*IVA!AQ16</f>
        <v>4040163.4967320999</v>
      </c>
      <c r="BS16" s="173">
        <f>0.89*IVA!AR16</f>
        <v>4185140.5327165998</v>
      </c>
      <c r="BT16" s="173">
        <f>0.89*IVA!AS16</f>
        <v>5073461.0225276006</v>
      </c>
      <c r="BU16" s="174">
        <f>0.89*IVA!AT16</f>
        <v>5344574.7167946994</v>
      </c>
      <c r="BV16" s="135">
        <f>0.89*IVA!AU16</f>
        <v>18643339.768771004</v>
      </c>
      <c r="BW16" s="136">
        <f>IVA!BR16/IVA!CJ12</f>
        <v>1.2341577509705158E-2</v>
      </c>
      <c r="BX16" s="137">
        <f>IVA!BS16/IVA!CK12</f>
        <v>1.0485950920071721E-2</v>
      </c>
      <c r="BY16" s="136">
        <f>IVA!BT16/IVA!CL12</f>
        <v>1.3425859482757211E-2</v>
      </c>
      <c r="BZ16" s="136">
        <f>IVA!BU16/IVA!CM12</f>
        <v>1.3385879440711937E-2</v>
      </c>
      <c r="CA16" s="138">
        <f>IVA!BV16/IVA!CN12</f>
        <v>4.9595305899017172E-2</v>
      </c>
      <c r="CH16" s="13"/>
      <c r="CI16" s="53">
        <v>2007</v>
      </c>
      <c r="CJ16" s="54">
        <f>IVA!AQ272*1000</f>
        <v>681120000</v>
      </c>
      <c r="CK16" s="54">
        <f>IVA!AR272*1000</f>
        <v>835125270.31233501</v>
      </c>
      <c r="CL16" s="54">
        <f>IVA!AS272*1000</f>
        <v>827463000</v>
      </c>
      <c r="CM16" s="54">
        <f>IVA!AT272*1000</f>
        <v>906114923.56875503</v>
      </c>
      <c r="CN16" s="55">
        <f>IVA!AU272*1000</f>
        <v>812455828.265131</v>
      </c>
      <c r="CO16" s="63"/>
      <c r="CP16" s="63"/>
      <c r="CQ16" s="13"/>
      <c r="CS16" s="97"/>
      <c r="CT16" s="97" t="s">
        <v>171</v>
      </c>
      <c r="CU16" s="196">
        <v>4612575</v>
      </c>
      <c r="CV16" s="197">
        <v>2138494.2749999999</v>
      </c>
      <c r="CW16" s="198">
        <v>6751069.2750000004</v>
      </c>
      <c r="CX16" s="146">
        <v>0</v>
      </c>
      <c r="CY16" s="197">
        <v>0</v>
      </c>
      <c r="CZ16" s="197">
        <v>0</v>
      </c>
      <c r="DA16" s="197">
        <v>5580</v>
      </c>
      <c r="DB16" s="197">
        <v>6756649.2750000004</v>
      </c>
      <c r="DC16" s="199">
        <v>230361.26500000001</v>
      </c>
      <c r="DD16" s="197">
        <v>0</v>
      </c>
      <c r="DE16" s="197">
        <v>0</v>
      </c>
      <c r="DF16" s="197">
        <v>230361.26500000001</v>
      </c>
      <c r="DG16" s="200">
        <v>6987010.54</v>
      </c>
      <c r="DH16" s="146"/>
      <c r="DI16" s="113"/>
      <c r="DJ16" s="114" t="s">
        <v>102</v>
      </c>
      <c r="DK16" s="164">
        <v>64427500</v>
      </c>
      <c r="DL16" s="146"/>
      <c r="DM16" s="115" t="s">
        <v>74</v>
      </c>
      <c r="DN16" s="116">
        <v>2001</v>
      </c>
      <c r="DO16" s="117">
        <v>22000</v>
      </c>
      <c r="DP16" s="117">
        <v>911900</v>
      </c>
      <c r="DQ16" s="117">
        <v>0</v>
      </c>
      <c r="DR16" s="117">
        <v>13869000</v>
      </c>
      <c r="DS16" s="117">
        <v>16616900</v>
      </c>
      <c r="DT16" s="117">
        <v>1814000</v>
      </c>
      <c r="DU16" s="117">
        <v>0</v>
      </c>
      <c r="DV16" s="117">
        <v>16616900</v>
      </c>
      <c r="DW16" s="118">
        <f>IVA!CY44/IVA!DV16</f>
        <v>0.87110779194675303</v>
      </c>
      <c r="DX16" s="119"/>
      <c r="DY16" s="213" t="s">
        <v>172</v>
      </c>
      <c r="EA16" s="177"/>
      <c r="EB16" s="214">
        <v>42877000</v>
      </c>
      <c r="EC16" s="214">
        <v>2135084</v>
      </c>
      <c r="ED16" s="214">
        <v>45012084</v>
      </c>
      <c r="EE16" s="214">
        <v>37613860.490000002</v>
      </c>
      <c r="EF16" s="214">
        <v>37469848.280000001</v>
      </c>
      <c r="EG16" s="215">
        <v>32456500.109999999</v>
      </c>
      <c r="EH16" s="216">
        <v>7542235.7199999997</v>
      </c>
      <c r="EI16" s="217"/>
      <c r="EJ16" s="31">
        <v>1964</v>
      </c>
      <c r="EK16" s="32">
        <v>1702.79</v>
      </c>
      <c r="EL16" s="33">
        <v>1323.46</v>
      </c>
      <c r="EN16" s="120" t="s">
        <v>173</v>
      </c>
      <c r="EO16" s="171" t="s">
        <v>174</v>
      </c>
      <c r="EP16" s="120" t="s">
        <v>175</v>
      </c>
      <c r="EQ16" s="120" t="s">
        <v>176</v>
      </c>
      <c r="ER16" s="172">
        <v>51.472000000000001</v>
      </c>
      <c r="EU16" s="120" t="s">
        <v>164</v>
      </c>
      <c r="EV16" s="179">
        <v>150</v>
      </c>
      <c r="EW16" s="120" t="s">
        <v>177</v>
      </c>
      <c r="EX16" s="120" t="s">
        <v>178</v>
      </c>
      <c r="EY16" s="120" t="s">
        <v>179</v>
      </c>
      <c r="FA16" s="180">
        <f>IVA!EY16*IVA!EO15*12/1000</f>
        <v>12994456.912920002</v>
      </c>
      <c r="FB16" s="34">
        <f>IVA!FA16/IVA!CM9</f>
        <v>4.5264391869973275E-2</v>
      </c>
      <c r="FC16" s="34"/>
    </row>
    <row r="17" spans="27:159" ht="12.75" customHeight="1">
      <c r="AA17" s="121">
        <v>2004</v>
      </c>
      <c r="AB17" s="121" t="s">
        <v>79</v>
      </c>
      <c r="AC17" s="122"/>
      <c r="AD17" s="123"/>
      <c r="AE17" s="190">
        <v>2489722.31287</v>
      </c>
      <c r="AF17" s="190">
        <v>2153593.5105699999</v>
      </c>
      <c r="AG17" s="190">
        <v>2301886.2339400002</v>
      </c>
      <c r="AH17" s="190">
        <v>2298452.98281</v>
      </c>
      <c r="AI17" s="190">
        <v>2472163.5747799999</v>
      </c>
      <c r="AJ17" s="190">
        <v>2899443.9408</v>
      </c>
      <c r="AK17" s="190">
        <v>2818158.80534</v>
      </c>
      <c r="AL17" s="190">
        <v>2866469.8781400002</v>
      </c>
      <c r="AM17" s="190">
        <v>2758963.3826299999</v>
      </c>
      <c r="AN17" s="190">
        <v>2569655.20493</v>
      </c>
      <c r="AO17" s="190">
        <v>2686201.4932400002</v>
      </c>
      <c r="AP17" s="190">
        <v>2662237.8037</v>
      </c>
      <c r="AQ17" s="126">
        <f>IVA!AE17+IVA!AF17+IVA!AG17</f>
        <v>6945202.0573800001</v>
      </c>
      <c r="AR17" s="126">
        <f>IVA!AH17+IVA!AI17+IVA!AJ17</f>
        <v>7670060.4983900003</v>
      </c>
      <c r="AS17" s="126">
        <f>IVA!AK17+IVA!AL17+IVA!AM17</f>
        <v>8443592.06611</v>
      </c>
      <c r="AT17" s="126">
        <f>IVA!AN17+IVA!AO17+IVA!AP17</f>
        <v>7918094.5018700007</v>
      </c>
      <c r="AU17" s="127">
        <f>IVA!AQ17+IVA!AR17+IVA!AS17+IVA!AT17</f>
        <v>30976949.123750001</v>
      </c>
      <c r="AV17" s="128">
        <f>IVA!AQ17/IVA!CJ13</f>
        <v>1.7680502771977791E-2</v>
      </c>
      <c r="AW17" s="128">
        <f>IVA!AR17/IVA!CK13</f>
        <v>1.6174291306701703E-2</v>
      </c>
      <c r="AX17" s="128">
        <f>IVA!AS17/IVA!CL13</f>
        <v>1.8677221608186599E-2</v>
      </c>
      <c r="AY17" s="128">
        <f>IVA!AT17/IVA!CM13</f>
        <v>1.6794712677493225E-2</v>
      </c>
      <c r="AZ17" s="129">
        <f>IVA!AU17/IVA!CN13</f>
        <v>6.9200053768989397E-2</v>
      </c>
      <c r="BA17" s="130">
        <v>2004</v>
      </c>
      <c r="BB17" s="131" t="s">
        <v>80</v>
      </c>
      <c r="BC17" s="131"/>
      <c r="BD17" s="131"/>
      <c r="BE17" s="131"/>
      <c r="BF17" s="132">
        <f>0.89*IVA!AE17</f>
        <v>2215852.8584543001</v>
      </c>
      <c r="BG17" s="132">
        <f>0.89*IVA!AF17</f>
        <v>1916698.2244072999</v>
      </c>
      <c r="BH17" s="132">
        <f>0.89*IVA!AG17</f>
        <v>2048678.7482066001</v>
      </c>
      <c r="BI17" s="132">
        <f>0.89*IVA!AH17</f>
        <v>2045623.1547009</v>
      </c>
      <c r="BJ17" s="132">
        <f>0.89*IVA!AI17</f>
        <v>2200225.5815542</v>
      </c>
      <c r="BK17" s="132">
        <f>0.89*IVA!AJ17</f>
        <v>2580505.1073119999</v>
      </c>
      <c r="BL17" s="132">
        <f>0.89*IVA!AK17</f>
        <v>2508161.3367526</v>
      </c>
      <c r="BM17" s="132">
        <f>0.89*IVA!AL17</f>
        <v>2551158.1915446003</v>
      </c>
      <c r="BN17" s="132">
        <f>0.89*IVA!AM17</f>
        <v>2455477.4105407</v>
      </c>
      <c r="BO17" s="132">
        <f>0.89*IVA!AN17</f>
        <v>2286993.1323877</v>
      </c>
      <c r="BP17" s="132">
        <f>0.89*IVA!AO17</f>
        <v>2390719.3289836003</v>
      </c>
      <c r="BQ17" s="132">
        <f>0.89*IVA!AP17</f>
        <v>2369391.6452930002</v>
      </c>
      <c r="BR17" s="173">
        <f>0.89*IVA!AQ17</f>
        <v>6181229.8310682001</v>
      </c>
      <c r="BS17" s="173">
        <f>0.89*IVA!AR17</f>
        <v>6826353.8435671004</v>
      </c>
      <c r="BT17" s="173">
        <f>0.89*IVA!AS17</f>
        <v>7514796.9388378998</v>
      </c>
      <c r="BU17" s="174">
        <f>0.89*IVA!AT17</f>
        <v>7047104.1066643009</v>
      </c>
      <c r="BV17" s="135">
        <f>0.89*IVA!AU17</f>
        <v>27569484.720137503</v>
      </c>
      <c r="BW17" s="136">
        <f>IVA!BR17/IVA!CJ13</f>
        <v>1.5735647467060233E-2</v>
      </c>
      <c r="BX17" s="137">
        <f>IVA!BS17/IVA!CK13</f>
        <v>1.4395119262964514E-2</v>
      </c>
      <c r="BY17" s="136">
        <f>IVA!BT17/IVA!CL13</f>
        <v>1.662272723128607E-2</v>
      </c>
      <c r="BZ17" s="136">
        <f>IVA!BU17/IVA!CM13</f>
        <v>1.4947294282968971E-2</v>
      </c>
      <c r="CA17" s="138">
        <f>IVA!BV17/IVA!CN13</f>
        <v>6.1588047854400564E-2</v>
      </c>
      <c r="CH17" s="13"/>
      <c r="CI17" s="53">
        <v>2008</v>
      </c>
      <c r="CJ17" s="54">
        <f>IVA!AQ273*1000</f>
        <v>887643000</v>
      </c>
      <c r="CK17" s="54">
        <f>IVA!AR273*1000</f>
        <v>1107942840.35203</v>
      </c>
      <c r="CL17" s="54">
        <f>IVA!AS273*1000</f>
        <v>1057550793.49456</v>
      </c>
      <c r="CM17" s="54">
        <f>IVA!AT273*1000</f>
        <v>1077896389.1833799</v>
      </c>
      <c r="CN17" s="55">
        <f>IVA!AU273*1000</f>
        <v>1032758000</v>
      </c>
      <c r="CO17" s="63"/>
      <c r="CP17" s="63">
        <f>IVA!CP18/IVA!CN21</f>
        <v>0.21638069038716162</v>
      </c>
      <c r="CQ17" s="13"/>
      <c r="CS17" s="218"/>
      <c r="CT17" s="97" t="s">
        <v>180</v>
      </c>
      <c r="CU17" s="196">
        <v>0</v>
      </c>
      <c r="CV17" s="197">
        <v>0</v>
      </c>
      <c r="CW17" s="198">
        <v>0</v>
      </c>
      <c r="CX17" s="146">
        <v>0</v>
      </c>
      <c r="CY17" s="197">
        <v>188914235.97600001</v>
      </c>
      <c r="CZ17" s="197">
        <v>0</v>
      </c>
      <c r="DA17" s="197">
        <v>0</v>
      </c>
      <c r="DB17" s="197">
        <v>188914235.97600001</v>
      </c>
      <c r="DC17" s="199">
        <v>0</v>
      </c>
      <c r="DD17" s="197">
        <v>0</v>
      </c>
      <c r="DE17" s="197">
        <v>0</v>
      </c>
      <c r="DF17" s="197">
        <v>0</v>
      </c>
      <c r="DG17" s="200">
        <v>188914235.97600001</v>
      </c>
      <c r="DH17" s="146"/>
      <c r="DI17" s="97">
        <v>2007</v>
      </c>
      <c r="DJ17" s="97" t="s">
        <v>84</v>
      </c>
      <c r="DK17" s="145">
        <v>50961400</v>
      </c>
      <c r="DL17" s="146"/>
      <c r="DM17" s="147" t="s">
        <v>74</v>
      </c>
      <c r="DN17" s="148">
        <v>2002</v>
      </c>
      <c r="DO17" s="149">
        <v>13200</v>
      </c>
      <c r="DP17" s="149">
        <v>927600</v>
      </c>
      <c r="DQ17" s="149">
        <v>600</v>
      </c>
      <c r="DR17" s="149">
        <v>13847400</v>
      </c>
      <c r="DS17" s="149">
        <v>16535400</v>
      </c>
      <c r="DT17" s="149">
        <v>1746600</v>
      </c>
      <c r="DU17" s="149">
        <v>0</v>
      </c>
      <c r="DV17" s="149">
        <v>16535400</v>
      </c>
      <c r="DW17" s="150">
        <f>IVA!CY43/IVA!DV17</f>
        <v>0.87150598110720034</v>
      </c>
      <c r="DX17" s="151"/>
      <c r="DY17" s="213" t="s">
        <v>181</v>
      </c>
      <c r="EA17" s="193"/>
      <c r="EB17" s="214">
        <v>1593000</v>
      </c>
      <c r="EC17" s="214">
        <v>27500</v>
      </c>
      <c r="ED17" s="214">
        <v>1620500</v>
      </c>
      <c r="EE17" s="214">
        <v>1128185.1100000001</v>
      </c>
      <c r="EF17" s="214">
        <v>1128185.1100000001</v>
      </c>
      <c r="EG17" s="215">
        <v>1083873.74</v>
      </c>
      <c r="EH17" s="216">
        <v>492314.89</v>
      </c>
      <c r="EI17" s="217"/>
      <c r="EJ17" s="31">
        <v>1965</v>
      </c>
      <c r="EK17" s="32">
        <v>1766.7670000000001</v>
      </c>
      <c r="EL17" s="33">
        <v>1372.614</v>
      </c>
      <c r="EN17" s="120" t="s">
        <v>182</v>
      </c>
      <c r="EO17" s="171" t="s">
        <v>183</v>
      </c>
      <c r="EP17" s="120" t="s">
        <v>184</v>
      </c>
      <c r="EQ17" s="120" t="s">
        <v>185</v>
      </c>
      <c r="ER17" s="172">
        <v>48.305999999999997</v>
      </c>
      <c r="EU17" s="120" t="s">
        <v>173</v>
      </c>
      <c r="EV17" s="179">
        <v>150</v>
      </c>
      <c r="EW17" s="120" t="s">
        <v>186</v>
      </c>
      <c r="EX17" s="120" t="s">
        <v>187</v>
      </c>
      <c r="EY17" s="120" t="s">
        <v>188</v>
      </c>
      <c r="FA17" s="180">
        <f>IVA!EY17*IVA!EO16*12/1000</f>
        <v>13009029.723600002</v>
      </c>
      <c r="FB17" s="34">
        <f>IVA!FA17/IVA!CM10</f>
        <v>5.161024266623214E-2</v>
      </c>
      <c r="FC17" s="34"/>
    </row>
    <row r="18" spans="27:159" ht="12.75" customHeight="1">
      <c r="AA18" s="121">
        <v>2005</v>
      </c>
      <c r="AB18" s="121" t="s">
        <v>79</v>
      </c>
      <c r="AC18" s="122"/>
      <c r="AD18" s="123"/>
      <c r="AE18" s="190">
        <v>2970005.0241700001</v>
      </c>
      <c r="AF18" s="190">
        <v>2545136.1262699999</v>
      </c>
      <c r="AG18" s="190">
        <v>2736391.5322500002</v>
      </c>
      <c r="AH18" s="190">
        <v>3000851.3036500001</v>
      </c>
      <c r="AI18" s="190">
        <v>3172804.09197</v>
      </c>
      <c r="AJ18" s="190">
        <v>3003970.2861000001</v>
      </c>
      <c r="AK18" s="190">
        <v>3013714.24193</v>
      </c>
      <c r="AL18" s="190">
        <v>3288049.19154</v>
      </c>
      <c r="AM18" s="190">
        <v>3404998.5441700001</v>
      </c>
      <c r="AN18" s="190">
        <v>3048220.7982700001</v>
      </c>
      <c r="AO18" s="190">
        <v>3244612.5610799999</v>
      </c>
      <c r="AP18" s="190">
        <v>3424375.19527</v>
      </c>
      <c r="AQ18" s="126">
        <f>IVA!AE18+IVA!AF18+IVA!AG18</f>
        <v>8251532.6826900002</v>
      </c>
      <c r="AR18" s="126">
        <f>IVA!AH18+IVA!AI18+IVA!AJ18</f>
        <v>9177625.6817199998</v>
      </c>
      <c r="AS18" s="126">
        <f>IVA!AK18+IVA!AL18+IVA!AM18</f>
        <v>9706761.9776399992</v>
      </c>
      <c r="AT18" s="126">
        <f>IVA!AN18+IVA!AO18+IVA!AP18</f>
        <v>9717208.5546199996</v>
      </c>
      <c r="AU18" s="127">
        <f>IVA!AQ18+IVA!AR18+IVA!AS18+IVA!AT18</f>
        <v>36853128.896669999</v>
      </c>
      <c r="AV18" s="128">
        <f>IVA!AQ18/IVA!CJ14</f>
        <v>1.8065199277285424E-2</v>
      </c>
      <c r="AW18" s="128">
        <f>IVA!AR18/IVA!CK14</f>
        <v>1.6613738498571E-2</v>
      </c>
      <c r="AX18" s="128">
        <f>IVA!AS18/IVA!CL14</f>
        <v>1.7835831676159614E-2</v>
      </c>
      <c r="AY18" s="128">
        <f>IVA!AT18/IVA!CM14</f>
        <v>1.6918584537843302E-2</v>
      </c>
      <c r="AZ18" s="129">
        <f>IVA!AU18/IVA!CN14</f>
        <v>6.9280778691149375E-2</v>
      </c>
      <c r="BA18" s="130">
        <v>2005</v>
      </c>
      <c r="BB18" s="131" t="s">
        <v>80</v>
      </c>
      <c r="BC18" s="131"/>
      <c r="BD18" s="131"/>
      <c r="BE18" s="131"/>
      <c r="BF18" s="132">
        <f>0.89*IVA!AE18</f>
        <v>2643304.4715113002</v>
      </c>
      <c r="BG18" s="132">
        <f>0.89*IVA!AF18</f>
        <v>2265171.1523802998</v>
      </c>
      <c r="BH18" s="132">
        <f>0.89*IVA!AG18</f>
        <v>2435388.4637025003</v>
      </c>
      <c r="BI18" s="132">
        <f>0.89*IVA!AH18</f>
        <v>2670757.6602485003</v>
      </c>
      <c r="BJ18" s="132">
        <f>0.89*IVA!AI18</f>
        <v>2823795.6418532999</v>
      </c>
      <c r="BK18" s="132">
        <f>0.89*IVA!AJ18</f>
        <v>2673533.5546290004</v>
      </c>
      <c r="BL18" s="132">
        <f>0.89*IVA!AK18</f>
        <v>2682205.6753177</v>
      </c>
      <c r="BM18" s="132">
        <f>0.89*IVA!AL18</f>
        <v>2926363.7804705999</v>
      </c>
      <c r="BN18" s="132">
        <f>0.89*IVA!AM18</f>
        <v>3030448.7043113001</v>
      </c>
      <c r="BO18" s="132">
        <f>0.89*IVA!AN18</f>
        <v>2712916.5104603004</v>
      </c>
      <c r="BP18" s="132">
        <f>0.89*IVA!AO18</f>
        <v>2887705.1793612</v>
      </c>
      <c r="BQ18" s="132">
        <f>0.89*IVA!AP18</f>
        <v>3047693.9237903003</v>
      </c>
      <c r="BR18" s="173">
        <f>0.89*IVA!AQ18</f>
        <v>7343864.0875941003</v>
      </c>
      <c r="BS18" s="173">
        <f>0.89*IVA!AR18</f>
        <v>8168086.8567308001</v>
      </c>
      <c r="BT18" s="173">
        <f>0.89*IVA!AS18</f>
        <v>8639018.1600995995</v>
      </c>
      <c r="BU18" s="174">
        <f>0.89*IVA!AT18</f>
        <v>8648315.6136118006</v>
      </c>
      <c r="BV18" s="135">
        <f>0.89*IVA!AU18</f>
        <v>32799284.718036298</v>
      </c>
      <c r="BW18" s="136">
        <f>IVA!BR18/IVA!CJ14</f>
        <v>1.6078027356784028E-2</v>
      </c>
      <c r="BX18" s="137">
        <f>IVA!BS18/IVA!CK14</f>
        <v>1.4786227263728191E-2</v>
      </c>
      <c r="BY18" s="136">
        <f>IVA!BT18/IVA!CL14</f>
        <v>1.5873890191782057E-2</v>
      </c>
      <c r="BZ18" s="136">
        <f>IVA!BU18/IVA!CM14</f>
        <v>1.505754023868054E-2</v>
      </c>
      <c r="CA18" s="138">
        <f>IVA!BV18/IVA!CN14</f>
        <v>6.165989303512294E-2</v>
      </c>
      <c r="CH18" s="13"/>
      <c r="CI18" s="53">
        <v>2009</v>
      </c>
      <c r="CJ18" s="54">
        <f>IVA!AQ274*1000</f>
        <v>992962000</v>
      </c>
      <c r="CK18" s="54">
        <f>IVA!AR274*1000</f>
        <v>1195372438.8148999</v>
      </c>
      <c r="CL18" s="54">
        <f>IVA!AS274*1000</f>
        <v>1168794907.4595401</v>
      </c>
      <c r="CM18" s="54">
        <f>IVA!AT274*1000</f>
        <v>1224703750.5923901</v>
      </c>
      <c r="CN18" s="55">
        <f>IVA!AU274*1000</f>
        <v>1145458336.3663902</v>
      </c>
      <c r="CO18" s="63">
        <v>2012</v>
      </c>
      <c r="CP18" s="219">
        <f>468301.016797737*1000</f>
        <v>468301016.797737</v>
      </c>
      <c r="CQ18" s="13" t="s">
        <v>189</v>
      </c>
      <c r="CS18" s="218"/>
      <c r="CT18" s="97" t="s">
        <v>190</v>
      </c>
      <c r="CU18" s="196">
        <v>0</v>
      </c>
      <c r="CV18" s="197">
        <v>0</v>
      </c>
      <c r="CW18" s="198">
        <v>0</v>
      </c>
      <c r="CX18" s="146">
        <v>0</v>
      </c>
      <c r="CY18" s="197">
        <v>0</v>
      </c>
      <c r="CZ18" s="197">
        <v>0</v>
      </c>
      <c r="DA18" s="197">
        <v>336914.37</v>
      </c>
      <c r="DB18" s="197">
        <v>336914.37</v>
      </c>
      <c r="DC18" s="199">
        <v>0</v>
      </c>
      <c r="DD18" s="197">
        <v>0</v>
      </c>
      <c r="DE18" s="197">
        <v>0</v>
      </c>
      <c r="DF18" s="197">
        <v>0</v>
      </c>
      <c r="DG18" s="200">
        <v>336914.37</v>
      </c>
      <c r="DH18" s="146"/>
      <c r="DI18" s="113"/>
      <c r="DJ18" s="114" t="s">
        <v>102</v>
      </c>
      <c r="DK18" s="164">
        <v>50639200</v>
      </c>
      <c r="DL18" s="146"/>
      <c r="DM18" s="115" t="s">
        <v>74</v>
      </c>
      <c r="DN18" s="116">
        <v>2003</v>
      </c>
      <c r="DO18" s="117">
        <v>4800</v>
      </c>
      <c r="DP18" s="117">
        <v>1215500</v>
      </c>
      <c r="DQ18" s="117">
        <v>600</v>
      </c>
      <c r="DR18" s="117">
        <v>16270900</v>
      </c>
      <c r="DS18" s="117">
        <v>19464300</v>
      </c>
      <c r="DT18" s="117">
        <v>1972500</v>
      </c>
      <c r="DU18" s="117">
        <v>0</v>
      </c>
      <c r="DV18" s="117">
        <v>19464300</v>
      </c>
      <c r="DW18" s="118">
        <f>IVA!CY42/IVA!DV18</f>
        <v>0.7546579418216941</v>
      </c>
      <c r="DX18" s="119"/>
      <c r="DY18" s="220" t="s">
        <v>191</v>
      </c>
      <c r="DZ18" s="221"/>
      <c r="EA18" s="204"/>
      <c r="EB18" s="222">
        <v>16795950000</v>
      </c>
      <c r="EC18" s="222">
        <v>69908847</v>
      </c>
      <c r="ED18" s="222">
        <v>16865858847</v>
      </c>
      <c r="EE18" s="222">
        <v>15583349269.879999</v>
      </c>
      <c r="EF18" s="222">
        <v>15565922586.379999</v>
      </c>
      <c r="EG18" s="223">
        <v>14365064926.549999</v>
      </c>
      <c r="EH18" s="224">
        <v>1299936260.6199999</v>
      </c>
      <c r="EI18" s="217"/>
      <c r="EJ18" s="31">
        <v>1966</v>
      </c>
      <c r="EK18" s="32">
        <v>1833.7950000000001</v>
      </c>
      <c r="EL18" s="33">
        <v>1426.31</v>
      </c>
      <c r="EN18" s="120" t="s">
        <v>192</v>
      </c>
      <c r="EO18" s="171" t="s">
        <v>193</v>
      </c>
      <c r="EP18" s="120" t="s">
        <v>194</v>
      </c>
      <c r="EQ18" s="120" t="s">
        <v>195</v>
      </c>
      <c r="ER18" s="172">
        <v>45.151000000000003</v>
      </c>
      <c r="EU18" s="102" t="s">
        <v>196</v>
      </c>
      <c r="EV18" s="179">
        <v>200</v>
      </c>
      <c r="EW18" s="120" t="s">
        <v>197</v>
      </c>
      <c r="EX18" s="120" t="s">
        <v>198</v>
      </c>
      <c r="EY18" s="120" t="s">
        <v>199</v>
      </c>
      <c r="FA18" s="180">
        <f>IVA!EY18*IVA!EO17*12/1000</f>
        <v>13183264.480799999</v>
      </c>
      <c r="FB18" s="34">
        <f>IVA!FA18/IVA!CM11</f>
        <v>3.874588342761362E-2</v>
      </c>
      <c r="FC18" s="34"/>
    </row>
    <row r="19" spans="27:159" ht="12.75" customHeight="1">
      <c r="AA19" s="121">
        <v>2006</v>
      </c>
      <c r="AB19" s="121" t="s">
        <v>79</v>
      </c>
      <c r="AC19" s="122"/>
      <c r="AD19" s="123"/>
      <c r="AE19" s="190">
        <v>3624133.6345899999</v>
      </c>
      <c r="AF19" s="190">
        <v>3325110.4759</v>
      </c>
      <c r="AG19" s="190">
        <v>3552544.6296000001</v>
      </c>
      <c r="AH19" s="190">
        <v>3588265.0161199998</v>
      </c>
      <c r="AI19" s="190">
        <v>3769532.7950800001</v>
      </c>
      <c r="AJ19" s="190">
        <v>3795650.4295399999</v>
      </c>
      <c r="AK19" s="190">
        <v>3782580.12843</v>
      </c>
      <c r="AL19" s="190">
        <v>4176434.0895400001</v>
      </c>
      <c r="AM19" s="190">
        <v>4181498.0538699999</v>
      </c>
      <c r="AN19" s="190">
        <v>4352415.6087300004</v>
      </c>
      <c r="AO19" s="190">
        <v>4292145.9602899998</v>
      </c>
      <c r="AP19" s="190">
        <v>4663998.1721000001</v>
      </c>
      <c r="AQ19" s="126">
        <f>IVA!AE19+IVA!AF19+IVA!AG19</f>
        <v>10501788.74009</v>
      </c>
      <c r="AR19" s="126">
        <f>IVA!AH19+IVA!AI19+IVA!AJ19</f>
        <v>11153448.240740001</v>
      </c>
      <c r="AS19" s="126">
        <f>IVA!AK19+IVA!AL19+IVA!AM19</f>
        <v>12140512.271840001</v>
      </c>
      <c r="AT19" s="126">
        <f>IVA!AN19+IVA!AO19+IVA!AP19</f>
        <v>13308559.741119999</v>
      </c>
      <c r="AU19" s="127">
        <f>IVA!AQ19+IVA!AR19+IVA!AS19+IVA!AT19</f>
        <v>47104308.993790001</v>
      </c>
      <c r="AV19" s="128">
        <f>IVA!AQ19/IVA!CJ15</f>
        <v>1.8489259992341467E-2</v>
      </c>
      <c r="AW19" s="128">
        <f>IVA!AR19/IVA!CK15</f>
        <v>1.6443759675642232E-2</v>
      </c>
      <c r="AX19" s="128">
        <f>IVA!AS19/IVA!CL15</f>
        <v>1.8169055096230406E-2</v>
      </c>
      <c r="AY19" s="128">
        <f>IVA!AT19/IVA!CM15</f>
        <v>1.892339850235129E-2</v>
      </c>
      <c r="AZ19" s="129">
        <f>IVA!AU19/IVA!CN15</f>
        <v>7.197662433862069E-2</v>
      </c>
      <c r="BA19" s="130">
        <v>2006</v>
      </c>
      <c r="BB19" s="131" t="s">
        <v>80</v>
      </c>
      <c r="BC19" s="131"/>
      <c r="BD19" s="131"/>
      <c r="BE19" s="131"/>
      <c r="BF19" s="132">
        <f>0.89*IVA!AE19</f>
        <v>3225478.9347851002</v>
      </c>
      <c r="BG19" s="132">
        <f>0.89*IVA!AF19</f>
        <v>2959348.3235510001</v>
      </c>
      <c r="BH19" s="132">
        <f>0.89*IVA!AG19</f>
        <v>3161764.720344</v>
      </c>
      <c r="BI19" s="132">
        <f>0.89*IVA!AH19</f>
        <v>3193555.8643467999</v>
      </c>
      <c r="BJ19" s="132">
        <f>0.89*IVA!AI19</f>
        <v>3354884.1876212</v>
      </c>
      <c r="BK19" s="132">
        <f>0.89*IVA!AJ19</f>
        <v>3378128.8822905999</v>
      </c>
      <c r="BL19" s="132">
        <f>0.89*IVA!AK19</f>
        <v>3366496.3143027001</v>
      </c>
      <c r="BM19" s="132">
        <f>0.89*IVA!AL19</f>
        <v>3717026.3396906001</v>
      </c>
      <c r="BN19" s="132">
        <f>0.89*IVA!AM19</f>
        <v>3721533.2679443001</v>
      </c>
      <c r="BO19" s="132">
        <f>0.89*IVA!AN19</f>
        <v>3873649.8917697007</v>
      </c>
      <c r="BP19" s="132">
        <f>0.89*IVA!AO19</f>
        <v>3820009.9046581001</v>
      </c>
      <c r="BQ19" s="132">
        <f>0.89*IVA!AP19</f>
        <v>4150958.3731690003</v>
      </c>
      <c r="BR19" s="173">
        <f>0.89*IVA!AQ19</f>
        <v>9346591.9786801003</v>
      </c>
      <c r="BS19" s="173">
        <f>0.89*IVA!AR19</f>
        <v>9926568.9342586007</v>
      </c>
      <c r="BT19" s="173">
        <f>0.89*IVA!AS19</f>
        <v>10805055.9219376</v>
      </c>
      <c r="BU19" s="174">
        <f>0.89*IVA!AT19</f>
        <v>11844618.169596801</v>
      </c>
      <c r="BV19" s="135">
        <f>0.89*IVA!AU19</f>
        <v>41922835.004473098</v>
      </c>
      <c r="BW19" s="136">
        <f>IVA!BR19/IVA!CJ15</f>
        <v>1.6455441393183907E-2</v>
      </c>
      <c r="BX19" s="137">
        <f>IVA!BS19/IVA!CK15</f>
        <v>1.4634946111321587E-2</v>
      </c>
      <c r="BY19" s="136">
        <f>IVA!BT19/IVA!CL15</f>
        <v>1.6170459035645058E-2</v>
      </c>
      <c r="BZ19" s="136">
        <f>IVA!BU19/IVA!CM15</f>
        <v>1.684182466709265E-2</v>
      </c>
      <c r="CA19" s="138">
        <f>IVA!BV19/IVA!CN15</f>
        <v>6.4059195661372414E-2</v>
      </c>
      <c r="CH19" s="13"/>
      <c r="CI19" s="53">
        <v>2010</v>
      </c>
      <c r="CJ19" s="54">
        <f>IVA!AQ275*1000</f>
        <v>1217381000</v>
      </c>
      <c r="CK19" s="54">
        <f>IVA!AR275*1000</f>
        <v>1508285665.01389</v>
      </c>
      <c r="CL19" s="54">
        <f>IVA!AS275*1000</f>
        <v>1465856669.3023598</v>
      </c>
      <c r="CM19" s="54">
        <f>IVA!AT275*1000</f>
        <v>1579098386.12358</v>
      </c>
      <c r="CN19" s="55">
        <f>IVA!AU275*1000</f>
        <v>1442655378.5971601</v>
      </c>
      <c r="CO19" s="63"/>
      <c r="CP19" s="63"/>
      <c r="CQ19" s="13"/>
      <c r="CS19" s="218"/>
      <c r="CT19" s="97" t="s">
        <v>200</v>
      </c>
      <c r="CU19" s="196">
        <v>0</v>
      </c>
      <c r="CV19" s="197">
        <v>0</v>
      </c>
      <c r="CW19" s="198">
        <v>0</v>
      </c>
      <c r="CX19" s="146">
        <v>0</v>
      </c>
      <c r="CY19" s="197">
        <v>0</v>
      </c>
      <c r="CZ19" s="197">
        <v>0</v>
      </c>
      <c r="DA19" s="197">
        <v>645622</v>
      </c>
      <c r="DB19" s="197">
        <v>645622</v>
      </c>
      <c r="DC19" s="199">
        <v>0</v>
      </c>
      <c r="DD19" s="197">
        <v>0</v>
      </c>
      <c r="DE19" s="197">
        <v>0</v>
      </c>
      <c r="DF19" s="197">
        <v>0</v>
      </c>
      <c r="DG19" s="200">
        <v>645622</v>
      </c>
      <c r="DH19" s="146"/>
      <c r="DI19" s="97">
        <v>2006</v>
      </c>
      <c r="DJ19" s="97" t="s">
        <v>84</v>
      </c>
      <c r="DK19" s="145">
        <v>31666100</v>
      </c>
      <c r="DL19" s="146"/>
      <c r="DM19" s="147" t="s">
        <v>74</v>
      </c>
      <c r="DN19" s="148">
        <v>2004</v>
      </c>
      <c r="DO19" s="149">
        <v>3800</v>
      </c>
      <c r="DP19" s="149">
        <v>1578600</v>
      </c>
      <c r="DQ19" s="149">
        <v>600</v>
      </c>
      <c r="DR19" s="149">
        <v>19214200</v>
      </c>
      <c r="DS19" s="149">
        <v>22877100</v>
      </c>
      <c r="DT19" s="149">
        <v>2079900</v>
      </c>
      <c r="DU19" s="149">
        <v>0</v>
      </c>
      <c r="DV19" s="149">
        <v>22877100</v>
      </c>
      <c r="DW19" s="150">
        <f>IVA!CY41/IVA!DV19</f>
        <v>0.72377617792464954</v>
      </c>
      <c r="DX19" s="151"/>
      <c r="DY19" s="175" t="s">
        <v>163</v>
      </c>
      <c r="DZ19" s="45"/>
      <c r="EA19" s="208">
        <v>1994</v>
      </c>
      <c r="EB19" s="225" t="s">
        <v>201</v>
      </c>
      <c r="EC19" s="225" t="s">
        <v>202</v>
      </c>
      <c r="ED19" s="225" t="s">
        <v>203</v>
      </c>
      <c r="EE19" s="225" t="s">
        <v>204</v>
      </c>
      <c r="EF19" s="225" t="s">
        <v>205</v>
      </c>
      <c r="EG19" s="226" t="s">
        <v>206</v>
      </c>
      <c r="EH19" s="227" t="s">
        <v>207</v>
      </c>
      <c r="EJ19" s="31">
        <v>1967</v>
      </c>
      <c r="EK19" s="32">
        <v>1901.751</v>
      </c>
      <c r="EL19" s="33">
        <v>1480.0519999999999</v>
      </c>
      <c r="EN19" s="120" t="s">
        <v>208</v>
      </c>
      <c r="EO19" s="171" t="s">
        <v>209</v>
      </c>
      <c r="EP19" s="120" t="s">
        <v>210</v>
      </c>
      <c r="EQ19" s="120" t="s">
        <v>211</v>
      </c>
      <c r="ER19" s="172">
        <v>42.594000000000001</v>
      </c>
      <c r="EU19" s="120" t="s">
        <v>192</v>
      </c>
      <c r="EV19" s="179">
        <v>220</v>
      </c>
      <c r="EW19" s="120" t="s">
        <v>212</v>
      </c>
      <c r="EX19" s="120" t="s">
        <v>213</v>
      </c>
      <c r="EY19" s="120" t="s">
        <v>214</v>
      </c>
      <c r="FA19" s="180">
        <f>IVA!EY19*IVA!EO18*12/1000</f>
        <v>13622420.719439998</v>
      </c>
      <c r="FB19" s="34">
        <f>IVA!FA19/IVA!CM12</f>
        <v>3.411835199311046E-2</v>
      </c>
      <c r="FC19" s="34"/>
    </row>
    <row r="20" spans="27:159" ht="12.75" customHeight="1">
      <c r="AA20" s="121">
        <v>2007</v>
      </c>
      <c r="AB20" s="121" t="s">
        <v>79</v>
      </c>
      <c r="AC20" s="122"/>
      <c r="AD20" s="123"/>
      <c r="AE20" s="190">
        <v>4623186.41457</v>
      </c>
      <c r="AF20" s="190">
        <v>4269285.0166100003</v>
      </c>
      <c r="AG20" s="190">
        <v>4504524.7538200002</v>
      </c>
      <c r="AH20" s="190">
        <v>4368832.1294799997</v>
      </c>
      <c r="AI20" s="190">
        <v>5052032.0386600001</v>
      </c>
      <c r="AJ20" s="190">
        <v>5055984.2489700001</v>
      </c>
      <c r="AK20" s="190">
        <v>5625588.1646800004</v>
      </c>
      <c r="AL20" s="190">
        <v>5984730.6501500001</v>
      </c>
      <c r="AM20" s="190">
        <v>5123807.5062800003</v>
      </c>
      <c r="AN20" s="190">
        <v>5793717.26712</v>
      </c>
      <c r="AO20" s="190">
        <v>5874270.1497600004</v>
      </c>
      <c r="AP20" s="190">
        <v>6393359.27269</v>
      </c>
      <c r="AQ20" s="126">
        <f>IVA!AE20+IVA!AF20+IVA!AG20</f>
        <v>13396996.185000001</v>
      </c>
      <c r="AR20" s="126">
        <f>IVA!AH20+IVA!AI20+IVA!AJ20</f>
        <v>14476848.41711</v>
      </c>
      <c r="AS20" s="126">
        <f>IVA!AK20+IVA!AL20+IVA!AM20</f>
        <v>16734126.321110003</v>
      </c>
      <c r="AT20" s="126">
        <f>IVA!AN20+IVA!AO20+IVA!AP20</f>
        <v>18061346.689570002</v>
      </c>
      <c r="AU20" s="127">
        <f>IVA!AQ20+IVA!AR20+IVA!AS20+IVA!AT20</f>
        <v>62669317.612790003</v>
      </c>
      <c r="AV20" s="128">
        <f>IVA!AQ20/IVA!CJ16</f>
        <v>1.9669068864517268E-2</v>
      </c>
      <c r="AW20" s="128">
        <f>IVA!AR20/IVA!CK16</f>
        <v>1.7334942351457872E-2</v>
      </c>
      <c r="AX20" s="128">
        <f>IVA!AS20/IVA!CL16</f>
        <v>2.0223413398677649E-2</v>
      </c>
      <c r="AY20" s="128">
        <f>IVA!AT20/IVA!CM16</f>
        <v>1.9932732835295286E-2</v>
      </c>
      <c r="AZ20" s="129">
        <f>IVA!AU20/IVA!CN16</f>
        <v>7.7135661327718291E-2</v>
      </c>
      <c r="BA20" s="130">
        <v>2007</v>
      </c>
      <c r="BB20" s="131" t="s">
        <v>80</v>
      </c>
      <c r="BC20" s="131"/>
      <c r="BD20" s="131"/>
      <c r="BE20" s="131"/>
      <c r="BF20" s="132">
        <f>0.89*IVA!AE20</f>
        <v>4114635.9089672999</v>
      </c>
      <c r="BG20" s="132">
        <f>0.89*IVA!AF20</f>
        <v>3799663.6647829004</v>
      </c>
      <c r="BH20" s="132">
        <f>0.89*IVA!AG20</f>
        <v>4009027.0308998004</v>
      </c>
      <c r="BI20" s="132">
        <f>0.89*IVA!AH20</f>
        <v>3888260.5952371997</v>
      </c>
      <c r="BJ20" s="132">
        <f>0.89*IVA!AI20</f>
        <v>4496308.5144074</v>
      </c>
      <c r="BK20" s="132">
        <f>0.89*IVA!AJ20</f>
        <v>4499825.9815833</v>
      </c>
      <c r="BL20" s="132">
        <f>0.89*IVA!AK20</f>
        <v>5006773.4665652001</v>
      </c>
      <c r="BM20" s="132">
        <f>0.89*IVA!AL20</f>
        <v>5326410.2786335004</v>
      </c>
      <c r="BN20" s="132">
        <f>0.89*IVA!AM20</f>
        <v>4560188.6805892</v>
      </c>
      <c r="BO20" s="132">
        <f>0.89*IVA!AN20</f>
        <v>5156408.3677367996</v>
      </c>
      <c r="BP20" s="132">
        <f>0.89*IVA!AO20</f>
        <v>5228100.4332864005</v>
      </c>
      <c r="BQ20" s="132">
        <f>0.89*IVA!AP20</f>
        <v>5690089.7526941001</v>
      </c>
      <c r="BR20" s="173">
        <f>0.89*IVA!AQ20</f>
        <v>11923326.60465</v>
      </c>
      <c r="BS20" s="173">
        <f>0.89*IVA!AR20</f>
        <v>12884395.0912279</v>
      </c>
      <c r="BT20" s="173">
        <f>0.89*IVA!AS20</f>
        <v>14893372.425787903</v>
      </c>
      <c r="BU20" s="174">
        <f>0.89*IVA!AT20</f>
        <v>16074598.553717302</v>
      </c>
      <c r="BV20" s="135">
        <f>0.89*IVA!AU20</f>
        <v>55775692.675383106</v>
      </c>
      <c r="BW20" s="136">
        <f>IVA!BR20/IVA!CJ16</f>
        <v>1.7505471289420368E-2</v>
      </c>
      <c r="BX20" s="137">
        <f>IVA!BS20/IVA!CK16</f>
        <v>1.5428098692797506E-2</v>
      </c>
      <c r="BY20" s="136">
        <f>IVA!BT20/IVA!CL16</f>
        <v>1.7998837924823107E-2</v>
      </c>
      <c r="BZ20" s="136">
        <f>IVA!BU20/IVA!CM16</f>
        <v>1.7740132223412804E-2</v>
      </c>
      <c r="CA20" s="138">
        <f>IVA!BV20/IVA!CN16</f>
        <v>6.8650738581669285E-2</v>
      </c>
      <c r="CH20" s="13"/>
      <c r="CI20" s="53">
        <v>2011</v>
      </c>
      <c r="CJ20" s="54">
        <f>IVA!AQ276*1000</f>
        <v>1567580000</v>
      </c>
      <c r="CK20" s="54">
        <f>IVA!AR276*1000</f>
        <v>1976227335.6486201</v>
      </c>
      <c r="CL20" s="54">
        <f>IVA!AS276*1000</f>
        <v>1865390901.2928801</v>
      </c>
      <c r="CM20" s="54">
        <f>IVA!AT276*1000</f>
        <v>1958890125.10449</v>
      </c>
      <c r="CN20" s="55">
        <f>IVA!AU276*1000</f>
        <v>1842022134.7372198</v>
      </c>
      <c r="CO20" s="63"/>
      <c r="CP20" s="63"/>
      <c r="CQ20" s="13"/>
      <c r="CS20" s="218"/>
      <c r="CT20" s="97" t="s">
        <v>215</v>
      </c>
      <c r="CU20" s="196">
        <v>0</v>
      </c>
      <c r="CV20" s="197">
        <v>0</v>
      </c>
      <c r="CW20" s="198">
        <v>0</v>
      </c>
      <c r="CX20" s="146">
        <v>0</v>
      </c>
      <c r="CY20" s="197">
        <v>0</v>
      </c>
      <c r="CZ20" s="197">
        <v>0</v>
      </c>
      <c r="DA20" s="197">
        <v>29032799.993000001</v>
      </c>
      <c r="DB20" s="197">
        <v>29032799.993000001</v>
      </c>
      <c r="DC20" s="199">
        <v>0</v>
      </c>
      <c r="DD20" s="197">
        <v>0</v>
      </c>
      <c r="DE20" s="197">
        <v>0</v>
      </c>
      <c r="DF20" s="197">
        <v>0</v>
      </c>
      <c r="DG20" s="200">
        <v>29032799.993000001</v>
      </c>
      <c r="DH20" s="146"/>
      <c r="DI20" s="113"/>
      <c r="DJ20" s="114" t="s">
        <v>102</v>
      </c>
      <c r="DK20" s="164">
        <v>31322500</v>
      </c>
      <c r="DL20" s="146"/>
      <c r="DM20" s="115" t="s">
        <v>74</v>
      </c>
      <c r="DN20" s="116">
        <v>2005</v>
      </c>
      <c r="DO20" s="117">
        <v>1500</v>
      </c>
      <c r="DP20" s="117">
        <v>1911300</v>
      </c>
      <c r="DQ20" s="117">
        <v>0</v>
      </c>
      <c r="DR20" s="117">
        <v>20896400</v>
      </c>
      <c r="DS20" s="117">
        <v>24905100</v>
      </c>
      <c r="DT20" s="117">
        <v>2095900</v>
      </c>
      <c r="DU20" s="117">
        <v>0</v>
      </c>
      <c r="DV20" s="117">
        <v>24905100</v>
      </c>
      <c r="DW20" s="118">
        <f>IVA!CY40/IVA!DV20</f>
        <v>0.79036823783080579</v>
      </c>
      <c r="DX20" s="119"/>
      <c r="DY20" s="213" t="s">
        <v>216</v>
      </c>
      <c r="EA20" s="177"/>
      <c r="EB20" s="228" t="s">
        <v>217</v>
      </c>
      <c r="EC20" s="228" t="s">
        <v>218</v>
      </c>
      <c r="ED20" s="228" t="s">
        <v>219</v>
      </c>
      <c r="EE20" s="228" t="s">
        <v>220</v>
      </c>
      <c r="EF20" s="228" t="s">
        <v>221</v>
      </c>
      <c r="EG20" s="229" t="s">
        <v>222</v>
      </c>
      <c r="EH20" s="230" t="s">
        <v>223</v>
      </c>
      <c r="EJ20" s="31">
        <v>1968</v>
      </c>
      <c r="EK20" s="32">
        <v>1970.922</v>
      </c>
      <c r="EL20" s="33">
        <v>1534.386</v>
      </c>
      <c r="EN20" s="120" t="s">
        <v>224</v>
      </c>
      <c r="EO20" s="171" t="s">
        <v>225</v>
      </c>
      <c r="EP20" s="120" t="s">
        <v>226</v>
      </c>
      <c r="EQ20" s="120" t="s">
        <v>227</v>
      </c>
      <c r="ER20" s="172">
        <v>40.057000000000002</v>
      </c>
      <c r="EU20" s="120" t="s">
        <v>208</v>
      </c>
      <c r="EV20" s="179">
        <v>308</v>
      </c>
      <c r="EW20" s="120" t="s">
        <v>228</v>
      </c>
      <c r="EX20" s="120" t="s">
        <v>229</v>
      </c>
      <c r="EY20" s="120" t="s">
        <v>230</v>
      </c>
      <c r="FA20" s="180">
        <f>IVA!EY20*IVA!EO19*12/1000</f>
        <v>16029781.370639998</v>
      </c>
      <c r="FB20" s="34">
        <f>IVA!FA20/IVA!CM13</f>
        <v>3.4000045382048955E-2</v>
      </c>
      <c r="FC20" s="34"/>
    </row>
    <row r="21" spans="27:159" ht="12.75" customHeight="1">
      <c r="AA21" s="121">
        <v>2008</v>
      </c>
      <c r="AB21" s="121" t="s">
        <v>79</v>
      </c>
      <c r="AC21" s="122"/>
      <c r="AD21" s="123"/>
      <c r="AE21" s="190">
        <v>6728245.8581499998</v>
      </c>
      <c r="AF21" s="190">
        <v>5916205.68879</v>
      </c>
      <c r="AG21" s="190">
        <v>5755795.7144799996</v>
      </c>
      <c r="AH21" s="190">
        <v>6581288.9736000001</v>
      </c>
      <c r="AI21" s="190">
        <v>6711320.6969499998</v>
      </c>
      <c r="AJ21" s="190">
        <v>6629561.1811499996</v>
      </c>
      <c r="AK21" s="190">
        <v>6846815.2209900003</v>
      </c>
      <c r="AL21" s="190">
        <v>7107465.70897</v>
      </c>
      <c r="AM21" s="190">
        <v>7295943.06996</v>
      </c>
      <c r="AN21" s="190">
        <v>7209386.6813099999</v>
      </c>
      <c r="AO21" s="190">
        <v>6794315.2562800003</v>
      </c>
      <c r="AP21" s="190">
        <v>6652560.7691400005</v>
      </c>
      <c r="AQ21" s="126">
        <f>IVA!AE21+IVA!AF21+IVA!AG21</f>
        <v>18400247.261419997</v>
      </c>
      <c r="AR21" s="126">
        <f>IVA!AH21+IVA!AI21+IVA!AJ21</f>
        <v>19922170.8517</v>
      </c>
      <c r="AS21" s="126">
        <f>IVA!AK21+IVA!AL21+IVA!AM21</f>
        <v>21250223.999920003</v>
      </c>
      <c r="AT21" s="126">
        <f>IVA!AN21+IVA!AO21+IVA!AP21</f>
        <v>20656262.706730001</v>
      </c>
      <c r="AU21" s="127">
        <f>IVA!AQ21+IVA!AR21+IVA!AS21+IVA!AT21</f>
        <v>80228904.819770008</v>
      </c>
      <c r="AV21" s="128">
        <f>IVA!AQ21/IVA!CJ17</f>
        <v>2.0729332920351985E-2</v>
      </c>
      <c r="AW21" s="128">
        <f>IVA!AR21/IVA!CK17</f>
        <v>1.7981226220452014E-2</v>
      </c>
      <c r="AX21" s="128">
        <f>IVA!AS21/IVA!CL17</f>
        <v>2.009380932872357E-2</v>
      </c>
      <c r="AY21" s="128">
        <f>IVA!AT21/IVA!CM17</f>
        <v>1.9163495595693848E-2</v>
      </c>
      <c r="AZ21" s="129">
        <f>IVA!AU21/IVA!CN17</f>
        <v>7.7684128149837633E-2</v>
      </c>
      <c r="BA21" s="130">
        <v>2008</v>
      </c>
      <c r="BB21" s="131" t="s">
        <v>80</v>
      </c>
      <c r="BC21" s="131"/>
      <c r="BD21" s="131"/>
      <c r="BE21" s="131"/>
      <c r="BF21" s="132">
        <f>0.89*IVA!AE21</f>
        <v>5988138.8137534996</v>
      </c>
      <c r="BG21" s="132">
        <f>0.89*IVA!AF21</f>
        <v>5265423.0630230997</v>
      </c>
      <c r="BH21" s="132">
        <f>0.89*IVA!AG21</f>
        <v>5122658.1858871998</v>
      </c>
      <c r="BI21" s="132">
        <f>0.89*IVA!AH21</f>
        <v>5857347.1865039999</v>
      </c>
      <c r="BJ21" s="132">
        <f>0.89*IVA!AI21</f>
        <v>5973075.4202854997</v>
      </c>
      <c r="BK21" s="132">
        <f>0.89*IVA!AJ21</f>
        <v>5900309.4512235001</v>
      </c>
      <c r="BL21" s="132">
        <f>0.89*IVA!AK21</f>
        <v>6093665.5466811005</v>
      </c>
      <c r="BM21" s="132">
        <f>0.89*IVA!AL21</f>
        <v>6325644.4809833001</v>
      </c>
      <c r="BN21" s="132">
        <f>0.89*IVA!AM21</f>
        <v>6493389.3322644001</v>
      </c>
      <c r="BO21" s="132">
        <f>0.89*IVA!AN21</f>
        <v>6416354.1463658996</v>
      </c>
      <c r="BP21" s="132">
        <f>0.89*IVA!AO21</f>
        <v>6046940.5780892</v>
      </c>
      <c r="BQ21" s="132">
        <f>0.89*IVA!AP21</f>
        <v>5920779.0845346004</v>
      </c>
      <c r="BR21" s="173">
        <f>0.89*IVA!AQ21</f>
        <v>16376220.062663797</v>
      </c>
      <c r="BS21" s="173">
        <f>0.89*IVA!AR21</f>
        <v>17730732.058013</v>
      </c>
      <c r="BT21" s="173">
        <f>0.89*IVA!AS21</f>
        <v>18912699.359928802</v>
      </c>
      <c r="BU21" s="174">
        <f>0.89*IVA!AT21</f>
        <v>18384073.8089897</v>
      </c>
      <c r="BV21" s="135">
        <f>0.89*IVA!AU21</f>
        <v>71403725.289595306</v>
      </c>
      <c r="BW21" s="136">
        <f>IVA!BR21/IVA!CJ17</f>
        <v>1.8449106299113265E-2</v>
      </c>
      <c r="BX21" s="137">
        <f>IVA!BS21/IVA!CK17</f>
        <v>1.6003291336202291E-2</v>
      </c>
      <c r="BY21" s="136">
        <f>IVA!BT21/IVA!CL17</f>
        <v>1.7883490302563976E-2</v>
      </c>
      <c r="BZ21" s="136">
        <f>IVA!BU21/IVA!CM17</f>
        <v>1.7055511080167524E-2</v>
      </c>
      <c r="CA21" s="138">
        <f>IVA!BV21/IVA!CN17</f>
        <v>6.913887405335549E-2</v>
      </c>
      <c r="CH21" s="13"/>
      <c r="CI21" s="231">
        <v>2012</v>
      </c>
      <c r="CJ21" s="232">
        <f>IVA!AQ277*1000</f>
        <v>1874935000</v>
      </c>
      <c r="CK21" s="232">
        <f>IVA!AR277*1000</f>
        <v>2273161692.8724599</v>
      </c>
      <c r="CL21" s="232">
        <f>IVA!AS277*1000</f>
        <v>2182909396.9131498</v>
      </c>
      <c r="CM21" s="54">
        <f>2325977.39234812*1000</f>
        <v>2325977392.3481202</v>
      </c>
      <c r="CN21" s="55">
        <f>2164245.87591353*1000</f>
        <v>2164245875.9135303</v>
      </c>
      <c r="CO21" s="63" t="s">
        <v>231</v>
      </c>
      <c r="CP21" s="63"/>
      <c r="CQ21" s="13"/>
      <c r="CS21" s="218"/>
      <c r="CT21" s="97" t="s">
        <v>232</v>
      </c>
      <c r="CU21" s="196">
        <v>0</v>
      </c>
      <c r="CV21" s="197">
        <v>0</v>
      </c>
      <c r="CW21" s="198">
        <v>0</v>
      </c>
      <c r="CX21" s="146">
        <v>0</v>
      </c>
      <c r="CY21" s="197">
        <v>10872389.107999999</v>
      </c>
      <c r="CZ21" s="197">
        <v>0</v>
      </c>
      <c r="DA21" s="197">
        <v>0</v>
      </c>
      <c r="DB21" s="197">
        <v>10872389.107999999</v>
      </c>
      <c r="DC21" s="199">
        <v>0</v>
      </c>
      <c r="DD21" s="197">
        <v>0</v>
      </c>
      <c r="DE21" s="197">
        <v>0</v>
      </c>
      <c r="DF21" s="197">
        <v>0</v>
      </c>
      <c r="DG21" s="200">
        <v>10872389.107999999</v>
      </c>
      <c r="DH21" s="146"/>
      <c r="DI21" s="97">
        <v>2005</v>
      </c>
      <c r="DJ21" s="97" t="s">
        <v>84</v>
      </c>
      <c r="DK21" s="145">
        <v>24540197</v>
      </c>
      <c r="DL21" s="146"/>
      <c r="DM21" s="147" t="s">
        <v>74</v>
      </c>
      <c r="DN21" s="148">
        <v>2006</v>
      </c>
      <c r="DO21" s="149">
        <v>1200</v>
      </c>
      <c r="DP21" s="149">
        <v>2546700</v>
      </c>
      <c r="DQ21" s="149">
        <v>1400</v>
      </c>
      <c r="DR21" s="149">
        <v>27166700</v>
      </c>
      <c r="DS21" s="149">
        <v>32190400</v>
      </c>
      <c r="DT21" s="149">
        <v>2474400</v>
      </c>
      <c r="DU21" s="149">
        <v>0</v>
      </c>
      <c r="DV21" s="149">
        <v>32190400</v>
      </c>
      <c r="DW21" s="150">
        <f>IVA!CY39/IVA!DV21</f>
        <v>0.75768095457030671</v>
      </c>
      <c r="DX21" s="151"/>
      <c r="DY21" s="213" t="s">
        <v>233</v>
      </c>
      <c r="EA21" s="193"/>
      <c r="EB21" s="228" t="s">
        <v>234</v>
      </c>
      <c r="EC21" s="228" t="s">
        <v>235</v>
      </c>
      <c r="ED21" s="228" t="s">
        <v>236</v>
      </c>
      <c r="EE21" s="228" t="s">
        <v>237</v>
      </c>
      <c r="EF21" s="228" t="s">
        <v>237</v>
      </c>
      <c r="EG21" s="229" t="s">
        <v>238</v>
      </c>
      <c r="EH21" s="230" t="s">
        <v>239</v>
      </c>
      <c r="EJ21" s="31">
        <v>1969</v>
      </c>
      <c r="EK21" s="32">
        <v>2041.472</v>
      </c>
      <c r="EL21" s="33">
        <v>1589.88</v>
      </c>
      <c r="EN21" s="120" t="s">
        <v>240</v>
      </c>
      <c r="EO21" s="171" t="s">
        <v>241</v>
      </c>
      <c r="EP21" s="120" t="s">
        <v>242</v>
      </c>
      <c r="EQ21" s="120" t="s">
        <v>243</v>
      </c>
      <c r="ER21" s="172">
        <v>37.381999999999998</v>
      </c>
      <c r="EU21" s="120" t="s">
        <v>224</v>
      </c>
      <c r="EV21" s="179">
        <v>390</v>
      </c>
      <c r="EW21" s="120" t="s">
        <v>244</v>
      </c>
      <c r="EX21" s="120" t="s">
        <v>245</v>
      </c>
      <c r="EY21" s="120" t="s">
        <v>246</v>
      </c>
      <c r="FA21" s="180">
        <f>IVA!EY21*IVA!EO20*12/1000</f>
        <v>18054562.33512</v>
      </c>
      <c r="FB21" s="34">
        <f>IVA!FA21/IVA!CM14</f>
        <v>3.1434710641798556E-2</v>
      </c>
      <c r="FC21" s="34"/>
    </row>
    <row r="22" spans="27:159" ht="12.75" customHeight="1">
      <c r="AA22" s="121">
        <v>2009</v>
      </c>
      <c r="AB22" s="121" t="s">
        <v>79</v>
      </c>
      <c r="AC22" s="122"/>
      <c r="AD22" s="123"/>
      <c r="AE22" s="190">
        <v>6706199</v>
      </c>
      <c r="AF22" s="190">
        <v>6745113</v>
      </c>
      <c r="AG22" s="190">
        <v>6693073</v>
      </c>
      <c r="AH22" s="190">
        <v>6938124</v>
      </c>
      <c r="AI22" s="190">
        <v>6731003</v>
      </c>
      <c r="AJ22" s="190">
        <v>7247128</v>
      </c>
      <c r="AK22" s="190">
        <v>7799794</v>
      </c>
      <c r="AL22" s="190">
        <v>7517149</v>
      </c>
      <c r="AM22" s="190">
        <v>7922536</v>
      </c>
      <c r="AN22" s="190">
        <v>7683578</v>
      </c>
      <c r="AO22" s="190">
        <v>7424121</v>
      </c>
      <c r="AP22" s="190">
        <v>7977915</v>
      </c>
      <c r="AQ22" s="126">
        <f>IVA!AE22+IVA!AF22+IVA!AG22</f>
        <v>20144385</v>
      </c>
      <c r="AR22" s="126">
        <f>IVA!AH22+IVA!AI22+IVA!AJ22</f>
        <v>20916255</v>
      </c>
      <c r="AS22" s="126">
        <f>IVA!AK22+IVA!AL22+IVA!AM22</f>
        <v>23239479</v>
      </c>
      <c r="AT22" s="126">
        <f>IVA!AN22+IVA!AO22+IVA!AP22</f>
        <v>23085614</v>
      </c>
      <c r="AU22" s="127">
        <f>IVA!AQ22+IVA!AR22+IVA!AS22+IVA!AT22</f>
        <v>87385733</v>
      </c>
      <c r="AV22" s="128">
        <f>IVA!AQ22/IVA!CJ18</f>
        <v>2.0287166074834686E-2</v>
      </c>
      <c r="AW22" s="128">
        <f>IVA!AR22/IVA!CK18</f>
        <v>1.7497688854811237E-2</v>
      </c>
      <c r="AX22" s="128">
        <f>IVA!AS22/IVA!CL18</f>
        <v>1.9883282218017769E-2</v>
      </c>
      <c r="AY22" s="128">
        <f>IVA!AT22/IVA!CM18</f>
        <v>1.8849957786798214E-2</v>
      </c>
      <c r="AZ22" s="129">
        <f>IVA!AU22/IVA!CN18</f>
        <v>7.6288879504080448E-2</v>
      </c>
      <c r="BA22" s="130">
        <v>2009</v>
      </c>
      <c r="BB22" s="131" t="s">
        <v>80</v>
      </c>
      <c r="BC22" s="131"/>
      <c r="BD22" s="131"/>
      <c r="BE22" s="131"/>
      <c r="BF22" s="132">
        <f>0.89*IVA!AE22</f>
        <v>5968517.1100000003</v>
      </c>
      <c r="BG22" s="132">
        <f>0.89*IVA!AF22</f>
        <v>6003150.5700000003</v>
      </c>
      <c r="BH22" s="132">
        <f>0.89*IVA!AG22</f>
        <v>5956834.9699999997</v>
      </c>
      <c r="BI22" s="132">
        <f>0.89*IVA!AH22</f>
        <v>6174930.3600000003</v>
      </c>
      <c r="BJ22" s="132">
        <f>0.89*IVA!AI22</f>
        <v>5990592.6699999999</v>
      </c>
      <c r="BK22" s="132">
        <f>0.89*IVA!AJ22</f>
        <v>6449943.9199999999</v>
      </c>
      <c r="BL22" s="132">
        <f>0.89*IVA!AK22</f>
        <v>6941816.6600000001</v>
      </c>
      <c r="BM22" s="132">
        <f>0.89*IVA!AL22</f>
        <v>6690262.6100000003</v>
      </c>
      <c r="BN22" s="132">
        <f>0.89*IVA!AM22</f>
        <v>7051057.04</v>
      </c>
      <c r="BO22" s="132">
        <f>0.89*IVA!AN22</f>
        <v>6838384.4199999999</v>
      </c>
      <c r="BP22" s="132">
        <f>0.89*IVA!AO22</f>
        <v>6607467.6900000004</v>
      </c>
      <c r="BQ22" s="132">
        <f>0.89*IVA!AP22</f>
        <v>7100344.3500000006</v>
      </c>
      <c r="BR22" s="173">
        <f>0.89*IVA!AQ22</f>
        <v>17928502.649999999</v>
      </c>
      <c r="BS22" s="173">
        <f>0.89*IVA!AR22</f>
        <v>18615466.949999999</v>
      </c>
      <c r="BT22" s="173">
        <f>0.89*IVA!AS22</f>
        <v>20683136.309999999</v>
      </c>
      <c r="BU22" s="174">
        <f>0.89*IVA!AT22</f>
        <v>20546196.460000001</v>
      </c>
      <c r="BV22" s="135">
        <f>0.89*IVA!AU22</f>
        <v>77773302.370000005</v>
      </c>
      <c r="BW22" s="136">
        <f>IVA!BR22/IVA!CJ18</f>
        <v>1.8055577806602871E-2</v>
      </c>
      <c r="BX22" s="137">
        <f>IVA!BS22/IVA!CK18</f>
        <v>1.5572943080782E-2</v>
      </c>
      <c r="BY22" s="136">
        <f>IVA!BT22/IVA!CL18</f>
        <v>1.7696121174035816E-2</v>
      </c>
      <c r="BZ22" s="136">
        <f>IVA!BU22/IVA!CM18</f>
        <v>1.6776462430250411E-2</v>
      </c>
      <c r="CA22" s="138">
        <f>IVA!BV22/IVA!CN18</f>
        <v>6.7897102758631603E-2</v>
      </c>
      <c r="CH22" s="13"/>
      <c r="CI22" s="233"/>
      <c r="CJ22" s="63"/>
      <c r="CK22" s="63"/>
      <c r="CL22" s="63"/>
      <c r="CM22" s="63"/>
      <c r="CN22" s="63"/>
      <c r="CO22" s="63"/>
      <c r="CP22" s="63"/>
      <c r="CQ22" s="13"/>
      <c r="CS22" s="218"/>
      <c r="CT22" s="97" t="s">
        <v>247</v>
      </c>
      <c r="CU22" s="196">
        <v>0</v>
      </c>
      <c r="CV22" s="197">
        <v>0</v>
      </c>
      <c r="CW22" s="198">
        <v>0</v>
      </c>
      <c r="CX22" s="146">
        <v>0</v>
      </c>
      <c r="CY22" s="197">
        <v>1729371.1189999999</v>
      </c>
      <c r="CZ22" s="197">
        <v>0</v>
      </c>
      <c r="DA22" s="197">
        <v>0</v>
      </c>
      <c r="DB22" s="197">
        <v>1729371.1189999999</v>
      </c>
      <c r="DC22" s="199">
        <v>0</v>
      </c>
      <c r="DD22" s="197">
        <v>0</v>
      </c>
      <c r="DE22" s="197">
        <v>0</v>
      </c>
      <c r="DF22" s="197">
        <v>0</v>
      </c>
      <c r="DG22" s="200">
        <v>1729371.1189999999</v>
      </c>
      <c r="DH22" s="146"/>
      <c r="DI22" s="113"/>
      <c r="DJ22" s="114" t="s">
        <v>102</v>
      </c>
      <c r="DK22" s="164">
        <v>24278178</v>
      </c>
      <c r="DL22" s="146"/>
      <c r="DM22" s="115" t="s">
        <v>74</v>
      </c>
      <c r="DN22" s="116">
        <v>2007</v>
      </c>
      <c r="DO22" s="117">
        <v>1200</v>
      </c>
      <c r="DP22" s="117">
        <v>3793400</v>
      </c>
      <c r="DQ22" s="117">
        <v>2000</v>
      </c>
      <c r="DR22" s="117">
        <v>43694100</v>
      </c>
      <c r="DS22" s="117">
        <v>50460800</v>
      </c>
      <c r="DT22" s="117">
        <v>2970100</v>
      </c>
      <c r="DU22" s="117">
        <v>0</v>
      </c>
      <c r="DV22" s="117">
        <v>50460800</v>
      </c>
      <c r="DW22" s="118">
        <f>IVA!CY38/IVA!DV22</f>
        <v>0.67968518132887312</v>
      </c>
      <c r="DX22" s="119"/>
      <c r="DY22" s="220" t="s">
        <v>248</v>
      </c>
      <c r="DZ22" s="221"/>
      <c r="EA22" s="204"/>
      <c r="EB22" s="234" t="s">
        <v>249</v>
      </c>
      <c r="EC22" s="234" t="s">
        <v>250</v>
      </c>
      <c r="ED22" s="234" t="s">
        <v>251</v>
      </c>
      <c r="EE22" s="234" t="s">
        <v>252</v>
      </c>
      <c r="EF22" s="234" t="s">
        <v>252</v>
      </c>
      <c r="EG22" s="235" t="s">
        <v>253</v>
      </c>
      <c r="EH22" s="236" t="s">
        <v>254</v>
      </c>
      <c r="EJ22" s="31">
        <v>1970</v>
      </c>
      <c r="EK22" s="32">
        <v>2113.5740000000001</v>
      </c>
      <c r="EL22" s="33">
        <v>1647.002</v>
      </c>
      <c r="EN22" s="120" t="s">
        <v>255</v>
      </c>
      <c r="EO22" s="171" t="s">
        <v>256</v>
      </c>
      <c r="EP22" s="120" t="s">
        <v>257</v>
      </c>
      <c r="EQ22" s="120" t="s">
        <v>258</v>
      </c>
      <c r="ER22" s="172">
        <v>34.433</v>
      </c>
      <c r="EU22" s="120" t="s">
        <v>240</v>
      </c>
      <c r="EV22" s="179">
        <v>470</v>
      </c>
      <c r="EW22" s="120" t="s">
        <v>259</v>
      </c>
      <c r="EX22" s="120" t="s">
        <v>260</v>
      </c>
      <c r="EY22" s="120" t="s">
        <v>261</v>
      </c>
      <c r="FA22" s="180">
        <f>IVA!EY22*IVA!EO21*12/1000</f>
        <v>23666730.024239998</v>
      </c>
      <c r="FB22" s="34">
        <f>IVA!FA22/IVA!CM15</f>
        <v>3.3651647676983393E-2</v>
      </c>
      <c r="FC22" s="34"/>
    </row>
    <row r="23" spans="27:159" ht="12.75" customHeight="1">
      <c r="AA23" s="121">
        <v>2010</v>
      </c>
      <c r="AB23" s="121" t="s">
        <v>79</v>
      </c>
      <c r="AC23" s="122"/>
      <c r="AD23" s="123"/>
      <c r="AE23" s="190">
        <v>8255321</v>
      </c>
      <c r="AF23" s="190">
        <v>8239567</v>
      </c>
      <c r="AG23" s="190">
        <v>8574261</v>
      </c>
      <c r="AH23" s="190">
        <v>8835472</v>
      </c>
      <c r="AI23" s="190">
        <v>8953236</v>
      </c>
      <c r="AJ23" s="190">
        <v>9938015</v>
      </c>
      <c r="AK23" s="190">
        <v>10155768</v>
      </c>
      <c r="AL23" s="190">
        <v>10311782</v>
      </c>
      <c r="AM23" s="190">
        <v>10723052</v>
      </c>
      <c r="AN23" s="190">
        <v>10123143</v>
      </c>
      <c r="AO23" s="190">
        <v>10634620</v>
      </c>
      <c r="AP23" s="190">
        <v>11641750</v>
      </c>
      <c r="AQ23" s="126">
        <f>IVA!AE23+IVA!AF23+IVA!AG23</f>
        <v>25069149</v>
      </c>
      <c r="AR23" s="126">
        <f>IVA!AH23+IVA!AI23+IVA!AJ23</f>
        <v>27726723</v>
      </c>
      <c r="AS23" s="126">
        <f>IVA!AK23+IVA!AL23+IVA!AM23</f>
        <v>31190602</v>
      </c>
      <c r="AT23" s="126">
        <f>IVA!AN23+IVA!AO23+IVA!AP23</f>
        <v>32399513</v>
      </c>
      <c r="AU23" s="127">
        <f>IVA!AQ23+IVA!AR23+IVA!AS23+IVA!AT23</f>
        <v>116385987</v>
      </c>
      <c r="AV23" s="128">
        <f>IVA!AQ23/IVA!CJ19</f>
        <v>2.0592689552407999E-2</v>
      </c>
      <c r="AW23" s="128">
        <f>IVA!AR23/IVA!CK19</f>
        <v>1.8382938751688435E-2</v>
      </c>
      <c r="AX23" s="128">
        <f>IVA!AS23/IVA!CL19</f>
        <v>2.1278070805411307E-2</v>
      </c>
      <c r="AY23" s="128">
        <f>IVA!AT23/IVA!CM19</f>
        <v>2.051772915779829E-2</v>
      </c>
      <c r="AZ23" s="129">
        <f>IVA!AU23/IVA!CN19</f>
        <v>8.0674836642673373E-2</v>
      </c>
      <c r="BA23" s="130">
        <v>2010</v>
      </c>
      <c r="BB23" s="131" t="s">
        <v>80</v>
      </c>
      <c r="BC23" s="131"/>
      <c r="BD23" s="131"/>
      <c r="BE23" s="131"/>
      <c r="BF23" s="132">
        <f>0.89*IVA!AE23</f>
        <v>7347235.6900000004</v>
      </c>
      <c r="BG23" s="132">
        <f>0.89*IVA!AF23</f>
        <v>7333214.6299999999</v>
      </c>
      <c r="BH23" s="132">
        <f>0.89*IVA!AG23</f>
        <v>7631092.29</v>
      </c>
      <c r="BI23" s="132">
        <f>0.89*IVA!AH23</f>
        <v>7863570.0800000001</v>
      </c>
      <c r="BJ23" s="132">
        <f>0.89*IVA!AI23</f>
        <v>7968380.04</v>
      </c>
      <c r="BK23" s="132">
        <f>0.89*IVA!AJ23</f>
        <v>8844833.3499999996</v>
      </c>
      <c r="BL23" s="132">
        <f>0.89*IVA!AK23</f>
        <v>9038633.5199999996</v>
      </c>
      <c r="BM23" s="132">
        <f>0.89*IVA!AL23</f>
        <v>9177485.9800000004</v>
      </c>
      <c r="BN23" s="132">
        <f>0.89*IVA!AM23</f>
        <v>9543516.2799999993</v>
      </c>
      <c r="BO23" s="132">
        <f>0.89*IVA!AN23</f>
        <v>9009597.2699999996</v>
      </c>
      <c r="BP23" s="132">
        <f>0.89*IVA!AO23</f>
        <v>9464811.8000000007</v>
      </c>
      <c r="BQ23" s="132">
        <f>0.89*IVA!AP23</f>
        <v>10361157.5</v>
      </c>
      <c r="BR23" s="173">
        <f>0.89*IVA!AQ23</f>
        <v>22311542.609999999</v>
      </c>
      <c r="BS23" s="173">
        <f>0.89*IVA!AR23</f>
        <v>24676783.469999999</v>
      </c>
      <c r="BT23" s="173">
        <f>0.89*IVA!AS23</f>
        <v>27759635.780000001</v>
      </c>
      <c r="BU23" s="174">
        <f>0.89*IVA!AT23</f>
        <v>28835566.57</v>
      </c>
      <c r="BV23" s="135">
        <f>0.89*IVA!AU23</f>
        <v>103583528.43000001</v>
      </c>
      <c r="BW23" s="136">
        <f>IVA!BR23/IVA!CJ19</f>
        <v>1.8327493701643115E-2</v>
      </c>
      <c r="BX23" s="137">
        <f>IVA!BS23/IVA!CK19</f>
        <v>1.6360815489002707E-2</v>
      </c>
      <c r="BY23" s="136">
        <f>IVA!BT23/IVA!CL19</f>
        <v>1.8937483016816064E-2</v>
      </c>
      <c r="BZ23" s="136">
        <f>IVA!BU23/IVA!CM19</f>
        <v>1.8260778950440478E-2</v>
      </c>
      <c r="CA23" s="138">
        <f>IVA!BV23/IVA!CN19</f>
        <v>7.1800604611979305E-2</v>
      </c>
      <c r="CH23" s="13"/>
      <c r="CI23" s="237"/>
      <c r="CJ23" s="26"/>
      <c r="CK23" s="26"/>
      <c r="CL23" s="26"/>
      <c r="CM23" s="26"/>
      <c r="CN23" s="26"/>
      <c r="CO23" s="26"/>
      <c r="CP23" s="26"/>
      <c r="CQ23" s="27"/>
      <c r="CS23" s="218"/>
      <c r="CT23" s="97" t="s">
        <v>262</v>
      </c>
      <c r="CU23" s="196">
        <v>0</v>
      </c>
      <c r="CV23" s="197">
        <v>426862.86700000003</v>
      </c>
      <c r="CW23" s="198">
        <v>426862.86700000003</v>
      </c>
      <c r="CX23" s="146">
        <v>0</v>
      </c>
      <c r="CY23" s="197">
        <v>0</v>
      </c>
      <c r="CZ23" s="197">
        <v>0</v>
      </c>
      <c r="DA23" s="197">
        <v>0</v>
      </c>
      <c r="DB23" s="197">
        <v>426862.86700000003</v>
      </c>
      <c r="DC23" s="199">
        <v>1279889.1000000001</v>
      </c>
      <c r="DD23" s="197">
        <v>0</v>
      </c>
      <c r="DE23" s="197">
        <v>0</v>
      </c>
      <c r="DF23" s="197">
        <v>1279889.1000000001</v>
      </c>
      <c r="DG23" s="200">
        <v>1706751.9669999999</v>
      </c>
      <c r="DH23" s="146">
        <v>201515996203</v>
      </c>
      <c r="DI23" s="97">
        <v>2004</v>
      </c>
      <c r="DJ23" s="97" t="s">
        <v>84</v>
      </c>
      <c r="DK23" s="145">
        <v>21726488</v>
      </c>
      <c r="DL23" s="146"/>
      <c r="DM23" s="147" t="s">
        <v>74</v>
      </c>
      <c r="DN23" s="148">
        <v>2008</v>
      </c>
      <c r="DO23" s="149">
        <v>1200</v>
      </c>
      <c r="DP23" s="149">
        <v>5077000</v>
      </c>
      <c r="DQ23" s="149">
        <v>2300</v>
      </c>
      <c r="DR23" s="149">
        <v>55446800</v>
      </c>
      <c r="DS23" s="149">
        <v>64551800</v>
      </c>
      <c r="DT23" s="149">
        <v>4024500</v>
      </c>
      <c r="DU23" s="149">
        <v>0</v>
      </c>
      <c r="DV23" s="149">
        <v>64551800</v>
      </c>
      <c r="DW23" s="150">
        <f>IVA!CY37/IVA!DV23</f>
        <v>0.7737325121995049</v>
      </c>
      <c r="DX23" s="151"/>
      <c r="DY23" s="175" t="s">
        <v>163</v>
      </c>
      <c r="DZ23" s="45"/>
      <c r="EA23" s="208">
        <v>1995</v>
      </c>
      <c r="EB23" s="225" t="s">
        <v>263</v>
      </c>
      <c r="EC23" s="225" t="s">
        <v>264</v>
      </c>
      <c r="ED23" s="225" t="s">
        <v>265</v>
      </c>
      <c r="EE23" s="225" t="s">
        <v>266</v>
      </c>
      <c r="EF23" s="225" t="s">
        <v>267</v>
      </c>
      <c r="EG23" s="226" t="s">
        <v>268</v>
      </c>
      <c r="EH23" s="227" t="s">
        <v>269</v>
      </c>
      <c r="EJ23" s="31">
        <v>1971</v>
      </c>
      <c r="EK23" s="32">
        <v>2189.1660000000002</v>
      </c>
      <c r="EL23" s="33">
        <v>1710.0930000000001</v>
      </c>
      <c r="EN23" s="120" t="s">
        <v>270</v>
      </c>
      <c r="EO23" s="171" t="s">
        <v>271</v>
      </c>
      <c r="EP23" s="120" t="s">
        <v>272</v>
      </c>
      <c r="EQ23" s="120" t="s">
        <v>273</v>
      </c>
      <c r="ER23" s="172">
        <v>32.374000000000002</v>
      </c>
      <c r="EU23" s="120" t="s">
        <v>255</v>
      </c>
      <c r="EV23" s="120" t="s">
        <v>274</v>
      </c>
      <c r="EW23" s="120" t="s">
        <v>275</v>
      </c>
      <c r="EX23" s="120" t="s">
        <v>276</v>
      </c>
      <c r="EY23" s="120" t="s">
        <v>277</v>
      </c>
      <c r="FA23" s="180">
        <f>IVA!EY23*IVA!EO22*12/1000</f>
        <v>36159494.496479996</v>
      </c>
      <c r="FB23" s="34">
        <f>IVA!FA23/IVA!CM16</f>
        <v>3.9906079853607279E-2</v>
      </c>
      <c r="FC23" s="34"/>
    </row>
    <row r="24" spans="27:159" ht="12.75" customHeight="1">
      <c r="AA24" s="121">
        <v>2011</v>
      </c>
      <c r="AB24" s="121" t="s">
        <v>79</v>
      </c>
      <c r="AC24" s="122"/>
      <c r="AD24" s="123"/>
      <c r="AE24" s="190">
        <v>11837261</v>
      </c>
      <c r="AF24" s="190">
        <v>10688599</v>
      </c>
      <c r="AG24" s="190">
        <v>11738207</v>
      </c>
      <c r="AH24" s="190">
        <v>11578092</v>
      </c>
      <c r="AI24" s="190">
        <v>13042289</v>
      </c>
      <c r="AJ24" s="190">
        <v>12271736</v>
      </c>
      <c r="AK24" s="190">
        <v>13214158</v>
      </c>
      <c r="AL24" s="190">
        <v>13565315</v>
      </c>
      <c r="AM24" s="190">
        <v>14322532</v>
      </c>
      <c r="AN24" s="190">
        <v>13056506</v>
      </c>
      <c r="AO24" s="190">
        <v>15087993</v>
      </c>
      <c r="AP24" s="190">
        <v>13834180</v>
      </c>
      <c r="AQ24" s="126">
        <f>IVA!AE24+IVA!AF24+IVA!AG24</f>
        <v>34264067</v>
      </c>
      <c r="AR24" s="126">
        <f>IVA!AH24+IVA!AI24+IVA!AJ24</f>
        <v>36892117</v>
      </c>
      <c r="AS24" s="126">
        <f>IVA!AK24+IVA!AL24+IVA!AM24</f>
        <v>41102005</v>
      </c>
      <c r="AT24" s="126">
        <f>IVA!AN24+IVA!AO24+IVA!AP24</f>
        <v>41978679</v>
      </c>
      <c r="AU24" s="127">
        <f>IVA!AQ24+IVA!AR24+IVA!AS24+IVA!AT24</f>
        <v>154236868</v>
      </c>
      <c r="AV24" s="128">
        <f>IVA!AQ24/IVA!CJ20</f>
        <v>2.1857938350833769E-2</v>
      </c>
      <c r="AW24" s="128">
        <f>IVA!AR24/IVA!CK20</f>
        <v>1.8667951978253348E-2</v>
      </c>
      <c r="AX24" s="128">
        <f>IVA!AS24/IVA!CL20</f>
        <v>2.2033990286707571E-2</v>
      </c>
      <c r="AY24" s="128">
        <f>IVA!AT24/IVA!CM20</f>
        <v>2.1429828279807574E-2</v>
      </c>
      <c r="AZ24" s="129">
        <f>IVA!AU24/IVA!CN20</f>
        <v>8.373236406412847E-2</v>
      </c>
      <c r="BA24" s="130">
        <v>2011</v>
      </c>
      <c r="BB24" s="131" t="s">
        <v>80</v>
      </c>
      <c r="BC24" s="131"/>
      <c r="BD24" s="131"/>
      <c r="BE24" s="131"/>
      <c r="BF24" s="132">
        <f>0.89*IVA!AE24</f>
        <v>10535162.290000001</v>
      </c>
      <c r="BG24" s="132">
        <f>0.89*IVA!AF24</f>
        <v>9512853.1099999994</v>
      </c>
      <c r="BH24" s="132">
        <f>0.89*IVA!AG24</f>
        <v>10447004.23</v>
      </c>
      <c r="BI24" s="132">
        <f>0.89*IVA!AH24</f>
        <v>10304501.880000001</v>
      </c>
      <c r="BJ24" s="132">
        <f>0.89*IVA!AI24</f>
        <v>11607637.210000001</v>
      </c>
      <c r="BK24" s="132">
        <f>0.89*IVA!AJ24</f>
        <v>10921845.040000001</v>
      </c>
      <c r="BL24" s="132">
        <f>0.89*IVA!AK24</f>
        <v>11760600.620000001</v>
      </c>
      <c r="BM24" s="132">
        <f>0.89*IVA!AL24</f>
        <v>12073130.35</v>
      </c>
      <c r="BN24" s="132">
        <f>0.89*IVA!AM24</f>
        <v>12747053.48</v>
      </c>
      <c r="BO24" s="132">
        <f>0.89*IVA!AN24</f>
        <v>11620290.34</v>
      </c>
      <c r="BP24" s="132">
        <f>0.89*IVA!AO24</f>
        <v>13428313.77</v>
      </c>
      <c r="BQ24" s="132">
        <f>0.89*IVA!AP24</f>
        <v>12312420.199999999</v>
      </c>
      <c r="BR24" s="173">
        <f>0.89*IVA!AQ24</f>
        <v>30495019.629999999</v>
      </c>
      <c r="BS24" s="173">
        <f>0.89*IVA!AR24</f>
        <v>32833984.129999999</v>
      </c>
      <c r="BT24" s="173">
        <f>0.89*IVA!AS24</f>
        <v>36580784.450000003</v>
      </c>
      <c r="BU24" s="174">
        <f>0.89*IVA!AT24</f>
        <v>37361024.310000002</v>
      </c>
      <c r="BV24" s="135">
        <f>0.89*IVA!AU24</f>
        <v>137270812.52000001</v>
      </c>
      <c r="BW24" s="136">
        <f>IVA!BR24/IVA!CJ20</f>
        <v>1.9453565132242053E-2</v>
      </c>
      <c r="BX24" s="137">
        <f>IVA!BS24/IVA!CK20</f>
        <v>1.661447726064548E-2</v>
      </c>
      <c r="BY24" s="136">
        <f>IVA!BT24/IVA!CL20</f>
        <v>1.961025135516974E-2</v>
      </c>
      <c r="BZ24" s="136">
        <f>IVA!BU24/IVA!CM20</f>
        <v>1.9072547169028745E-2</v>
      </c>
      <c r="CA24" s="138">
        <f>IVA!BV24/IVA!CN20</f>
        <v>7.4521804017074353E-2</v>
      </c>
      <c r="CH24" s="13"/>
      <c r="CI24" s="237"/>
      <c r="CJ24" s="26"/>
      <c r="CK24" s="26"/>
      <c r="CL24" s="26"/>
      <c r="CM24" s="26"/>
      <c r="CN24" s="26"/>
      <c r="CO24" s="26"/>
      <c r="CP24" s="26"/>
      <c r="CQ24" s="27"/>
      <c r="CS24" s="113"/>
      <c r="CT24" s="114" t="s">
        <v>278</v>
      </c>
      <c r="CU24" s="238">
        <v>0</v>
      </c>
      <c r="CV24" s="239">
        <v>0</v>
      </c>
      <c r="CW24" s="240">
        <v>0</v>
      </c>
      <c r="CX24" s="241">
        <v>0</v>
      </c>
      <c r="CY24" s="239">
        <v>0</v>
      </c>
      <c r="CZ24" s="239">
        <v>0</v>
      </c>
      <c r="DA24" s="239">
        <v>9377422.9979999997</v>
      </c>
      <c r="DB24" s="239">
        <v>9377422.9979999997</v>
      </c>
      <c r="DC24" s="242">
        <v>0</v>
      </c>
      <c r="DD24" s="239">
        <v>0</v>
      </c>
      <c r="DE24" s="239">
        <v>0</v>
      </c>
      <c r="DF24" s="239">
        <v>0</v>
      </c>
      <c r="DG24" s="164">
        <v>9377422.9979999997</v>
      </c>
      <c r="DH24" s="146"/>
      <c r="DI24" s="113"/>
      <c r="DJ24" s="114" t="s">
        <v>102</v>
      </c>
      <c r="DK24" s="164">
        <v>21491769</v>
      </c>
      <c r="DL24" s="146"/>
      <c r="DM24" s="115" t="s">
        <v>74</v>
      </c>
      <c r="DN24" s="116">
        <v>2009</v>
      </c>
      <c r="DO24" s="117">
        <v>300</v>
      </c>
      <c r="DP24" s="117">
        <v>7496600</v>
      </c>
      <c r="DQ24" s="117">
        <v>2300</v>
      </c>
      <c r="DR24" s="117">
        <v>70405400</v>
      </c>
      <c r="DS24" s="117">
        <v>83240000</v>
      </c>
      <c r="DT24" s="117">
        <v>5335400</v>
      </c>
      <c r="DU24" s="117">
        <v>0</v>
      </c>
      <c r="DV24" s="117">
        <v>83240000</v>
      </c>
      <c r="DW24" s="118">
        <f>IVA!CY36/IVA!DV24</f>
        <v>0.85017631017539641</v>
      </c>
      <c r="DX24" s="119"/>
      <c r="DY24" s="213" t="s">
        <v>279</v>
      </c>
      <c r="EA24" s="177"/>
      <c r="EB24" s="228" t="s">
        <v>280</v>
      </c>
      <c r="EC24" s="228" t="s">
        <v>281</v>
      </c>
      <c r="ED24" s="228" t="s">
        <v>282</v>
      </c>
      <c r="EE24" s="228" t="s">
        <v>283</v>
      </c>
      <c r="EF24" s="228" t="s">
        <v>284</v>
      </c>
      <c r="EG24" s="229" t="s">
        <v>285</v>
      </c>
      <c r="EH24" s="230" t="s">
        <v>286</v>
      </c>
      <c r="EJ24" s="31">
        <v>1972</v>
      </c>
      <c r="EK24" s="32">
        <v>2264.9279999999999</v>
      </c>
      <c r="EL24" s="33">
        <v>1773.069</v>
      </c>
      <c r="EN24" s="120" t="s">
        <v>287</v>
      </c>
      <c r="EO24" s="171" t="s">
        <v>288</v>
      </c>
      <c r="EP24" s="120" t="s">
        <v>289</v>
      </c>
      <c r="EQ24" s="120" t="s">
        <v>290</v>
      </c>
      <c r="ER24" s="172">
        <v>30.338000000000001</v>
      </c>
      <c r="EU24" s="120" t="s">
        <v>270</v>
      </c>
      <c r="EV24" s="120" t="s">
        <v>291</v>
      </c>
      <c r="EW24" s="120" t="s">
        <v>292</v>
      </c>
      <c r="EX24" s="120" t="s">
        <v>293</v>
      </c>
      <c r="EY24" s="120" t="s">
        <v>294</v>
      </c>
      <c r="FA24" s="180">
        <f>IVA!EY24*IVA!EO23*12/1000</f>
        <v>44189356.884120002</v>
      </c>
      <c r="FB24" s="34">
        <f>IVA!FA24/IVA!CM17</f>
        <v>4.0995922546505699E-2</v>
      </c>
      <c r="FC24" s="34"/>
    </row>
    <row r="25" spans="27:159" ht="12.75" customHeight="1">
      <c r="AA25" s="243">
        <v>2012</v>
      </c>
      <c r="AB25" s="243" t="s">
        <v>79</v>
      </c>
      <c r="AC25" s="244"/>
      <c r="AD25" s="245"/>
      <c r="AE25" s="246">
        <v>15133217.50296</v>
      </c>
      <c r="AF25" s="246">
        <v>13731134.19355</v>
      </c>
      <c r="AG25" s="246">
        <v>13745798.31405</v>
      </c>
      <c r="AH25" s="246">
        <v>13896190.50529</v>
      </c>
      <c r="AI25" s="246">
        <v>15799455.049350001</v>
      </c>
      <c r="AJ25" s="246">
        <v>15391307.27413</v>
      </c>
      <c r="AK25" s="246">
        <v>15539791.31518</v>
      </c>
      <c r="AL25" s="246">
        <v>16910365.376869999</v>
      </c>
      <c r="AM25" s="246">
        <v>16787456.162409998</v>
      </c>
      <c r="AN25" s="246">
        <v>17557266.979479998</v>
      </c>
      <c r="AO25" s="246">
        <v>17816709.746259999</v>
      </c>
      <c r="AP25" s="246">
        <v>18187747.933600001</v>
      </c>
      <c r="AQ25" s="247">
        <f>IVA!AE25+IVA!AF25+IVA!AG25</f>
        <v>42610150.010560006</v>
      </c>
      <c r="AR25" s="247">
        <f>IVA!AH25+IVA!AI25+IVA!AJ25</f>
        <v>45086952.828770004</v>
      </c>
      <c r="AS25" s="247">
        <f>IVA!AK25+IVA!AL25+IVA!AM25</f>
        <v>49237612.854460001</v>
      </c>
      <c r="AT25" s="247">
        <f>IVA!AN25+IVA!AO25+IVA!AP25</f>
        <v>53561724.659340002</v>
      </c>
      <c r="AU25" s="248">
        <f>IVA!AQ25+IVA!AR25+IVA!AS25+IVA!AT25</f>
        <v>190496440.35313001</v>
      </c>
      <c r="AV25" s="249">
        <f>IVA!AQ25/IVA!CJ21</f>
        <v>2.2726201180606264E-2</v>
      </c>
      <c r="AW25" s="250">
        <f>IVA!AR25/IVA!CK21</f>
        <v>1.9834467987975061E-2</v>
      </c>
      <c r="AX25" s="250">
        <f>IVA!AS25/IVA!CL21</f>
        <v>2.2555958082404549E-2</v>
      </c>
      <c r="AY25" s="250">
        <f>IVA!AT25/IVA!CM21</f>
        <v>2.3027620490011891E-2</v>
      </c>
      <c r="AZ25" s="251">
        <f>IVA!AU25/IVA!CN21</f>
        <v>8.801977745376148E-2</v>
      </c>
      <c r="BA25" s="252">
        <v>2012</v>
      </c>
      <c r="BB25" s="253" t="s">
        <v>80</v>
      </c>
      <c r="BC25" s="254"/>
      <c r="BD25" s="254"/>
      <c r="BE25" s="255"/>
      <c r="BF25" s="256">
        <f>0.89*IVA!AE25</f>
        <v>13468563.5776344</v>
      </c>
      <c r="BG25" s="256">
        <f>0.89*IVA!AF25</f>
        <v>12220709.4322595</v>
      </c>
      <c r="BH25" s="256">
        <f>0.89*IVA!AG25</f>
        <v>12233760.499504501</v>
      </c>
      <c r="BI25" s="256">
        <f>0.89*IVA!AH25</f>
        <v>12367609.5497081</v>
      </c>
      <c r="BJ25" s="256">
        <f>0.89*IVA!AI25</f>
        <v>14061514.993921502</v>
      </c>
      <c r="BK25" s="256">
        <f>0.89*IVA!AJ25</f>
        <v>13698263.473975699</v>
      </c>
      <c r="BL25" s="256">
        <f>0.89*IVA!AK25</f>
        <v>13830414.2705102</v>
      </c>
      <c r="BM25" s="256">
        <f>0.89*IVA!AL25</f>
        <v>15050225.185414299</v>
      </c>
      <c r="BN25" s="256">
        <f>0.89*IVA!AM25</f>
        <v>14940835.984544899</v>
      </c>
      <c r="BO25" s="256">
        <f>0.89*IVA!AN25</f>
        <v>15625967.611737199</v>
      </c>
      <c r="BP25" s="256">
        <f>0.89*IVA!AO25</f>
        <v>15856871.674171399</v>
      </c>
      <c r="BQ25" s="256">
        <f>0.89*IVA!AP25</f>
        <v>16187095.660904001</v>
      </c>
      <c r="BR25" s="257">
        <f>0.89*IVA!AQ25</f>
        <v>37923033.509398408</v>
      </c>
      <c r="BS25" s="257">
        <f>0.89*IVA!AR25</f>
        <v>40127388.017605305</v>
      </c>
      <c r="BT25" s="257">
        <f>0.89*IVA!AS25</f>
        <v>43821475.440469399</v>
      </c>
      <c r="BU25" s="258">
        <f>0.89*IVA!AT25</f>
        <v>47669934.9468126</v>
      </c>
      <c r="BV25" s="259">
        <f>0.89*IVA!AU25</f>
        <v>169541831.91428572</v>
      </c>
      <c r="BW25" s="260">
        <f>IVA!BR25/IVA!CJ21</f>
        <v>2.0226319050739575E-2</v>
      </c>
      <c r="BX25" s="261">
        <f>IVA!BS25/IVA!CK21</f>
        <v>1.7652676509297804E-2</v>
      </c>
      <c r="BY25" s="262">
        <f>IVA!BT25/IVA!CL21</f>
        <v>2.0074802693340048E-2</v>
      </c>
      <c r="BZ25" s="262">
        <f>IVA!BU25/IVA!CM21</f>
        <v>2.0494582236110583E-2</v>
      </c>
      <c r="CA25" s="263">
        <f>IVA!BV25/IVA!CN21</f>
        <v>7.8337601933847714E-2</v>
      </c>
      <c r="CH25" s="13"/>
      <c r="CI25" s="25" t="s">
        <v>295</v>
      </c>
      <c r="CJ25" s="26"/>
      <c r="CK25" s="26"/>
      <c r="CL25" s="26"/>
      <c r="CM25" s="26"/>
      <c r="CN25" s="26"/>
      <c r="CO25" s="26"/>
      <c r="CP25" s="26"/>
      <c r="CQ25" s="27"/>
      <c r="CS25" s="97">
        <v>2011</v>
      </c>
      <c r="CT25" s="206" t="s">
        <v>162</v>
      </c>
      <c r="CU25" s="196">
        <v>3462213</v>
      </c>
      <c r="CV25" s="197">
        <v>1934322.5379999999</v>
      </c>
      <c r="CW25" s="198">
        <v>5396535.5379999997</v>
      </c>
      <c r="CX25" s="146">
        <v>17631.095000000001</v>
      </c>
      <c r="CY25" s="207">
        <v>147757167.641</v>
      </c>
      <c r="CZ25" s="197">
        <v>351.36700000000002</v>
      </c>
      <c r="DA25" s="197">
        <v>34664061.358999997</v>
      </c>
      <c r="DB25" s="197">
        <v>187835747</v>
      </c>
      <c r="DC25" s="199">
        <v>2981893</v>
      </c>
      <c r="DD25" s="197">
        <v>0</v>
      </c>
      <c r="DE25" s="197">
        <v>0</v>
      </c>
      <c r="DF25" s="197">
        <v>2981893</v>
      </c>
      <c r="DG25" s="200">
        <v>190817640</v>
      </c>
      <c r="DH25" s="146"/>
      <c r="DI25" s="97">
        <v>2003</v>
      </c>
      <c r="DJ25" s="97" t="s">
        <v>84</v>
      </c>
      <c r="DK25" s="145">
        <v>19025257.100000001</v>
      </c>
      <c r="DL25" s="146"/>
      <c r="DM25" s="147" t="s">
        <v>74</v>
      </c>
      <c r="DN25" s="148">
        <v>2010</v>
      </c>
      <c r="DO25" s="149">
        <v>100</v>
      </c>
      <c r="DP25" s="149">
        <v>11798600</v>
      </c>
      <c r="DQ25" s="149">
        <v>2300</v>
      </c>
      <c r="DR25" s="149">
        <v>88672700</v>
      </c>
      <c r="DS25" s="149">
        <v>107068000</v>
      </c>
      <c r="DT25" s="149">
        <v>6594300</v>
      </c>
      <c r="DU25" s="149">
        <v>0</v>
      </c>
      <c r="DV25" s="149">
        <v>107068000</v>
      </c>
      <c r="DW25" s="150">
        <f>IVA!CY35/IVA!DV25</f>
        <v>0.78344432510180451</v>
      </c>
      <c r="DX25" s="151"/>
      <c r="DY25" s="213" t="s">
        <v>296</v>
      </c>
      <c r="EA25" s="193"/>
      <c r="EB25" s="228" t="s">
        <v>297</v>
      </c>
      <c r="EC25" s="228" t="s">
        <v>298</v>
      </c>
      <c r="ED25" s="228" t="s">
        <v>299</v>
      </c>
      <c r="EE25" s="228" t="s">
        <v>300</v>
      </c>
      <c r="EF25" s="228" t="s">
        <v>301</v>
      </c>
      <c r="EG25" s="229" t="s">
        <v>302</v>
      </c>
      <c r="EH25" s="230" t="s">
        <v>303</v>
      </c>
      <c r="EJ25" s="31">
        <v>1973</v>
      </c>
      <c r="EK25" s="32">
        <v>2339.9989999999998</v>
      </c>
      <c r="EL25" s="33">
        <v>1835.461</v>
      </c>
      <c r="EN25" s="120" t="s">
        <v>304</v>
      </c>
      <c r="EO25" s="171" t="s">
        <v>305</v>
      </c>
      <c r="EP25" s="120" t="s">
        <v>306</v>
      </c>
      <c r="EQ25" s="120" t="s">
        <v>307</v>
      </c>
      <c r="ER25" s="172">
        <v>27.402000000000001</v>
      </c>
      <c r="EU25" s="120" t="s">
        <v>287</v>
      </c>
      <c r="EV25" s="120" t="s">
        <v>308</v>
      </c>
      <c r="EW25" s="120" t="s">
        <v>309</v>
      </c>
      <c r="EX25" s="120" t="s">
        <v>310</v>
      </c>
      <c r="EY25" s="120" t="s">
        <v>311</v>
      </c>
      <c r="FA25" s="180">
        <f>IVA!EY25*IVA!EO24*12/1000</f>
        <v>57438547.179120004</v>
      </c>
      <c r="FB25" s="34">
        <f>IVA!FA25/IVA!CM18</f>
        <v>4.6899952050719972E-2</v>
      </c>
      <c r="FC25" s="34"/>
    </row>
    <row r="26" spans="27:159" ht="12.75" customHeight="1">
      <c r="AA26" s="121">
        <v>1996</v>
      </c>
      <c r="AB26" s="121" t="s">
        <v>312</v>
      </c>
      <c r="AC26" s="122"/>
      <c r="AD26" s="123"/>
      <c r="AE26" s="190">
        <f>IVA!AE9*0.9373*0.11</f>
        <v>155064.64373399998</v>
      </c>
      <c r="AF26" s="190">
        <f>IVA!AF9*0.9373*0.11</f>
        <v>152330.86768900001</v>
      </c>
      <c r="AG26" s="190">
        <f>IVA!AG9*0.9373*0.11</f>
        <v>157203.20616</v>
      </c>
      <c r="AH26" s="190">
        <f>IVA!AH9*0.9373*0.11</f>
        <v>148375.21799100001</v>
      </c>
      <c r="AI26" s="190">
        <f>IVA!AI9*0.9373*0.11</f>
        <v>157831.41273900002</v>
      </c>
      <c r="AJ26" s="190">
        <f>IVA!AJ9*0.9373*0.11</f>
        <v>165054.08719799999</v>
      </c>
      <c r="AK26" s="190">
        <f>IVA!AK9*0.9373*0.11</f>
        <v>161873.46275099998</v>
      </c>
      <c r="AL26" s="190">
        <f>IVA!AL9*0.9373*0.11</f>
        <v>166841.068394</v>
      </c>
      <c r="AM26" s="190">
        <f>IVA!AM9*0.9373*0.11</f>
        <v>142607.73927399999</v>
      </c>
      <c r="AN26" s="190">
        <f>IVA!AN9*0.9373*0.11</f>
        <v>181298.48036300001</v>
      </c>
      <c r="AO26" s="190">
        <f>IVA!AO9*0.9373*0.11</f>
        <v>164918.19744400002</v>
      </c>
      <c r="AP26" s="190">
        <f>IVA!AP9*0.9373*0.11</f>
        <v>150440.26797799999</v>
      </c>
      <c r="AQ26" s="126">
        <f>IVA!AE26+IVA!AF26+IVA!AG26</f>
        <v>464598.71758300002</v>
      </c>
      <c r="AR26" s="126">
        <f>IVA!AH26+IVA!AI26+IVA!AJ26</f>
        <v>471260.71792800003</v>
      </c>
      <c r="AS26" s="126">
        <f>IVA!AK26+IVA!AL26+IVA!AM26</f>
        <v>471322.27041900001</v>
      </c>
      <c r="AT26" s="126">
        <f>IVA!AN26+IVA!AO26+IVA!AP26</f>
        <v>496656.94578499999</v>
      </c>
      <c r="AU26" s="127">
        <f>IVA!AQ26+IVA!AR26+IVA!AS26+IVA!AT26</f>
        <v>1903838.6517149999</v>
      </c>
      <c r="AV26" s="249"/>
      <c r="AW26" s="250"/>
      <c r="AX26" s="250"/>
      <c r="AY26" s="250"/>
      <c r="AZ26" s="251"/>
      <c r="BA26" s="264">
        <v>1996</v>
      </c>
      <c r="BB26" s="265" t="s">
        <v>313</v>
      </c>
      <c r="BC26" s="266"/>
      <c r="BD26" s="266"/>
      <c r="BE26" s="266"/>
      <c r="BF26" s="267">
        <f>0.64*IVA!AE60</f>
        <v>306504.7466666667</v>
      </c>
      <c r="BG26" s="267">
        <f>0.64*IVA!AF60</f>
        <v>339112.74666666664</v>
      </c>
      <c r="BH26" s="267">
        <f>0.64*IVA!AG60</f>
        <v>279951.78666666668</v>
      </c>
      <c r="BI26" s="267">
        <f>0.64*IVA!AH60</f>
        <v>274335.78666666668</v>
      </c>
      <c r="BJ26" s="267">
        <f>0.64*IVA!AI60</f>
        <v>410504.74666666664</v>
      </c>
      <c r="BK26" s="267">
        <f>0.64*IVA!AJ60</f>
        <v>440552.10666666663</v>
      </c>
      <c r="BL26" s="267">
        <f>0.64*IVA!AK60</f>
        <v>326095.14666666667</v>
      </c>
      <c r="BM26" s="267">
        <f>0.64*IVA!AL60</f>
        <v>297645.8666666667</v>
      </c>
      <c r="BN26" s="267">
        <f>0.64*IVA!AM60</f>
        <v>278973.22666666668</v>
      </c>
      <c r="BO26" s="267">
        <f>0.64*IVA!AN60</f>
        <v>303387.94666666671</v>
      </c>
      <c r="BP26" s="267">
        <f>0.64*IVA!AO60</f>
        <v>400573.22666666663</v>
      </c>
      <c r="BQ26" s="268">
        <f>0.64*IVA!AP60</f>
        <v>324203.3066666667</v>
      </c>
      <c r="BR26" s="173">
        <f>0.64*IVA!AQ60</f>
        <v>925569.28</v>
      </c>
      <c r="BS26" s="173">
        <f>0.64*IVA!AR60</f>
        <v>893400.32000000007</v>
      </c>
      <c r="BT26" s="173">
        <f>0.64*IVA!AS60</f>
        <v>964792.32000000007</v>
      </c>
      <c r="BU26" s="174">
        <f>0.64*IVA!AT60</f>
        <v>1125392.6400000001</v>
      </c>
      <c r="BV26" s="135">
        <f>0.64*IVA!AU60</f>
        <v>3909154.56</v>
      </c>
      <c r="BW26" s="260"/>
      <c r="BX26" s="261"/>
      <c r="BY26" s="262"/>
      <c r="BZ26" s="262"/>
      <c r="CA26" s="263"/>
      <c r="CH26" s="13"/>
      <c r="CI26" s="237"/>
      <c r="CJ26" s="26"/>
      <c r="CK26" s="26"/>
      <c r="CL26" s="26"/>
      <c r="CM26" s="26"/>
      <c r="CN26" s="26"/>
      <c r="CO26" s="26"/>
      <c r="CP26" s="26"/>
      <c r="CQ26" s="27"/>
      <c r="CS26" s="218"/>
      <c r="CT26" s="97" t="s">
        <v>171</v>
      </c>
      <c r="CU26" s="196">
        <v>3462213</v>
      </c>
      <c r="CV26" s="197">
        <v>1505608.5379999999</v>
      </c>
      <c r="CW26" s="198">
        <v>4967821.5379999997</v>
      </c>
      <c r="CX26" s="146">
        <v>17631.095000000001</v>
      </c>
      <c r="CY26" s="197">
        <v>0</v>
      </c>
      <c r="CZ26" s="197">
        <v>351.36700000000002</v>
      </c>
      <c r="DA26" s="197">
        <v>5200</v>
      </c>
      <c r="DB26" s="197">
        <v>4991004</v>
      </c>
      <c r="DC26" s="199">
        <v>187413</v>
      </c>
      <c r="DD26" s="197">
        <v>0</v>
      </c>
      <c r="DE26" s="197">
        <v>0</v>
      </c>
      <c r="DF26" s="197">
        <v>187413</v>
      </c>
      <c r="DG26" s="200">
        <v>5178417</v>
      </c>
      <c r="DH26" s="146"/>
      <c r="DI26" s="113"/>
      <c r="DJ26" s="114" t="s">
        <v>102</v>
      </c>
      <c r="DK26" s="164">
        <v>18897752</v>
      </c>
      <c r="DL26" s="146"/>
      <c r="DM26" s="115" t="s">
        <v>74</v>
      </c>
      <c r="DN26" s="116">
        <v>2011</v>
      </c>
      <c r="DO26" s="117">
        <v>0</v>
      </c>
      <c r="DP26" s="117">
        <v>17236500</v>
      </c>
      <c r="DQ26" s="117">
        <v>6600</v>
      </c>
      <c r="DR26" s="117">
        <v>121919900</v>
      </c>
      <c r="DS26" s="117">
        <v>147085400</v>
      </c>
      <c r="DT26" s="117">
        <v>7922400</v>
      </c>
      <c r="DU26" s="117">
        <v>0</v>
      </c>
      <c r="DV26" s="117">
        <v>147085400</v>
      </c>
      <c r="DW26" s="118">
        <f>IVA!CY25/IVA!DV26</f>
        <v>1.0045671945753964</v>
      </c>
      <c r="DX26" s="119"/>
      <c r="DY26" s="220" t="s">
        <v>314</v>
      </c>
      <c r="DZ26" s="221"/>
      <c r="EA26" s="204"/>
      <c r="EB26" s="234" t="s">
        <v>315</v>
      </c>
      <c r="EC26" s="234" t="s">
        <v>316</v>
      </c>
      <c r="ED26" s="234" t="s">
        <v>317</v>
      </c>
      <c r="EE26" s="234" t="s">
        <v>318</v>
      </c>
      <c r="EF26" s="234" t="s">
        <v>318</v>
      </c>
      <c r="EG26" s="235" t="s">
        <v>319</v>
      </c>
      <c r="EH26" s="236" t="s">
        <v>320</v>
      </c>
      <c r="EJ26" s="31">
        <v>1974</v>
      </c>
      <c r="EK26" s="32">
        <v>2412.8290000000002</v>
      </c>
      <c r="EL26" s="33">
        <v>1896.3209999999999</v>
      </c>
      <c r="EN26" s="120" t="s">
        <v>321</v>
      </c>
      <c r="EO26" s="171" t="s">
        <v>322</v>
      </c>
      <c r="EP26" s="120" t="s">
        <v>323</v>
      </c>
      <c r="EQ26" s="120" t="s">
        <v>324</v>
      </c>
      <c r="ER26" s="172">
        <v>25.341000000000001</v>
      </c>
      <c r="EU26" s="120" t="s">
        <v>304</v>
      </c>
      <c r="EV26" s="120" t="s">
        <v>325</v>
      </c>
      <c r="EW26" s="120" t="s">
        <v>326</v>
      </c>
      <c r="EX26" s="120" t="s">
        <v>327</v>
      </c>
      <c r="EY26" s="120" t="s">
        <v>328</v>
      </c>
      <c r="FA26" s="180">
        <f>IVA!EY26*IVA!EO25*12/1000</f>
        <v>75031459.331399992</v>
      </c>
      <c r="FB26" s="34">
        <f>IVA!FA26/IVA!CM19</f>
        <v>4.7515379656355397E-2</v>
      </c>
      <c r="FC26" s="34"/>
    </row>
    <row r="27" spans="27:159" ht="12.75" customHeight="1">
      <c r="AA27" s="121">
        <v>1997</v>
      </c>
      <c r="AB27" s="121" t="s">
        <v>312</v>
      </c>
      <c r="AC27" s="122"/>
      <c r="AD27" s="123"/>
      <c r="AE27" s="190">
        <f>IVA!AE10*0.9373*0.11</f>
        <v>180901.12140100001</v>
      </c>
      <c r="AF27" s="190">
        <f>IVA!AF10*0.9373*0.11</f>
        <v>158064.21931300001</v>
      </c>
      <c r="AG27" s="190">
        <f>IVA!AG10*0.9373*0.11</f>
        <v>156802.13549000002</v>
      </c>
      <c r="AH27" s="190">
        <f>IVA!AH10*0.9373*0.11</f>
        <v>160291.14101000002</v>
      </c>
      <c r="AI27" s="190">
        <f>IVA!AI10*0.9373*0.11</f>
        <v>175251.79872200001</v>
      </c>
      <c r="AJ27" s="190">
        <f>IVA!AJ10*0.9373*0.11</f>
        <v>168103.25532</v>
      </c>
      <c r="AK27" s="190">
        <f>IVA!AK10*0.9373*0.11</f>
        <v>165417.73147900001</v>
      </c>
      <c r="AL27" s="190">
        <f>IVA!AL10*0.9373*0.11</f>
        <v>175485.43012</v>
      </c>
      <c r="AM27" s="190">
        <f>IVA!AM10*0.9373*0.11</f>
        <v>193290.28719</v>
      </c>
      <c r="AN27" s="190">
        <f>IVA!AN10*0.9373*0.11</f>
        <v>163583.01359399999</v>
      </c>
      <c r="AO27" s="190">
        <f>IVA!AO10*0.9373*0.11</f>
        <v>171620.09865</v>
      </c>
      <c r="AP27" s="190">
        <f>IVA!AP10*0.9373*0.11</f>
        <v>174728.75720299999</v>
      </c>
      <c r="AQ27" s="126">
        <f>IVA!AE27+IVA!AF27+IVA!AG27</f>
        <v>495767.47620400006</v>
      </c>
      <c r="AR27" s="126">
        <f>IVA!AH27+IVA!AI27+IVA!AJ27</f>
        <v>503646.195052</v>
      </c>
      <c r="AS27" s="126">
        <f>IVA!AK27+IVA!AL27+IVA!AM27</f>
        <v>534193.44878900005</v>
      </c>
      <c r="AT27" s="126">
        <f>IVA!AN27+IVA!AO27+IVA!AP27</f>
        <v>509931.86944699998</v>
      </c>
      <c r="AU27" s="127">
        <f>IVA!AQ27+IVA!AR27+IVA!AS27+IVA!AT27</f>
        <v>2043538.9894920001</v>
      </c>
      <c r="AV27" s="128">
        <f>IVA!AQ27/IVA!CJ6</f>
        <v>1.8276468193025143E-3</v>
      </c>
      <c r="AW27" s="128">
        <f>IVA!AR27/IVA!CK6</f>
        <v>1.6795342351646184E-3</v>
      </c>
      <c r="AX27" s="128">
        <f>IVA!AS27/IVA!CL6</f>
        <v>1.7910028464521363E-3</v>
      </c>
      <c r="AY27" s="128">
        <f>IVA!AT27/IVA!CM6</f>
        <v>1.688306356241434E-3</v>
      </c>
      <c r="AZ27" s="269">
        <f>IVA!AU27/IVA!CN6</f>
        <v>6.9778966856875683E-3</v>
      </c>
      <c r="BA27" s="270">
        <v>1997</v>
      </c>
      <c r="BB27" s="265" t="s">
        <v>313</v>
      </c>
      <c r="BC27" s="266"/>
      <c r="BD27" s="266"/>
      <c r="BE27" s="266"/>
      <c r="BF27" s="267">
        <f>0.64*IVA!AE61</f>
        <v>373382.18666666665</v>
      </c>
      <c r="BG27" s="267">
        <f>0.64*IVA!AF61</f>
        <v>310004.26666666666</v>
      </c>
      <c r="BH27" s="267">
        <f>0.64*IVA!AG61</f>
        <v>306868.90666666668</v>
      </c>
      <c r="BI27" s="267">
        <f>0.64*IVA!AH61</f>
        <v>447548.58666666667</v>
      </c>
      <c r="BJ27" s="267">
        <f>0.64*IVA!AI61</f>
        <v>793892.90666666673</v>
      </c>
      <c r="BK27" s="267">
        <f>0.64*IVA!AJ61</f>
        <v>393208.10666666663</v>
      </c>
      <c r="BL27" s="267">
        <f>0.64*IVA!AK61</f>
        <v>348570.02666666667</v>
      </c>
      <c r="BM27" s="267">
        <f>0.64*IVA!AL61</f>
        <v>397215.78666666662</v>
      </c>
      <c r="BN27" s="267">
        <f>0.64*IVA!AM61</f>
        <v>337003.30666666664</v>
      </c>
      <c r="BO27" s="267">
        <f>0.64*IVA!AN61</f>
        <v>414555.30666666664</v>
      </c>
      <c r="BP27" s="267">
        <f>0.64*IVA!AO61</f>
        <v>459578.66666666663</v>
      </c>
      <c r="BQ27" s="268">
        <f>0.64*IVA!AP61</f>
        <v>380591.14666666667</v>
      </c>
      <c r="BR27" s="173">
        <f>0.64*IVA!AQ61</f>
        <v>990255.36</v>
      </c>
      <c r="BS27" s="173">
        <f>0.64*IVA!AR61</f>
        <v>1064421.76</v>
      </c>
      <c r="BT27" s="173">
        <f>0.64*IVA!AS61</f>
        <v>1548310.4000000001</v>
      </c>
      <c r="BU27" s="174">
        <f>0.64*IVA!AT61</f>
        <v>1634649.6</v>
      </c>
      <c r="BV27" s="135">
        <f>0.64*IVA!AU61</f>
        <v>5237637.1200000001</v>
      </c>
      <c r="BW27" s="136">
        <f>IVA!BR27/IVA!CJ6</f>
        <v>3.6505764211457641E-3</v>
      </c>
      <c r="BX27" s="137">
        <f>IVA!BS27/IVA!CK6</f>
        <v>3.5495806463694195E-3</v>
      </c>
      <c r="BY27" s="136">
        <f>IVA!BT27/IVA!CL6</f>
        <v>5.1910564232448284E-3</v>
      </c>
      <c r="BZ27" s="136">
        <f>IVA!BU27/IVA!CM6</f>
        <v>5.4120745834152217E-3</v>
      </c>
      <c r="CA27" s="271">
        <f>IVA!BV27/IVA!CN6</f>
        <v>1.7884508633509121E-2</v>
      </c>
      <c r="CH27" s="13"/>
      <c r="CI27" s="237"/>
      <c r="CJ27" s="26"/>
      <c r="CK27" s="26"/>
      <c r="CL27" s="26"/>
      <c r="CM27" s="26"/>
      <c r="CN27" s="26"/>
      <c r="CO27" s="26"/>
      <c r="CP27" s="26"/>
      <c r="CQ27" s="27"/>
      <c r="CS27" s="218"/>
      <c r="CT27" s="97" t="s">
        <v>180</v>
      </c>
      <c r="CU27" s="196">
        <v>0</v>
      </c>
      <c r="CV27" s="197">
        <v>0</v>
      </c>
      <c r="CW27" s="198">
        <v>0</v>
      </c>
      <c r="CX27" s="146">
        <v>0</v>
      </c>
      <c r="CY27" s="197">
        <v>138108322.389</v>
      </c>
      <c r="CZ27" s="197">
        <v>0</v>
      </c>
      <c r="DA27" s="197">
        <v>0</v>
      </c>
      <c r="DB27" s="197">
        <v>138108322.389</v>
      </c>
      <c r="DC27" s="199">
        <v>0</v>
      </c>
      <c r="DD27" s="197">
        <v>0</v>
      </c>
      <c r="DE27" s="197">
        <v>0</v>
      </c>
      <c r="DF27" s="197">
        <v>0</v>
      </c>
      <c r="DG27" s="200">
        <v>138108322.389</v>
      </c>
      <c r="DH27" s="146"/>
      <c r="DI27" s="97">
        <v>2002</v>
      </c>
      <c r="DJ27" s="97" t="s">
        <v>84</v>
      </c>
      <c r="DK27" s="145">
        <v>17086963.550000001</v>
      </c>
      <c r="DL27" s="146"/>
      <c r="DM27" s="272" t="s">
        <v>74</v>
      </c>
      <c r="DN27" s="273">
        <v>2012</v>
      </c>
      <c r="DO27" s="274">
        <v>0</v>
      </c>
      <c r="DP27" s="274">
        <v>26364700</v>
      </c>
      <c r="DQ27" s="274">
        <v>6500</v>
      </c>
      <c r="DR27" s="274">
        <v>168321500</v>
      </c>
      <c r="DS27" s="274">
        <v>204617100</v>
      </c>
      <c r="DT27" s="274">
        <v>9924400</v>
      </c>
      <c r="DU27" s="274">
        <v>0</v>
      </c>
      <c r="DV27" s="274">
        <v>204617100</v>
      </c>
      <c r="DW27" s="275">
        <f>IVA!CY15/IVA!DV27</f>
        <v>0.98484435662024339</v>
      </c>
      <c r="DX27" s="151"/>
      <c r="DY27" s="175" t="s">
        <v>163</v>
      </c>
      <c r="DZ27" s="45"/>
      <c r="EA27" s="208">
        <v>1996</v>
      </c>
      <c r="EB27" s="225" t="s">
        <v>329</v>
      </c>
      <c r="EC27" s="225" t="s">
        <v>330</v>
      </c>
      <c r="ED27" s="225" t="s">
        <v>331</v>
      </c>
      <c r="EE27" s="225" t="s">
        <v>332</v>
      </c>
      <c r="EF27" s="225" t="s">
        <v>333</v>
      </c>
      <c r="EG27" s="226" t="s">
        <v>334</v>
      </c>
      <c r="EH27" s="227" t="s">
        <v>335</v>
      </c>
      <c r="EJ27" s="31">
        <v>1975</v>
      </c>
      <c r="EK27" s="32">
        <v>2482.3090000000002</v>
      </c>
      <c r="EL27" s="33">
        <v>1954.9359999999999</v>
      </c>
      <c r="EN27" s="120" t="s">
        <v>336</v>
      </c>
      <c r="EO27" s="171" t="s">
        <v>337</v>
      </c>
      <c r="EP27" s="120" t="s">
        <v>338</v>
      </c>
      <c r="EQ27" s="120" t="s">
        <v>339</v>
      </c>
      <c r="ER27" s="172">
        <v>24.449000000000002</v>
      </c>
      <c r="ES27" s="276">
        <f>4052269+IVA!ES28+IVA!ES29</f>
        <v>4305716</v>
      </c>
      <c r="EU27" s="120" t="s">
        <v>321</v>
      </c>
      <c r="EV27" s="120" t="s">
        <v>340</v>
      </c>
      <c r="EW27" s="120" t="s">
        <v>341</v>
      </c>
      <c r="EX27" s="120" t="s">
        <v>342</v>
      </c>
      <c r="EY27" s="120" t="s">
        <v>343</v>
      </c>
      <c r="FA27" s="180">
        <f>IVA!EY27*IVA!EO26*12/1000</f>
        <v>104449109.85216001</v>
      </c>
      <c r="FB27" s="34">
        <f>IVA!FA27/IVA!CM20</f>
        <v>5.3320555611350864E-2</v>
      </c>
      <c r="FC27" s="34"/>
    </row>
    <row r="28" spans="27:159" ht="12.75" customHeight="1">
      <c r="AA28" s="121">
        <v>1998</v>
      </c>
      <c r="AB28" s="121" t="s">
        <v>312</v>
      </c>
      <c r="AC28" s="122"/>
      <c r="AD28" s="123"/>
      <c r="AE28" s="190">
        <f>IVA!AE11*0.9373*0.11</f>
        <v>175914.23549700002</v>
      </c>
      <c r="AF28" s="190">
        <f>IVA!AF11*0.9373*0.11</f>
        <v>171171.497497</v>
      </c>
      <c r="AG28" s="190">
        <f>IVA!AG11*0.9373*0.11</f>
        <v>184685.00150099999</v>
      </c>
      <c r="AH28" s="190">
        <f>IVA!AH11*0.9373*0.11</f>
        <v>159358.36816899999</v>
      </c>
      <c r="AI28" s="190">
        <f>IVA!AI11*0.9373*0.11</f>
        <v>173473.68438399999</v>
      </c>
      <c r="AJ28" s="190">
        <f>IVA!AJ11*0.9373*0.11</f>
        <v>190062.33846600002</v>
      </c>
      <c r="AK28" s="190">
        <f>IVA!AK11*0.9373*0.11</f>
        <v>178656.87839999999</v>
      </c>
      <c r="AL28" s="190">
        <f>IVA!AL11*0.9373*0.11</f>
        <v>176506.14981999999</v>
      </c>
      <c r="AM28" s="190">
        <f>IVA!AM11*0.9373*0.11</f>
        <v>188264.73766100002</v>
      </c>
      <c r="AN28" s="190">
        <f>IVA!AN11*0.9373*0.11</f>
        <v>164020.78893200002</v>
      </c>
      <c r="AO28" s="190">
        <f>IVA!AO11*0.9373*0.11</f>
        <v>177054.348471</v>
      </c>
      <c r="AP28" s="190">
        <f>IVA!AP11*0.9373*0.11</f>
        <v>158539.42103999999</v>
      </c>
      <c r="AQ28" s="126">
        <f>IVA!AE28+IVA!AF28+IVA!AG28</f>
        <v>531770.73449499998</v>
      </c>
      <c r="AR28" s="126">
        <f>IVA!AH28+IVA!AI28+IVA!AJ28</f>
        <v>522894.39101899997</v>
      </c>
      <c r="AS28" s="126">
        <f>IVA!AK28+IVA!AL28+IVA!AM28</f>
        <v>543427.76588099997</v>
      </c>
      <c r="AT28" s="126">
        <f>IVA!AN28+IVA!AO28+IVA!AP28</f>
        <v>499614.55844300002</v>
      </c>
      <c r="AU28" s="127">
        <f>IVA!AQ28+IVA!AR28+IVA!AS28+IVA!AT28</f>
        <v>2097707.4498379999</v>
      </c>
      <c r="AV28" s="128">
        <f>IVA!AQ28/IVA!CJ7</f>
        <v>1.8806168200159849E-3</v>
      </c>
      <c r="AW28" s="128">
        <f>IVA!AR28/IVA!CK7</f>
        <v>1.6752503132066122E-3</v>
      </c>
      <c r="AX28" s="128">
        <f>IVA!AS28/IVA!CL7</f>
        <v>1.7789612178957122E-3</v>
      </c>
      <c r="AY28" s="128">
        <f>IVA!AT28/IVA!CM7</f>
        <v>1.6911703915531014E-3</v>
      </c>
      <c r="AZ28" s="269">
        <f>IVA!AU28/IVA!CN7</f>
        <v>7.0169559049698691E-3</v>
      </c>
      <c r="BA28" s="264">
        <v>1998</v>
      </c>
      <c r="BB28" s="265" t="s">
        <v>313</v>
      </c>
      <c r="BC28" s="266"/>
      <c r="BD28" s="266"/>
      <c r="BE28" s="266"/>
      <c r="BF28" s="267">
        <f>0.64*IVA!AE62</f>
        <v>386719.78666666662</v>
      </c>
      <c r="BG28" s="267">
        <f>0.64*IVA!AF62</f>
        <v>410171.30666666664</v>
      </c>
      <c r="BH28" s="267">
        <f>0.64*IVA!AG62</f>
        <v>342940.58666666667</v>
      </c>
      <c r="BI28" s="267">
        <f>0.64*IVA!AH62</f>
        <v>454228.90666666668</v>
      </c>
      <c r="BJ28" s="267">
        <f>0.64*IVA!AI62</f>
        <v>857652.26666666672</v>
      </c>
      <c r="BK28" s="267">
        <f>0.64*IVA!AJ62</f>
        <v>616930.34666666668</v>
      </c>
      <c r="BL28" s="267">
        <f>0.64*IVA!AK62</f>
        <v>420580.26666666666</v>
      </c>
      <c r="BM28" s="267">
        <f>0.64*IVA!AL62</f>
        <v>472373.54666666663</v>
      </c>
      <c r="BN28" s="267">
        <f>0.64*IVA!AM62</f>
        <v>338630.18666666665</v>
      </c>
      <c r="BO28" s="267">
        <f>0.64*IVA!AN62</f>
        <v>401293.86666666664</v>
      </c>
      <c r="BP28" s="267">
        <f>0.64*IVA!AO62</f>
        <v>417054.50666666665</v>
      </c>
      <c r="BQ28" s="268">
        <f>0.64*IVA!AP62</f>
        <v>577351.46666666667</v>
      </c>
      <c r="BR28" s="173">
        <f>0.64*IVA!AQ62</f>
        <v>1139831.68</v>
      </c>
      <c r="BS28" s="173">
        <f>0.64*IVA!AR62</f>
        <v>1207340.8</v>
      </c>
      <c r="BT28" s="173">
        <f>0.64*IVA!AS62</f>
        <v>1654821.76</v>
      </c>
      <c r="BU28" s="174">
        <f>0.64*IVA!AT62</f>
        <v>1928811.52</v>
      </c>
      <c r="BV28" s="135">
        <f>0.64*IVA!AU62</f>
        <v>5930805.7599999998</v>
      </c>
      <c r="BW28" s="136">
        <f>IVA!BR28/IVA!CJ7</f>
        <v>4.0310353510347851E-3</v>
      </c>
      <c r="BX28" s="137">
        <f>IVA!BS28/IVA!CK7</f>
        <v>3.868081371853209E-3</v>
      </c>
      <c r="BY28" s="136">
        <f>IVA!BT28/IVA!CL7</f>
        <v>5.4172125872099337E-3</v>
      </c>
      <c r="BZ28" s="136">
        <f>IVA!BU28/IVA!CM7</f>
        <v>6.5289309096117571E-3</v>
      </c>
      <c r="CA28" s="271">
        <f>IVA!BV28/IVA!CN7</f>
        <v>1.9838897221857707E-2</v>
      </c>
      <c r="CH28" s="13"/>
      <c r="CI28" s="233"/>
      <c r="CJ28" s="76"/>
      <c r="CK28" s="77"/>
      <c r="CL28" s="77"/>
      <c r="CM28" s="77"/>
      <c r="CN28" s="77"/>
      <c r="CO28" s="63"/>
      <c r="CP28" s="63"/>
      <c r="CQ28" s="13"/>
      <c r="CS28" s="218"/>
      <c r="CT28" s="97" t="s">
        <v>190</v>
      </c>
      <c r="CU28" s="196">
        <v>0</v>
      </c>
      <c r="CV28" s="197">
        <v>0</v>
      </c>
      <c r="CW28" s="198">
        <v>0</v>
      </c>
      <c r="CX28" s="146">
        <v>0</v>
      </c>
      <c r="CY28" s="197">
        <v>0</v>
      </c>
      <c r="CZ28" s="197">
        <v>0</v>
      </c>
      <c r="DA28" s="197">
        <v>334824</v>
      </c>
      <c r="DB28" s="197">
        <v>334824</v>
      </c>
      <c r="DC28" s="199">
        <v>0</v>
      </c>
      <c r="DD28" s="197">
        <v>0</v>
      </c>
      <c r="DE28" s="197">
        <v>0</v>
      </c>
      <c r="DF28" s="197">
        <v>0</v>
      </c>
      <c r="DG28" s="200">
        <v>334824</v>
      </c>
      <c r="DH28" s="146"/>
      <c r="DI28" s="113"/>
      <c r="DJ28" s="114" t="s">
        <v>102</v>
      </c>
      <c r="DK28" s="164">
        <v>16532224.2524</v>
      </c>
      <c r="DL28" s="146"/>
      <c r="DY28" s="213" t="s">
        <v>344</v>
      </c>
      <c r="EA28" s="177"/>
      <c r="EB28" s="228" t="s">
        <v>345</v>
      </c>
      <c r="EC28" s="228" t="s">
        <v>346</v>
      </c>
      <c r="ED28" s="228" t="s">
        <v>347</v>
      </c>
      <c r="EE28" s="228" t="s">
        <v>348</v>
      </c>
      <c r="EF28" s="228" t="s">
        <v>349</v>
      </c>
      <c r="EG28" s="229" t="s">
        <v>350</v>
      </c>
      <c r="EH28" s="230" t="s">
        <v>351</v>
      </c>
      <c r="EJ28" s="31">
        <v>1976</v>
      </c>
      <c r="EK28" s="32">
        <v>2557.9920000000002</v>
      </c>
      <c r="EL28" s="33">
        <v>2022.4079999999999</v>
      </c>
      <c r="EO28" s="277">
        <f>89228+18206</f>
        <v>107434</v>
      </c>
      <c r="EP28" s="34">
        <f>(IVA!EO27+IVA!EO28)/1000/IVA!EK64</f>
        <v>0.73532998651595383</v>
      </c>
      <c r="ES28" s="276">
        <v>227320</v>
      </c>
      <c r="EU28" s="120" t="s">
        <v>336</v>
      </c>
      <c r="EV28" s="120" t="s">
        <v>352</v>
      </c>
      <c r="EW28" s="120" t="s">
        <v>353</v>
      </c>
      <c r="EX28" s="120" t="s">
        <v>354</v>
      </c>
      <c r="EY28" s="120" t="s">
        <v>355</v>
      </c>
      <c r="FA28" s="180">
        <f>IVA!EY28*IVA!EO27*12/1000</f>
        <v>123815767.01688001</v>
      </c>
      <c r="FB28" s="34">
        <f>IVA!FA28/IVA!CK21</f>
        <v>5.446852610841834E-2</v>
      </c>
      <c r="FC28" s="34"/>
    </row>
    <row r="29" spans="27:159" ht="12.75" customHeight="1">
      <c r="AA29" s="121">
        <v>1999</v>
      </c>
      <c r="AB29" s="121" t="s">
        <v>312</v>
      </c>
      <c r="AC29" s="122"/>
      <c r="AD29" s="123"/>
      <c r="AE29" s="190">
        <f>IVA!AE12*0.9373*0.11</f>
        <v>168019.432581</v>
      </c>
      <c r="AF29" s="190">
        <f>IVA!AF12*0.9373*0.11</f>
        <v>151130.542563</v>
      </c>
      <c r="AG29" s="190">
        <f>IVA!AG12*0.9373*0.11</f>
        <v>168233.88682099999</v>
      </c>
      <c r="AH29" s="190">
        <f>IVA!AH12*0.9373*0.11</f>
        <v>151456.038734</v>
      </c>
      <c r="AI29" s="190">
        <f>IVA!AI12*0.9373*0.11</f>
        <v>143238.31722200001</v>
      </c>
      <c r="AJ29" s="190">
        <f>IVA!AJ12*0.9373*0.11</f>
        <v>160059.77787799999</v>
      </c>
      <c r="AK29" s="190">
        <f>IVA!AK12*0.9373*0.11</f>
        <v>145296.45930800002</v>
      </c>
      <c r="AL29" s="190">
        <f>IVA!AL12*0.9373*0.11</f>
        <v>160185.35733200001</v>
      </c>
      <c r="AM29" s="190">
        <f>IVA!AM12*0.9373*0.11</f>
        <v>165227.71265</v>
      </c>
      <c r="AN29" s="190">
        <f>IVA!AN12*0.9373*0.11</f>
        <v>155496.232892</v>
      </c>
      <c r="AO29" s="190">
        <f>IVA!AO12*0.9373*0.11</f>
        <v>160738.19561800003</v>
      </c>
      <c r="AP29" s="190">
        <f>IVA!AP12*0.9373*0.11</f>
        <v>147075.81088199999</v>
      </c>
      <c r="AQ29" s="126">
        <f>IVA!AE29+IVA!AF29+IVA!AG29</f>
        <v>487383.86196500005</v>
      </c>
      <c r="AR29" s="126">
        <f>IVA!AH29+IVA!AI29+IVA!AJ29</f>
        <v>454754.13383400004</v>
      </c>
      <c r="AS29" s="126">
        <f>IVA!AK29+IVA!AL29+IVA!AM29</f>
        <v>470709.52929000003</v>
      </c>
      <c r="AT29" s="126">
        <f>IVA!AN29+IVA!AO29+IVA!AP29</f>
        <v>463310.23939200002</v>
      </c>
      <c r="AU29" s="127">
        <f>IVA!AQ29+IVA!AR29+IVA!AS29+IVA!AT29</f>
        <v>1876157.7644810001</v>
      </c>
      <c r="AV29" s="128">
        <f>IVA!AQ29/IVA!CJ8</f>
        <v>1.8001516623144941E-3</v>
      </c>
      <c r="AW29" s="128">
        <f>IVA!AR29/IVA!CK8</f>
        <v>1.5744706597594022E-3</v>
      </c>
      <c r="AX29" s="128">
        <f>IVA!AS29/IVA!CL8</f>
        <v>1.6511082370353329E-3</v>
      </c>
      <c r="AY29" s="128">
        <f>IVA!AT29/IVA!CM8</f>
        <v>1.600774328630895E-3</v>
      </c>
      <c r="AZ29" s="269">
        <f>IVA!AU29/IVA!CN8</f>
        <v>6.6173030258342607E-3</v>
      </c>
      <c r="BA29" s="264">
        <v>1999</v>
      </c>
      <c r="BB29" s="265" t="s">
        <v>313</v>
      </c>
      <c r="BC29" s="266"/>
      <c r="BD29" s="266"/>
      <c r="BE29" s="266"/>
      <c r="BF29" s="267">
        <f>0.64*IVA!AE63</f>
        <v>430568.74666666664</v>
      </c>
      <c r="BG29" s="267">
        <f>0.64*IVA!AF63</f>
        <v>385354.02666666667</v>
      </c>
      <c r="BH29" s="267">
        <f>0.64*IVA!AG63</f>
        <v>385546.02666666667</v>
      </c>
      <c r="BI29" s="267">
        <f>0.64*IVA!AH63</f>
        <v>405476.26666666666</v>
      </c>
      <c r="BJ29" s="267">
        <f>0.64*IVA!AI63</f>
        <v>697675.30666666676</v>
      </c>
      <c r="BK29" s="267">
        <f>0.64*IVA!AJ63</f>
        <v>481933.86666666664</v>
      </c>
      <c r="BL29" s="267">
        <f>0.64*IVA!AK63</f>
        <v>451534.50666666665</v>
      </c>
      <c r="BM29" s="267">
        <f>0.64*IVA!AL63</f>
        <v>477995.30666666664</v>
      </c>
      <c r="BN29" s="267">
        <f>0.64*IVA!AM63</f>
        <v>417782.18666666665</v>
      </c>
      <c r="BO29" s="267">
        <f>0.64*IVA!AN63</f>
        <v>458521.38666666666</v>
      </c>
      <c r="BP29" s="267">
        <f>0.64*IVA!AO63</f>
        <v>510465.70666666667</v>
      </c>
      <c r="BQ29" s="268">
        <f>0.64*IVA!AP63</f>
        <v>439525.54666666663</v>
      </c>
      <c r="BR29" s="173">
        <f>0.64*IVA!AQ63</f>
        <v>1201468.8</v>
      </c>
      <c r="BS29" s="173">
        <f>0.64*IVA!AR63</f>
        <v>1176376.3200000001</v>
      </c>
      <c r="BT29" s="173">
        <f>0.64*IVA!AS63</f>
        <v>1488697.6</v>
      </c>
      <c r="BU29" s="174">
        <f>0.64*IVA!AT63</f>
        <v>1585085.4399999999</v>
      </c>
      <c r="BV29" s="135">
        <f>0.64*IVA!AU63</f>
        <v>5451628.1600000001</v>
      </c>
      <c r="BW29" s="136">
        <f>IVA!BR29/IVA!CJ8</f>
        <v>4.437623455194167E-3</v>
      </c>
      <c r="BX29" s="137">
        <f>IVA!BS29/IVA!CK8</f>
        <v>4.0729041538561141E-3</v>
      </c>
      <c r="BY29" s="136">
        <f>IVA!BT29/IVA!CL8</f>
        <v>5.2219059034608545E-3</v>
      </c>
      <c r="BZ29" s="136">
        <f>IVA!BU29/IVA!CM8</f>
        <v>5.4765983250626591E-3</v>
      </c>
      <c r="CA29" s="271">
        <f>IVA!BV29/IVA!CN8</f>
        <v>1.9228167375823366E-2</v>
      </c>
      <c r="CH29" s="13"/>
      <c r="CI29" s="233"/>
      <c r="CJ29" s="91" t="s">
        <v>58</v>
      </c>
      <c r="CK29" s="92" t="s">
        <v>59</v>
      </c>
      <c r="CL29" s="92" t="s">
        <v>60</v>
      </c>
      <c r="CM29" s="92" t="s">
        <v>61</v>
      </c>
      <c r="CN29" s="92" t="s">
        <v>62</v>
      </c>
      <c r="CO29" s="63"/>
      <c r="CP29" s="63"/>
      <c r="CQ29" s="13"/>
      <c r="CS29" s="218"/>
      <c r="CT29" s="97" t="s">
        <v>200</v>
      </c>
      <c r="CU29" s="196">
        <v>0</v>
      </c>
      <c r="CV29" s="197">
        <v>0</v>
      </c>
      <c r="CW29" s="198">
        <v>0</v>
      </c>
      <c r="CX29" s="146">
        <v>0</v>
      </c>
      <c r="CY29" s="197">
        <v>0</v>
      </c>
      <c r="CZ29" s="197">
        <v>0</v>
      </c>
      <c r="DA29" s="197">
        <v>647970</v>
      </c>
      <c r="DB29" s="197">
        <v>647970</v>
      </c>
      <c r="DC29" s="199">
        <v>0</v>
      </c>
      <c r="DD29" s="197">
        <v>0</v>
      </c>
      <c r="DE29" s="197">
        <v>0</v>
      </c>
      <c r="DF29" s="197">
        <v>0</v>
      </c>
      <c r="DG29" s="200">
        <v>647970</v>
      </c>
      <c r="DH29" s="146"/>
      <c r="DI29" s="97">
        <v>2001</v>
      </c>
      <c r="DJ29" s="97" t="s">
        <v>84</v>
      </c>
      <c r="DK29" s="145">
        <v>16880549.379999999</v>
      </c>
      <c r="DL29" s="146"/>
      <c r="DY29" s="213" t="s">
        <v>356</v>
      </c>
      <c r="EA29" s="193"/>
      <c r="EB29" s="228" t="s">
        <v>357</v>
      </c>
      <c r="EC29" s="228" t="s">
        <v>358</v>
      </c>
      <c r="ED29" s="228" t="s">
        <v>359</v>
      </c>
      <c r="EE29" s="228" t="s">
        <v>360</v>
      </c>
      <c r="EF29" s="228" t="s">
        <v>360</v>
      </c>
      <c r="EG29" s="229" t="s">
        <v>361</v>
      </c>
      <c r="EH29" s="230" t="s">
        <v>362</v>
      </c>
      <c r="EJ29" s="31">
        <v>1977</v>
      </c>
      <c r="EK29" s="32">
        <v>2628.127</v>
      </c>
      <c r="EL29" s="33">
        <v>2085.4810000000002</v>
      </c>
      <c r="EN29" s="120" t="s">
        <v>363</v>
      </c>
      <c r="ES29" s="278">
        <v>26127</v>
      </c>
    </row>
    <row r="30" spans="27:159" ht="12.75" customHeight="1">
      <c r="AA30" s="121">
        <v>2000</v>
      </c>
      <c r="AB30" s="121" t="s">
        <v>312</v>
      </c>
      <c r="AC30" s="122"/>
      <c r="AD30" s="123"/>
      <c r="AE30" s="190">
        <f>IVA!AE13*0.9373*0.11</f>
        <v>170184.72341737867</v>
      </c>
      <c r="AF30" s="190">
        <f>IVA!AF13*0.9373*0.11</f>
        <v>142169.28083325966</v>
      </c>
      <c r="AG30" s="190">
        <f>IVA!AG13*0.9373*0.11</f>
        <v>166546.55080401339</v>
      </c>
      <c r="AH30" s="190">
        <f>IVA!AH13*0.9373*0.11</f>
        <v>160799.73288274897</v>
      </c>
      <c r="AI30" s="190">
        <f>IVA!AI13*0.9373*0.11</f>
        <v>159580.57063450501</v>
      </c>
      <c r="AJ30" s="190">
        <f>IVA!AJ13*0.9373*0.11</f>
        <v>176300.65048383788</v>
      </c>
      <c r="AK30" s="190">
        <f>IVA!AK13*0.9373*0.11</f>
        <v>168091.27760735311</v>
      </c>
      <c r="AL30" s="190">
        <f>IVA!AL13*0.9373*0.11</f>
        <v>169094.57678733621</v>
      </c>
      <c r="AM30" s="190">
        <f>IVA!AM13*0.9373*0.11</f>
        <v>171865.43111467728</v>
      </c>
      <c r="AN30" s="190">
        <f>IVA!AN13*0.9373*0.11</f>
        <v>155517.7654586556</v>
      </c>
      <c r="AO30" s="190">
        <f>IVA!AO13*0.9373*0.11</f>
        <v>160625.14863264869</v>
      </c>
      <c r="AP30" s="190">
        <f>IVA!AP13*0.9373*0.11</f>
        <v>159062.14519146952</v>
      </c>
      <c r="AQ30" s="126">
        <f>IVA!AE30+IVA!AF30+IVA!AG30</f>
        <v>478900.55505465169</v>
      </c>
      <c r="AR30" s="126">
        <f>IVA!AH30+IVA!AI30+IVA!AJ30</f>
        <v>496680.95400109183</v>
      </c>
      <c r="AS30" s="126">
        <f>IVA!AK30+IVA!AL30+IVA!AM30</f>
        <v>509051.2855093666</v>
      </c>
      <c r="AT30" s="126">
        <f>IVA!AN30+IVA!AO30+IVA!AP30</f>
        <v>475205.05928277381</v>
      </c>
      <c r="AU30" s="127">
        <f>IVA!AQ30+IVA!AR30+IVA!AS30+IVA!AT30</f>
        <v>1959837.8538478839</v>
      </c>
      <c r="AV30" s="128">
        <f>IVA!AQ30/IVA!CJ9</f>
        <v>1.7707937874556349E-3</v>
      </c>
      <c r="AW30" s="128">
        <f>IVA!AR30/IVA!CK9</f>
        <v>1.7021513195245158E-3</v>
      </c>
      <c r="AX30" s="128">
        <f>IVA!AS30/IVA!CL9</f>
        <v>1.7706400043871189E-3</v>
      </c>
      <c r="AY30" s="128">
        <f>IVA!AT30/IVA!CM9</f>
        <v>1.6553110427095059E-3</v>
      </c>
      <c r="AZ30" s="269">
        <f>IVA!AU30/IVA!CN9</f>
        <v>6.8958904572268319E-3</v>
      </c>
      <c r="BA30" s="264">
        <v>2000</v>
      </c>
      <c r="BB30" s="265" t="s">
        <v>313</v>
      </c>
      <c r="BC30" s="266"/>
      <c r="BD30" s="266"/>
      <c r="BE30" s="266"/>
      <c r="BF30" s="267">
        <f>0.64*IVA!AE64</f>
        <v>442399.95965866663</v>
      </c>
      <c r="BG30" s="267">
        <f>0.64*IVA!AF64</f>
        <v>421386.32068266667</v>
      </c>
      <c r="BH30" s="267">
        <f>0.64*IVA!AG64</f>
        <v>414230.60892586666</v>
      </c>
      <c r="BI30" s="267">
        <f>0.64*IVA!AH64</f>
        <v>464432.56207786663</v>
      </c>
      <c r="BJ30" s="267">
        <f>0.64*IVA!AI64</f>
        <v>730158.38743466674</v>
      </c>
      <c r="BK30" s="267">
        <f>0.64*IVA!AJ64</f>
        <v>840466.48907946679</v>
      </c>
      <c r="BL30" s="267">
        <f>0.64*IVA!AK64</f>
        <v>482535.33892266662</v>
      </c>
      <c r="BM30" s="267">
        <f>0.64*IVA!AL64</f>
        <v>545294.94148266665</v>
      </c>
      <c r="BN30" s="267">
        <f>0.64*IVA!AM64</f>
        <v>437528.50218666665</v>
      </c>
      <c r="BO30" s="267">
        <f>0.64*IVA!AN64</f>
        <v>519789.80017066665</v>
      </c>
      <c r="BP30" s="267">
        <f>0.64*IVA!AO64</f>
        <v>492321.86158506665</v>
      </c>
      <c r="BQ30" s="268">
        <f>0.64*IVA!AP64</f>
        <v>529547.8386730667</v>
      </c>
      <c r="BR30" s="173">
        <f>0.64*IVA!AQ64</f>
        <v>1278016.8892671999</v>
      </c>
      <c r="BS30" s="173">
        <f>0.64*IVA!AR64</f>
        <v>1300049.4916864</v>
      </c>
      <c r="BT30" s="173">
        <f>0.64*IVA!AS64</f>
        <v>1608821.5584384</v>
      </c>
      <c r="BU30" s="174">
        <f>0.64*IVA!AT64</f>
        <v>2035057.4385920002</v>
      </c>
      <c r="BV30" s="135">
        <f>0.64*IVA!AU64</f>
        <v>6221945.3779839994</v>
      </c>
      <c r="BW30" s="136">
        <f>IVA!BR30/IVA!CJ9</f>
        <v>4.7256248586295124E-3</v>
      </c>
      <c r="BX30" s="137">
        <f>IVA!BS30/IVA!CK9</f>
        <v>4.455336851342839E-3</v>
      </c>
      <c r="BY30" s="136">
        <f>IVA!BT30/IVA!CL9</f>
        <v>5.595985890578887E-3</v>
      </c>
      <c r="BZ30" s="136">
        <f>IVA!BU30/IVA!CM9</f>
        <v>7.0888408800482104E-3</v>
      </c>
      <c r="CA30" s="271">
        <f>IVA!BV30/IVA!CN9</f>
        <v>2.1892552831953141E-2</v>
      </c>
      <c r="CH30" s="13"/>
      <c r="CI30" s="233"/>
      <c r="CJ30" s="279"/>
      <c r="CK30" s="279"/>
      <c r="CL30" s="279"/>
      <c r="CM30" s="279"/>
      <c r="CN30" s="279"/>
      <c r="CO30" s="63"/>
      <c r="CP30" s="63"/>
      <c r="CQ30" s="13"/>
      <c r="CS30" s="218"/>
      <c r="CT30" s="97" t="s">
        <v>215</v>
      </c>
      <c r="CU30" s="196">
        <v>0</v>
      </c>
      <c r="CV30" s="197">
        <v>0</v>
      </c>
      <c r="CW30" s="198">
        <v>0</v>
      </c>
      <c r="CX30" s="146">
        <v>0</v>
      </c>
      <c r="CY30" s="197">
        <v>0</v>
      </c>
      <c r="CZ30" s="197">
        <v>0</v>
      </c>
      <c r="DA30" s="197">
        <v>25707300</v>
      </c>
      <c r="DB30" s="197">
        <v>25707300</v>
      </c>
      <c r="DC30" s="199">
        <v>0</v>
      </c>
      <c r="DD30" s="197">
        <v>0</v>
      </c>
      <c r="DE30" s="197">
        <v>0</v>
      </c>
      <c r="DF30" s="197">
        <v>0</v>
      </c>
      <c r="DG30" s="200">
        <v>25707300</v>
      </c>
      <c r="DH30" s="146"/>
      <c r="DI30" s="113"/>
      <c r="DJ30" s="114" t="s">
        <v>102</v>
      </c>
      <c r="DK30" s="164">
        <v>16756844.060000001</v>
      </c>
      <c r="DL30" s="146"/>
      <c r="DY30" s="220" t="s">
        <v>364</v>
      </c>
      <c r="DZ30" s="221"/>
      <c r="EA30" s="204"/>
      <c r="EB30" s="234" t="s">
        <v>365</v>
      </c>
      <c r="EC30" s="234" t="s">
        <v>366</v>
      </c>
      <c r="ED30" s="234" t="s">
        <v>367</v>
      </c>
      <c r="EE30" s="234" t="s">
        <v>368</v>
      </c>
      <c r="EF30" s="234" t="s">
        <v>368</v>
      </c>
      <c r="EG30" s="235" t="s">
        <v>369</v>
      </c>
      <c r="EH30" s="236" t="s">
        <v>370</v>
      </c>
      <c r="EJ30" s="31">
        <v>1978</v>
      </c>
      <c r="EK30" s="32">
        <v>2694.9409999999998</v>
      </c>
      <c r="EL30" s="33">
        <v>2145.319</v>
      </c>
    </row>
    <row r="31" spans="27:159" ht="12.75" customHeight="1">
      <c r="AA31" s="121">
        <v>2001</v>
      </c>
      <c r="AB31" s="121" t="s">
        <v>312</v>
      </c>
      <c r="AC31" s="122"/>
      <c r="AD31" s="123"/>
      <c r="AE31" s="190">
        <f>IVA!AE14*0.9373*0.11</f>
        <v>168122.57186706984</v>
      </c>
      <c r="AF31" s="190">
        <f>IVA!AF14*0.9373*0.11</f>
        <v>139009.2452552804</v>
      </c>
      <c r="AG31" s="190">
        <f>IVA!AG14*0.9373*0.11</f>
        <v>146773.80127437029</v>
      </c>
      <c r="AH31" s="190">
        <f>IVA!AH14*0.9373*0.11</f>
        <v>145734.38975621527</v>
      </c>
      <c r="AI31" s="190">
        <f>IVA!AI14*0.9373*0.11</f>
        <v>142576.11197097268</v>
      </c>
      <c r="AJ31" s="190">
        <f>IVA!AJ14*0.9373*0.11</f>
        <v>143673.07243496209</v>
      </c>
      <c r="AK31" s="190">
        <f>IVA!AK14*0.9373*0.11</f>
        <v>130400.09510809281</v>
      </c>
      <c r="AL31" s="190">
        <f>IVA!AL14*0.9373*0.11</f>
        <v>139873.51721367025</v>
      </c>
      <c r="AM31" s="190">
        <f>IVA!AM14*0.9373*0.11</f>
        <v>117836.96070422277</v>
      </c>
      <c r="AN31" s="190">
        <f>IVA!AN14*0.9373*0.11</f>
        <v>111250.83395487061</v>
      </c>
      <c r="AO31" s="190">
        <f>IVA!AO14*0.9373*0.11</f>
        <v>112405.35332341316</v>
      </c>
      <c r="AP31" s="190">
        <f>IVA!AP14*0.9373*0.11</f>
        <v>85078.895032521395</v>
      </c>
      <c r="AQ31" s="126">
        <f>IVA!AE31+IVA!AF31+IVA!AG31</f>
        <v>453905.6183967205</v>
      </c>
      <c r="AR31" s="126">
        <f>IVA!AH31+IVA!AI31+IVA!AJ31</f>
        <v>431983.57416215003</v>
      </c>
      <c r="AS31" s="126">
        <f>IVA!AK31+IVA!AL31+IVA!AM31</f>
        <v>388110.57302598585</v>
      </c>
      <c r="AT31" s="126">
        <f>IVA!AN31+IVA!AO31+IVA!AP31</f>
        <v>308735.08231080516</v>
      </c>
      <c r="AU31" s="127">
        <f>IVA!AQ31+IVA!AR31+IVA!AS31+IVA!AT31</f>
        <v>1582734.8478956614</v>
      </c>
      <c r="AV31" s="128">
        <f>IVA!AQ31/IVA!CJ10</f>
        <v>1.7237074951172498E-3</v>
      </c>
      <c r="AW31" s="128">
        <f>IVA!AR31/IVA!CK10</f>
        <v>1.4998071748104241E-3</v>
      </c>
      <c r="AX31" s="128">
        <f>IVA!AS31/IVA!CL10</f>
        <v>1.4302042924461023E-3</v>
      </c>
      <c r="AY31" s="128">
        <f>IVA!AT31/IVA!CM10</f>
        <v>1.2248332778219224E-3</v>
      </c>
      <c r="AZ31" s="269">
        <f>IVA!AU31/IVA!CN10</f>
        <v>5.8904139718054761E-3</v>
      </c>
      <c r="BA31" s="264">
        <v>2001</v>
      </c>
      <c r="BB31" s="265" t="s">
        <v>313</v>
      </c>
      <c r="BC31" s="266"/>
      <c r="BD31" s="266"/>
      <c r="BE31" s="266"/>
      <c r="BF31" s="267">
        <f>0.64*IVA!AE65</f>
        <v>485193.35596586671</v>
      </c>
      <c r="BG31" s="267">
        <f>0.64*IVA!AF65</f>
        <v>454933.16155946668</v>
      </c>
      <c r="BH31" s="267">
        <f>0.64*IVA!AG65</f>
        <v>439460.67563946667</v>
      </c>
      <c r="BI31" s="267">
        <f>0.64*IVA!AH65</f>
        <v>364478.36575786665</v>
      </c>
      <c r="BJ31" s="267">
        <f>0.64*IVA!AI65</f>
        <v>960327.68673066678</v>
      </c>
      <c r="BK31" s="267">
        <f>0.64*IVA!AJ65</f>
        <v>810356.19909546676</v>
      </c>
      <c r="BL31" s="267">
        <f>0.64*IVA!AK65</f>
        <v>447372.17491626664</v>
      </c>
      <c r="BM31" s="267">
        <f>0.64*IVA!AL65</f>
        <v>471465.08198826667</v>
      </c>
      <c r="BN31" s="267">
        <f>0.64*IVA!AM65</f>
        <v>410719.30773546669</v>
      </c>
      <c r="BO31" s="267">
        <f>0.64*IVA!AN65</f>
        <v>434743.10878506664</v>
      </c>
      <c r="BP31" s="267">
        <f>0.64*IVA!AO65</f>
        <v>428955.77595306665</v>
      </c>
      <c r="BQ31" s="268">
        <f>0.64*IVA!AP65</f>
        <v>379214.12431146664</v>
      </c>
      <c r="BR31" s="173">
        <f>0.64*IVA!AQ65</f>
        <v>1379587.1931647998</v>
      </c>
      <c r="BS31" s="173">
        <f>0.64*IVA!AR65</f>
        <v>1258872.2029568001</v>
      </c>
      <c r="BT31" s="173">
        <f>0.64*IVA!AS65</f>
        <v>1764266.7281279999</v>
      </c>
      <c r="BU31" s="174">
        <f>0.64*IVA!AT65</f>
        <v>2135162.251584</v>
      </c>
      <c r="BV31" s="135">
        <f>0.64*IVA!AU65</f>
        <v>6537888.3758335998</v>
      </c>
      <c r="BW31" s="136">
        <f>IVA!BR31/IVA!CJ10</f>
        <v>5.238985129607983E-3</v>
      </c>
      <c r="BX31" s="137">
        <f>IVA!BS31/IVA!CK10</f>
        <v>4.3706883203279067E-3</v>
      </c>
      <c r="BY31" s="136">
        <f>IVA!BT31/IVA!CL10</f>
        <v>6.5013994025346009E-3</v>
      </c>
      <c r="BZ31" s="136">
        <f>IVA!BU31/IVA!CM10</f>
        <v>8.4707502617292901E-3</v>
      </c>
      <c r="CA31" s="271">
        <f>IVA!BV31/IVA!CN10</f>
        <v>2.4331851343462427E-2</v>
      </c>
      <c r="CH31" s="13"/>
      <c r="CI31" s="53">
        <v>1997</v>
      </c>
      <c r="CJ31" s="280">
        <f>IVA!AV27+IVA!AV78+IVA!AV95+IVA!AV112+IVA!AV146+IVA!AV163+IVA!AV212+IVA!AV246</f>
        <v>1.9675926624655313E-2</v>
      </c>
      <c r="CK31" s="280">
        <f>IVA!AW27+IVA!AW78+IVA!AW95+IVA!AW112+IVA!AW146+IVA!AW163+IVA!AW212+IVA!AW246</f>
        <v>1.6783760512634742E-2</v>
      </c>
      <c r="CL31" s="280">
        <f>IVA!AX27+IVA!AX78+IVA!AX95+IVA!AX112+IVA!AX146+IVA!AX163+IVA!AX212+IVA!AX246</f>
        <v>1.8516418473567258E-2</v>
      </c>
      <c r="CM31" s="281">
        <f>IVA!AY27+IVA!AY78+IVA!AY95+IVA!AY112+IVA!AY146+IVA!AY163+IVA!AY212+IVA!AY246</f>
        <v>1.7882823963865552E-2</v>
      </c>
      <c r="CN31" s="282">
        <f>IVA!AZ27+IVA!AZ78+IVA!AZ95+IVA!AZ112+IVA!AZ146+IVA!AZ163+IVA!AZ212+IVA!AZ246</f>
        <v>7.2712031725540832E-2</v>
      </c>
      <c r="CO31" s="63"/>
      <c r="CP31" s="63"/>
      <c r="CQ31" s="13"/>
      <c r="CS31" s="218"/>
      <c r="CT31" s="97" t="s">
        <v>232</v>
      </c>
      <c r="CU31" s="196">
        <v>0</v>
      </c>
      <c r="CV31" s="197">
        <v>0</v>
      </c>
      <c r="CW31" s="198">
        <v>0</v>
      </c>
      <c r="CX31" s="146">
        <v>0</v>
      </c>
      <c r="CY31" s="197">
        <v>8370966.0789999999</v>
      </c>
      <c r="CZ31" s="197">
        <v>0</v>
      </c>
      <c r="DA31" s="197">
        <v>0</v>
      </c>
      <c r="DB31" s="197">
        <v>8370966.0789999999</v>
      </c>
      <c r="DC31" s="199">
        <v>0</v>
      </c>
      <c r="DD31" s="197">
        <v>0</v>
      </c>
      <c r="DE31" s="197">
        <v>0</v>
      </c>
      <c r="DF31" s="197">
        <v>0</v>
      </c>
      <c r="DG31" s="200">
        <v>8370966.0789999999</v>
      </c>
      <c r="DH31" s="146"/>
      <c r="DI31" s="97">
        <v>2000</v>
      </c>
      <c r="DJ31" s="97" t="s">
        <v>84</v>
      </c>
      <c r="DK31" s="145">
        <v>17535849.199999999</v>
      </c>
      <c r="DL31" s="146"/>
      <c r="DY31" s="175" t="s">
        <v>163</v>
      </c>
      <c r="DZ31" s="45"/>
      <c r="EA31" s="208">
        <v>1997</v>
      </c>
      <c r="EB31" s="225">
        <v>15927119406</v>
      </c>
      <c r="EC31" s="225">
        <v>258436097</v>
      </c>
      <c r="ED31" s="225">
        <v>16185555503</v>
      </c>
      <c r="EE31" s="225">
        <v>14802096735.6</v>
      </c>
      <c r="EF31" s="225">
        <v>14799415561.68</v>
      </c>
      <c r="EG31" s="226">
        <v>13357363427.93</v>
      </c>
      <c r="EH31" s="227">
        <v>1386139941.3199999</v>
      </c>
      <c r="EJ31" s="31">
        <v>1979</v>
      </c>
      <c r="EK31" s="32">
        <v>2762.2</v>
      </c>
      <c r="EL31" s="33">
        <v>2203.9160000000002</v>
      </c>
      <c r="EN31" s="120" t="s">
        <v>371</v>
      </c>
      <c r="EO31" s="283" t="s">
        <v>372</v>
      </c>
      <c r="EV31" s="71" t="s">
        <v>28</v>
      </c>
    </row>
    <row r="32" spans="27:159" ht="12.75" customHeight="1">
      <c r="AA32" s="121">
        <v>2002</v>
      </c>
      <c r="AB32" s="121" t="s">
        <v>312</v>
      </c>
      <c r="AC32" s="122"/>
      <c r="AD32" s="123"/>
      <c r="AE32" s="190">
        <f>IVA!AE15*0.9373*0.11</f>
        <v>104013.23505411838</v>
      </c>
      <c r="AF32" s="190">
        <f>IVA!AF15*0.9373*0.11</f>
        <v>105860.55600032913</v>
      </c>
      <c r="AG32" s="190">
        <f>IVA!AG15*0.9373*0.11</f>
        <v>106830.52438580521</v>
      </c>
      <c r="AH32" s="190">
        <f>IVA!AH15*0.9373*0.11</f>
        <v>92669.858265734758</v>
      </c>
      <c r="AI32" s="190">
        <f>IVA!AI15*0.9373*0.11</f>
        <v>155779.08456930821</v>
      </c>
      <c r="AJ32" s="190">
        <f>IVA!AJ15*0.9373*0.11</f>
        <v>144668.44645025773</v>
      </c>
      <c r="AK32" s="190">
        <f>IVA!AK15*0.9373*0.11</f>
        <v>145671.83010252874</v>
      </c>
      <c r="AL32" s="190">
        <f>IVA!AL15*0.9373*0.11</f>
        <v>140655.11055467871</v>
      </c>
      <c r="AM32" s="190">
        <f>IVA!AM15*0.9373*0.11</f>
        <v>138185.10327543921</v>
      </c>
      <c r="AN32" s="190">
        <f>IVA!AN15*0.9373*0.11</f>
        <v>146828.59621328898</v>
      </c>
      <c r="AO32" s="190">
        <f>IVA!AO15*0.9373*0.11</f>
        <v>154834.62729214481</v>
      </c>
      <c r="AP32" s="190">
        <f>IVA!AP15*0.9373*0.11</f>
        <v>135516.91603067619</v>
      </c>
      <c r="AQ32" s="126">
        <f>IVA!AE32+IVA!AF32+IVA!AG32</f>
        <v>316704.31544025277</v>
      </c>
      <c r="AR32" s="126">
        <f>IVA!AH32+IVA!AI32+IVA!AJ32</f>
        <v>393117.38928530068</v>
      </c>
      <c r="AS32" s="126">
        <f>IVA!AK32+IVA!AL32+IVA!AM32</f>
        <v>424512.04393264663</v>
      </c>
      <c r="AT32" s="126">
        <f>IVA!AN32+IVA!AO32+IVA!AP32</f>
        <v>437180.13953610999</v>
      </c>
      <c r="AU32" s="127">
        <f>IVA!AQ32+IVA!AR32+IVA!AS32+IVA!AT32</f>
        <v>1571513.8881943102</v>
      </c>
      <c r="AV32" s="128">
        <f>IVA!AQ32/IVA!CJ11</f>
        <v>1.3359838158765731E-3</v>
      </c>
      <c r="AW32" s="128">
        <f>IVA!AR32/IVA!CK11</f>
        <v>1.1596102611608346E-3</v>
      </c>
      <c r="AX32" s="128">
        <f>IVA!AS32/IVA!CL11</f>
        <v>1.2709704332568325E-3</v>
      </c>
      <c r="AY32" s="128">
        <f>IVA!AT32/IVA!CM11</f>
        <v>1.284881354538832E-3</v>
      </c>
      <c r="AZ32" s="269">
        <f>IVA!AU32/IVA!CN11</f>
        <v>5.0275550736719951E-3</v>
      </c>
      <c r="BA32" s="264">
        <v>2002</v>
      </c>
      <c r="BB32" s="265" t="s">
        <v>313</v>
      </c>
      <c r="BC32" s="266"/>
      <c r="BD32" s="266"/>
      <c r="BE32" s="266"/>
      <c r="BF32" s="267">
        <f>0.64*IVA!AE66</f>
        <v>367574.65865386667</v>
      </c>
      <c r="BG32" s="267">
        <f>0.64*IVA!AF66</f>
        <v>269053.3357226667</v>
      </c>
      <c r="BH32" s="267">
        <f>0.64*IVA!AG66</f>
        <v>276471.65851306671</v>
      </c>
      <c r="BI32" s="267">
        <f>0.64*IVA!AH66</f>
        <v>246199.28018346668</v>
      </c>
      <c r="BJ32" s="267">
        <f>0.64*IVA!AI66</f>
        <v>540646.65434026672</v>
      </c>
      <c r="BK32" s="267">
        <f>0.64*IVA!AJ66</f>
        <v>502044.15252266667</v>
      </c>
      <c r="BL32" s="267">
        <f>0.64*IVA!AK66</f>
        <v>457902.70600106666</v>
      </c>
      <c r="BM32" s="267">
        <f>0.64*IVA!AL66</f>
        <v>509316.91583146661</v>
      </c>
      <c r="BN32" s="267">
        <f>0.64*IVA!AM66</f>
        <v>406283.35913386667</v>
      </c>
      <c r="BO32" s="267">
        <f>0.64*IVA!AN66</f>
        <v>512309.92796586663</v>
      </c>
      <c r="BP32" s="267">
        <f>0.64*IVA!AO66</f>
        <v>679839.39881386666</v>
      </c>
      <c r="BQ32" s="268">
        <f>0.64*IVA!AP66</f>
        <v>569534.81064746669</v>
      </c>
      <c r="BR32" s="173">
        <f>0.64*IVA!AQ66</f>
        <v>913099.65288960014</v>
      </c>
      <c r="BS32" s="173">
        <f>0.64*IVA!AR66</f>
        <v>791724.27441920014</v>
      </c>
      <c r="BT32" s="173">
        <f>0.64*IVA!AS66</f>
        <v>1063317.5930368002</v>
      </c>
      <c r="BU32" s="174">
        <f>0.64*IVA!AT66</f>
        <v>1288890.0870463999</v>
      </c>
      <c r="BV32" s="135">
        <f>0.64*IVA!AU66</f>
        <v>4057031.607392</v>
      </c>
      <c r="BW32" s="136">
        <f>IVA!BR32/IVA!CJ11</f>
        <v>3.85181476560321E-3</v>
      </c>
      <c r="BX32" s="137">
        <f>IVA!BS32/IVA!CK11</f>
        <v>2.3354133336501329E-3</v>
      </c>
      <c r="BY32" s="136">
        <f>IVA!BT32/IVA!CL11</f>
        <v>3.1835262184599302E-3</v>
      </c>
      <c r="BZ32" s="136">
        <f>IVA!BU32/IVA!CM11</f>
        <v>3.78807427678005E-3</v>
      </c>
      <c r="CA32" s="271">
        <f>IVA!BV32/IVA!CN11</f>
        <v>1.2979172500491012E-2</v>
      </c>
      <c r="CH32" s="13"/>
      <c r="CI32" s="53">
        <v>1998</v>
      </c>
      <c r="CJ32" s="284">
        <f>IVA!AV28+IVA!AV79+IVA!AV96+IVA!AV113+IVA!AV147+IVA!AV164+IVA!AV213+IVA!AV247</f>
        <v>1.9201593358755001E-2</v>
      </c>
      <c r="CK32" s="284">
        <f>IVA!AW28+IVA!AW79+IVA!AW96+IVA!AW113+IVA!AW147+IVA!AW164+IVA!AW213+IVA!AW247</f>
        <v>1.7237784720597501E-2</v>
      </c>
      <c r="CL32" s="284">
        <f>IVA!AX28+IVA!AX79+IVA!AX96+IVA!AX113+IVA!AX147+IVA!AX164+IVA!AX213+IVA!AX247</f>
        <v>1.8678361677212169E-2</v>
      </c>
      <c r="CM32" s="285">
        <f>IVA!AY28+IVA!AY79+IVA!AY96+IVA!AY113+IVA!AY147+IVA!AY164+IVA!AY213+IVA!AY247</f>
        <v>1.8096100164880217E-2</v>
      </c>
      <c r="CN32" s="286">
        <f>IVA!AZ28+IVA!AZ79+IVA!AZ96+IVA!AZ113+IVA!AZ147+IVA!AZ164+IVA!AZ213+IVA!AZ247</f>
        <v>7.312884508069252E-2</v>
      </c>
      <c r="CO32" s="63"/>
      <c r="CP32" s="63"/>
      <c r="CQ32" s="13"/>
      <c r="CS32" s="218"/>
      <c r="CT32" s="97" t="s">
        <v>247</v>
      </c>
      <c r="CU32" s="196">
        <v>0</v>
      </c>
      <c r="CV32" s="197">
        <v>0</v>
      </c>
      <c r="CW32" s="198">
        <v>0</v>
      </c>
      <c r="CX32" s="146">
        <v>0</v>
      </c>
      <c r="CY32" s="197">
        <v>1277879.173</v>
      </c>
      <c r="CZ32" s="197">
        <v>0</v>
      </c>
      <c r="DA32" s="197">
        <v>0</v>
      </c>
      <c r="DB32" s="197">
        <v>1277879.173</v>
      </c>
      <c r="DC32" s="199">
        <v>0</v>
      </c>
      <c r="DD32" s="197">
        <v>0</v>
      </c>
      <c r="DE32" s="197">
        <v>0</v>
      </c>
      <c r="DF32" s="197">
        <v>0</v>
      </c>
      <c r="DG32" s="200">
        <v>1277879.173</v>
      </c>
      <c r="DH32" s="146"/>
      <c r="DI32" s="113"/>
      <c r="DJ32" s="114" t="s">
        <v>102</v>
      </c>
      <c r="DK32" s="164">
        <v>17498103.800000001</v>
      </c>
      <c r="DL32" s="146"/>
      <c r="DY32" s="213" t="s">
        <v>373</v>
      </c>
      <c r="EA32" s="177"/>
      <c r="EB32" s="228">
        <v>108785511</v>
      </c>
      <c r="EC32" s="228">
        <v>164906610</v>
      </c>
      <c r="ED32" s="228">
        <v>273692121</v>
      </c>
      <c r="EE32" s="228">
        <v>182298154.19999999</v>
      </c>
      <c r="EF32" s="228">
        <v>180179349.22</v>
      </c>
      <c r="EG32" s="229">
        <v>172062297.02000001</v>
      </c>
      <c r="EH32" s="230">
        <v>93512771.780000001</v>
      </c>
      <c r="EJ32" s="31">
        <v>1980</v>
      </c>
      <c r="EK32" s="32">
        <v>2832.6289999999999</v>
      </c>
      <c r="EL32" s="33">
        <v>2262.9879999999998</v>
      </c>
      <c r="EM32" s="120" t="s">
        <v>103</v>
      </c>
      <c r="EN32" s="34">
        <f>IVA!EO10/IVA!EK48/1000</f>
        <v>0.47665168689482063</v>
      </c>
      <c r="EO32" s="34">
        <f>IVA!EO10/IVA!EL47/1000</f>
        <v>0.57808803303722978</v>
      </c>
      <c r="EV32" s="120" t="s">
        <v>374</v>
      </c>
    </row>
    <row r="33" spans="27:154" ht="12.75" customHeight="1">
      <c r="AA33" s="121">
        <v>2003</v>
      </c>
      <c r="AB33" s="121" t="s">
        <v>312</v>
      </c>
      <c r="AC33" s="122"/>
      <c r="AD33" s="123"/>
      <c r="AE33" s="190">
        <f>IVA!AE16*0.9373*0.11</f>
        <v>173868.00506246174</v>
      </c>
      <c r="AF33" s="190">
        <f>IVA!AF16*0.9373*0.11</f>
        <v>139625.90185061519</v>
      </c>
      <c r="AG33" s="190">
        <f>IVA!AG16*0.9373*0.11</f>
        <v>154543.14589992279</v>
      </c>
      <c r="AH33" s="190">
        <f>IVA!AH16*0.9373*0.11</f>
        <v>174822.15697449504</v>
      </c>
      <c r="AI33" s="190">
        <f>IVA!AI16*0.9373*0.11</f>
        <v>142023.54947003225</v>
      </c>
      <c r="AJ33" s="190">
        <f>IVA!AJ16*0.9373*0.11</f>
        <v>167986.36585286557</v>
      </c>
      <c r="AK33" s="190">
        <f>IVA!AK16*0.9373*0.11</f>
        <v>188756.16526386622</v>
      </c>
      <c r="AL33" s="190">
        <f>IVA!AL16*0.9373*0.11</f>
        <v>187676.01598838094</v>
      </c>
      <c r="AM33" s="190">
        <f>IVA!AM16*0.9373*0.11</f>
        <v>211308.3263945654</v>
      </c>
      <c r="AN33" s="190">
        <f>IVA!AN16*0.9373*0.11</f>
        <v>198039.31994570725</v>
      </c>
      <c r="AO33" s="190">
        <f>IVA!AO16*0.9373*0.11</f>
        <v>206531.29523871845</v>
      </c>
      <c r="AP33" s="190">
        <f>IVA!AP16*0.9373*0.11</f>
        <v>214577.34776578101</v>
      </c>
      <c r="AQ33" s="126">
        <f>IVA!AE33+IVA!AF33+IVA!AG33</f>
        <v>468037.0528129997</v>
      </c>
      <c r="AR33" s="126">
        <f>IVA!AH33+IVA!AI33+IVA!AJ33</f>
        <v>484832.07229739282</v>
      </c>
      <c r="AS33" s="126">
        <f>IVA!AK33+IVA!AL33+IVA!AM33</f>
        <v>587740.50764681259</v>
      </c>
      <c r="AT33" s="126">
        <f>IVA!AN33+IVA!AO33+IVA!AP33</f>
        <v>619147.96295020671</v>
      </c>
      <c r="AU33" s="127">
        <f>IVA!AQ33+IVA!AR33+IVA!AS33+IVA!AT33</f>
        <v>2159757.5957074119</v>
      </c>
      <c r="AV33" s="128">
        <f>IVA!AQ33/IVA!CJ12</f>
        <v>1.4297232202057652E-3</v>
      </c>
      <c r="AW33" s="128">
        <f>IVA!AR33/IVA!CK12</f>
        <v>1.2147561772046683E-3</v>
      </c>
      <c r="AX33" s="128">
        <f>IVA!AS33/IVA!CL12</f>
        <v>1.5553330227536142E-3</v>
      </c>
      <c r="AY33" s="128">
        <f>IVA!AT33/IVA!CM12</f>
        <v>1.550701492107554E-3</v>
      </c>
      <c r="AZ33" s="269">
        <f>IVA!AU33/IVA!CN12</f>
        <v>5.7454211506813109E-3</v>
      </c>
      <c r="BA33" s="264">
        <v>2003</v>
      </c>
      <c r="BB33" s="265" t="s">
        <v>313</v>
      </c>
      <c r="BC33" s="266"/>
      <c r="BD33" s="266"/>
      <c r="BE33" s="266"/>
      <c r="BF33" s="267">
        <f>0.64*IVA!AE67</f>
        <v>669970.1780202667</v>
      </c>
      <c r="BG33" s="267">
        <f>0.64*IVA!AF67</f>
        <v>483217.67366186663</v>
      </c>
      <c r="BH33" s="267">
        <f>0.64*IVA!AG67</f>
        <v>470366.90562346671</v>
      </c>
      <c r="BI33" s="267">
        <f>0.64*IVA!AH67</f>
        <v>584425.77734186663</v>
      </c>
      <c r="BJ33" s="267">
        <f>0.64*IVA!AI67</f>
        <v>1354012.7672682668</v>
      </c>
      <c r="BK33" s="267">
        <f>0.64*IVA!AJ67</f>
        <v>1023397.5524714667</v>
      </c>
      <c r="BL33" s="267">
        <f>0.64*IVA!AK67</f>
        <v>726772.6772714667</v>
      </c>
      <c r="BM33" s="267">
        <f>0.64*IVA!AL67</f>
        <v>807654.4093226667</v>
      </c>
      <c r="BN33" s="267">
        <f>0.64*IVA!AM67</f>
        <v>621001.06977066665</v>
      </c>
      <c r="BO33" s="267">
        <f>0.64*IVA!AN67</f>
        <v>669351.39750826661</v>
      </c>
      <c r="BP33" s="267">
        <f>0.64*IVA!AO67</f>
        <v>850716.83245226671</v>
      </c>
      <c r="BQ33" s="268">
        <f>0.64*IVA!AP67</f>
        <v>808384.19650346669</v>
      </c>
      <c r="BR33" s="173">
        <f>0.64*IVA!AQ67</f>
        <v>1623554.7573056</v>
      </c>
      <c r="BS33" s="173">
        <f>0.64*IVA!AR67</f>
        <v>1538010.3566272</v>
      </c>
      <c r="BT33" s="173">
        <f>0.64*IVA!AS67</f>
        <v>2408805.4502336001</v>
      </c>
      <c r="BU33" s="174">
        <f>0.64*IVA!AT67</f>
        <v>2961836.0970815998</v>
      </c>
      <c r="BV33" s="135">
        <f>0.64*IVA!AU67</f>
        <v>8532206.6612480003</v>
      </c>
      <c r="BW33" s="136">
        <f>IVA!BR33/IVA!CJ12</f>
        <v>4.9595089146131808E-3</v>
      </c>
      <c r="BX33" s="137">
        <f>IVA!BS33/IVA!CK12</f>
        <v>3.8535148313613181E-3</v>
      </c>
      <c r="BY33" s="136">
        <f>IVA!BT33/IVA!CL12</f>
        <v>6.3744026715758795E-3</v>
      </c>
      <c r="BZ33" s="136">
        <f>IVA!BU33/IVA!CM12</f>
        <v>7.4181357768463244E-3</v>
      </c>
      <c r="CA33" s="271">
        <f>IVA!BV33/IVA!CN12</f>
        <v>2.2697510457168571E-2</v>
      </c>
      <c r="CH33" s="13"/>
      <c r="CI33" s="53">
        <v>1999</v>
      </c>
      <c r="CJ33" s="284">
        <f>IVA!AV29+IVA!AV80+IVA!AV97+IVA!AV114+IVA!AV148+IVA!AV165+IVA!AV214+IVA!AV248</f>
        <v>2.0461543335691015E-2</v>
      </c>
      <c r="CK33" s="284">
        <f>IVA!AW29+IVA!AW80+IVA!AW97+IVA!AW114+IVA!AW148+IVA!AW165+IVA!AW214+IVA!AW248</f>
        <v>1.722733474940347E-2</v>
      </c>
      <c r="CL33" s="284">
        <f>IVA!AX29+IVA!AX80+IVA!AX97+IVA!AX114+IVA!AX148+IVA!AX165+IVA!AX214+IVA!AX248</f>
        <v>1.8652922372088279E-2</v>
      </c>
      <c r="CM33" s="285">
        <f>IVA!AY29+IVA!AY80+IVA!AY97+IVA!AY114+IVA!AY148+IVA!AY165+IVA!AY214+IVA!AY248</f>
        <v>1.6720082054360354E-2</v>
      </c>
      <c r="CN33" s="286">
        <f>IVA!AZ29+IVA!AZ80+IVA!AZ97+IVA!AZ114+IVA!AZ148+IVA!AZ165+IVA!AZ214+IVA!AZ248</f>
        <v>7.2913406411360987E-2</v>
      </c>
      <c r="CO33" s="63"/>
      <c r="CP33" s="63"/>
      <c r="CQ33" s="13"/>
      <c r="CS33" s="218"/>
      <c r="CT33" s="97" t="s">
        <v>262</v>
      </c>
      <c r="CU33" s="196">
        <v>0</v>
      </c>
      <c r="CV33" s="197">
        <v>428714</v>
      </c>
      <c r="CW33" s="198">
        <v>428714</v>
      </c>
      <c r="CX33" s="146">
        <v>0</v>
      </c>
      <c r="CY33" s="197">
        <v>0</v>
      </c>
      <c r="CZ33" s="197">
        <v>0</v>
      </c>
      <c r="DA33" s="197">
        <v>0</v>
      </c>
      <c r="DB33" s="197">
        <v>428714</v>
      </c>
      <c r="DC33" s="199">
        <v>2794480</v>
      </c>
      <c r="DD33" s="197">
        <v>0</v>
      </c>
      <c r="DE33" s="197">
        <v>0</v>
      </c>
      <c r="DF33" s="197">
        <v>2794480</v>
      </c>
      <c r="DG33" s="200">
        <v>3223194</v>
      </c>
      <c r="DH33" s="146"/>
      <c r="DI33" s="97">
        <v>1999</v>
      </c>
      <c r="DJ33" s="97" t="s">
        <v>84</v>
      </c>
      <c r="DK33" s="145">
        <v>17454611.300000001</v>
      </c>
      <c r="DL33" s="146"/>
      <c r="DY33" s="213" t="s">
        <v>375</v>
      </c>
      <c r="EA33" s="193"/>
      <c r="EB33" s="228">
        <v>8349226</v>
      </c>
      <c r="EC33" s="228"/>
      <c r="ED33" s="228">
        <v>8349226</v>
      </c>
      <c r="EE33" s="228">
        <v>8026739.3600000003</v>
      </c>
      <c r="EF33" s="228">
        <v>7464370.4199999999</v>
      </c>
      <c r="EG33" s="229">
        <v>6688222.0599999996</v>
      </c>
      <c r="EH33" s="230">
        <v>884855.58</v>
      </c>
      <c r="EJ33" s="31">
        <v>1981</v>
      </c>
      <c r="EK33" s="32">
        <v>2901.2339999999999</v>
      </c>
      <c r="EL33" s="33">
        <v>2321.7109999999998</v>
      </c>
      <c r="EM33" s="120" t="s">
        <v>123</v>
      </c>
      <c r="EN33" s="34">
        <f>IVA!EO11/IVA!EK49/1000</f>
        <v>0.5122793816199569</v>
      </c>
      <c r="EO33" s="34">
        <f>IVA!EO11/IVA!EL48/1000</f>
        <v>0.61705559842790425</v>
      </c>
      <c r="EV33" s="120" t="s">
        <v>376</v>
      </c>
    </row>
    <row r="34" spans="27:154" ht="12.75" customHeight="1">
      <c r="AA34" s="121">
        <v>2004</v>
      </c>
      <c r="AB34" s="121" t="s">
        <v>312</v>
      </c>
      <c r="AC34" s="122"/>
      <c r="AD34" s="123"/>
      <c r="AE34" s="190">
        <f>IVA!AE17*0.9373*0.11</f>
        <v>256697.83962383564</v>
      </c>
      <c r="AF34" s="190">
        <f>IVA!AF17*0.9373*0.11</f>
        <v>222041.9517202987</v>
      </c>
      <c r="AG34" s="190">
        <f>IVA!AG17*0.9373*0.11</f>
        <v>237331.37637791582</v>
      </c>
      <c r="AH34" s="190">
        <f>IVA!AH17*0.9373*0.11</f>
        <v>236977.39788665946</v>
      </c>
      <c r="AI34" s="190">
        <f>IVA!AI17*0.9373*0.11</f>
        <v>254887.48105054232</v>
      </c>
      <c r="AJ34" s="190">
        <f>IVA!AJ17*0.9373*0.11</f>
        <v>298941.36862830241</v>
      </c>
      <c r="AK34" s="190">
        <f>IVA!AK17*0.9373*0.11</f>
        <v>290560.62730697001</v>
      </c>
      <c r="AL34" s="190">
        <f>IVA!AL17*0.9373*0.11</f>
        <v>295541.64384586841</v>
      </c>
      <c r="AM34" s="190">
        <f>IVA!AM17*0.9373*0.11</f>
        <v>284457.40163930086</v>
      </c>
      <c r="AN34" s="190">
        <f>IVA!AN17*0.9373*0.11</f>
        <v>264939.1605938978</v>
      </c>
      <c r="AO34" s="190">
        <f>IVA!AO17*0.9373*0.11</f>
        <v>276955.43255752377</v>
      </c>
      <c r="AP34" s="190">
        <f>IVA!AP17*0.9373*0.11</f>
        <v>274484.70427488111</v>
      </c>
      <c r="AQ34" s="126">
        <f>IVA!AE34+IVA!AF34+IVA!AG34</f>
        <v>716071.16772205022</v>
      </c>
      <c r="AR34" s="126">
        <f>IVA!AH34+IVA!AI34+IVA!AJ34</f>
        <v>790806.24756550416</v>
      </c>
      <c r="AS34" s="126">
        <f>IVA!AK34+IVA!AL34+IVA!AM34</f>
        <v>870559.67279213923</v>
      </c>
      <c r="AT34" s="126">
        <f>IVA!AN34+IVA!AO34+IVA!AP34</f>
        <v>816379.29742630268</v>
      </c>
      <c r="AU34" s="127">
        <f>IVA!AQ34+IVA!AR34+IVA!AS34+IVA!AT34</f>
        <v>3193816.3855059966</v>
      </c>
      <c r="AV34" s="128">
        <f>IVA!AQ34/IVA!CJ13</f>
        <v>1.8229128772992264E-3</v>
      </c>
      <c r="AW34" s="128">
        <f>IVA!AR34/IVA!CK13</f>
        <v>1.6676179565948653E-3</v>
      </c>
      <c r="AX34" s="128">
        <f>IVA!AS34/IVA!CL13</f>
        <v>1.9256775794688626E-3</v>
      </c>
      <c r="AY34" s="128">
        <f>IVA!AT34/IVA!CM13</f>
        <v>1.731585261187584E-3</v>
      </c>
      <c r="AZ34" s="269">
        <f>IVA!AU34/IVA!CN13</f>
        <v>7.1347331437441137E-3</v>
      </c>
      <c r="BA34" s="264">
        <v>2004</v>
      </c>
      <c r="BB34" s="265" t="s">
        <v>313</v>
      </c>
      <c r="BC34" s="266"/>
      <c r="BD34" s="266"/>
      <c r="BE34" s="266"/>
      <c r="BF34" s="267">
        <f>0.64*IVA!AE68</f>
        <v>789053.38217386685</v>
      </c>
      <c r="BG34" s="267">
        <f>0.64*IVA!AF68</f>
        <v>646668.30031786661</v>
      </c>
      <c r="BH34" s="267">
        <f>0.64*IVA!AG68</f>
        <v>634182.17731626669</v>
      </c>
      <c r="BI34" s="267">
        <f>0.64*IVA!AH68</f>
        <v>721428.38280106685</v>
      </c>
      <c r="BJ34" s="267">
        <f>0.64*IVA!AI68</f>
        <v>3445852.416913067</v>
      </c>
      <c r="BK34" s="267">
        <f>0.64*IVA!AJ68</f>
        <v>1833342.1839466665</v>
      </c>
      <c r="BL34" s="267">
        <f>0.64*IVA!AK68</f>
        <v>1017873.8032490668</v>
      </c>
      <c r="BM34" s="267">
        <f>0.64*IVA!AL68</f>
        <v>1081250.1706602667</v>
      </c>
      <c r="BN34" s="267">
        <f>0.64*IVA!AM68</f>
        <v>928882.72804906673</v>
      </c>
      <c r="BO34" s="267">
        <f>0.64*IVA!AN68</f>
        <v>1052184.2493290668</v>
      </c>
      <c r="BP34" s="267">
        <f>0.64*IVA!AO68</f>
        <v>1080186.6714666667</v>
      </c>
      <c r="BQ34" s="268">
        <f>0.64*IVA!AP68</f>
        <v>662915.75873706664</v>
      </c>
      <c r="BR34" s="173">
        <f>0.64*IVA!AQ68</f>
        <v>2069903.859808</v>
      </c>
      <c r="BS34" s="173">
        <f>0.64*IVA!AR68</f>
        <v>2002278.8604352002</v>
      </c>
      <c r="BT34" s="173">
        <f>0.64*IVA!AS68</f>
        <v>4801462.9770304011</v>
      </c>
      <c r="BU34" s="174">
        <f>0.64*IVA!AT68</f>
        <v>6000622.9836608004</v>
      </c>
      <c r="BV34" s="135">
        <f>0.64*IVA!AU68</f>
        <v>14874268.680934401</v>
      </c>
      <c r="BW34" s="136">
        <f>IVA!BR34/IVA!CJ13</f>
        <v>5.2693846239037518E-3</v>
      </c>
      <c r="BX34" s="137">
        <f>IVA!BS34/IVA!CK13</f>
        <v>4.2223189207865539E-3</v>
      </c>
      <c r="BY34" s="136">
        <f>IVA!BT34/IVA!CL13</f>
        <v>1.0620833806673372E-2</v>
      </c>
      <c r="BZ34" s="136">
        <f>IVA!BU34/IVA!CM13</f>
        <v>1.2727650430636381E-2</v>
      </c>
      <c r="CA34" s="271">
        <f>IVA!BV34/IVA!CN13</f>
        <v>3.3227939536043333E-2</v>
      </c>
      <c r="CH34" s="13"/>
      <c r="CI34" s="53">
        <v>2000</v>
      </c>
      <c r="CJ34" s="284">
        <f>IVA!AV30+IVA!AV81+IVA!AV98+IVA!AV115+IVA!AV149+IVA!AV166+IVA!AV215+IVA!AV249</f>
        <v>1.9257039741762627E-2</v>
      </c>
      <c r="CK34" s="284">
        <f>IVA!AW30+IVA!AW81+IVA!AW98+IVA!AW115+IVA!AW149+IVA!AW166+IVA!AW215+IVA!AW249</f>
        <v>1.7722088539331299E-2</v>
      </c>
      <c r="CL34" s="284">
        <f>IVA!AX30+IVA!AX81+IVA!AX98+IVA!AX115+IVA!AX149+IVA!AX166+IVA!AX215+IVA!AX249</f>
        <v>1.9022655928728777E-2</v>
      </c>
      <c r="CM34" s="285">
        <f>IVA!AY30+IVA!AY81+IVA!AY98+IVA!AY115+IVA!AY149+IVA!AY166+IVA!AY215+IVA!AY249</f>
        <v>1.7180536881908716E-2</v>
      </c>
      <c r="CN34" s="286">
        <f>IVA!AZ30+IVA!AZ81+IVA!AZ98+IVA!AZ115+IVA!AZ149+IVA!AZ166+IVA!AZ215+IVA!AZ249</f>
        <v>7.3117573253365917E-2</v>
      </c>
      <c r="CO34" s="63"/>
      <c r="CP34" s="63"/>
      <c r="CQ34" s="13"/>
      <c r="CS34" s="113"/>
      <c r="CT34" s="114" t="s">
        <v>278</v>
      </c>
      <c r="CU34" s="238">
        <v>0</v>
      </c>
      <c r="CV34" s="239">
        <v>0</v>
      </c>
      <c r="CW34" s="240">
        <v>0</v>
      </c>
      <c r="CX34" s="241">
        <v>0</v>
      </c>
      <c r="CY34" s="239">
        <v>0</v>
      </c>
      <c r="CZ34" s="239">
        <v>0</v>
      </c>
      <c r="DA34" s="239">
        <v>7968767.3590000002</v>
      </c>
      <c r="DB34" s="239">
        <v>7968767.3590000002</v>
      </c>
      <c r="DC34" s="242">
        <v>0</v>
      </c>
      <c r="DD34" s="239">
        <v>0</v>
      </c>
      <c r="DE34" s="239">
        <v>0</v>
      </c>
      <c r="DF34" s="239">
        <v>0</v>
      </c>
      <c r="DG34" s="164">
        <v>7968767.3590000002</v>
      </c>
      <c r="DH34" s="146"/>
      <c r="DI34" s="113"/>
      <c r="DJ34" s="114" t="s">
        <v>102</v>
      </c>
      <c r="DK34" s="164">
        <v>17340453.5</v>
      </c>
      <c r="DL34" s="146"/>
      <c r="DY34" s="220" t="s">
        <v>377</v>
      </c>
      <c r="DZ34" s="221"/>
      <c r="EA34" s="204"/>
      <c r="EB34" s="234">
        <v>15809984669</v>
      </c>
      <c r="EC34" s="234">
        <v>93529487</v>
      </c>
      <c r="ED34" s="234">
        <v>15903514156</v>
      </c>
      <c r="EE34" s="234">
        <v>14611771842.040001</v>
      </c>
      <c r="EF34" s="234">
        <v>14611771842.040001</v>
      </c>
      <c r="EG34" s="235">
        <v>13178612908.85</v>
      </c>
      <c r="EH34" s="236">
        <v>1291742313.96</v>
      </c>
      <c r="EJ34" s="31">
        <v>1982</v>
      </c>
      <c r="EK34" s="32">
        <v>2975.47</v>
      </c>
      <c r="EL34" s="33">
        <v>2382.7370000000001</v>
      </c>
      <c r="EM34" s="120" t="s">
        <v>138</v>
      </c>
      <c r="EN34" s="34">
        <f>IVA!EO12/IVA!EK50/1000</f>
        <v>0.65606738012377008</v>
      </c>
      <c r="EO34" s="34">
        <f>IVA!EO12/IVA!EL49/1000</f>
        <v>0.78566232503617073</v>
      </c>
      <c r="EU34" s="120" t="s">
        <v>106</v>
      </c>
      <c r="EV34" s="120" t="s">
        <v>378</v>
      </c>
      <c r="EW34" s="120" t="s">
        <v>379</v>
      </c>
      <c r="EX34" s="120" t="s">
        <v>87</v>
      </c>
    </row>
    <row r="35" spans="27:154" ht="12.75" customHeight="1">
      <c r="AA35" s="121">
        <v>2005</v>
      </c>
      <c r="AB35" s="121" t="s">
        <v>312</v>
      </c>
      <c r="AC35" s="122"/>
      <c r="AD35" s="123"/>
      <c r="AE35" s="190">
        <f>IVA!AE18*0.9373*0.11</f>
        <v>306216.42800699954</v>
      </c>
      <c r="AF35" s="190">
        <f>IVA!AF18*0.9373*0.11</f>
        <v>262411.17002681579</v>
      </c>
      <c r="AG35" s="190">
        <f>IVA!AG18*0.9373*0.11</f>
        <v>282130.17614957178</v>
      </c>
      <c r="AH35" s="190">
        <f>IVA!AH18*0.9373*0.11</f>
        <v>309396.77196022595</v>
      </c>
      <c r="AI35" s="190">
        <f>IVA!AI18*0.9373*0.11</f>
        <v>327125.62029438291</v>
      </c>
      <c r="AJ35" s="190">
        <f>IVA!AJ18*0.9373*0.11</f>
        <v>309718.34840776835</v>
      </c>
      <c r="AK35" s="190">
        <f>IVA!AK18*0.9373*0.11</f>
        <v>310722.97948570881</v>
      </c>
      <c r="AL35" s="190">
        <f>IVA!AL18*0.9373*0.11</f>
        <v>339007.73579534865</v>
      </c>
      <c r="AM35" s="190">
        <f>IVA!AM18*0.9373*0.11</f>
        <v>351065.56489955954</v>
      </c>
      <c r="AN35" s="190">
        <f>IVA!AN18*0.9373*0.11</f>
        <v>314280.70896403183</v>
      </c>
      <c r="AO35" s="190">
        <f>IVA!AO18*0.9373*0.11</f>
        <v>334529.28888503124</v>
      </c>
      <c r="AP35" s="190">
        <f>IVA!AP18*0.9373*0.11</f>
        <v>353063.35575792287</v>
      </c>
      <c r="AQ35" s="126">
        <f>IVA!AE35+IVA!AF35+IVA!AG35</f>
        <v>850757.77418338717</v>
      </c>
      <c r="AR35" s="126">
        <f>IVA!AH35+IVA!AI35+IVA!AJ35</f>
        <v>946240.74066237733</v>
      </c>
      <c r="AS35" s="126">
        <f>IVA!AK35+IVA!AL35+IVA!AM35</f>
        <v>1000796.280180617</v>
      </c>
      <c r="AT35" s="126">
        <f>IVA!AN35+IVA!AO35+IVA!AP35</f>
        <v>1001873.3536069859</v>
      </c>
      <c r="AU35" s="127">
        <f>IVA!AQ35+IVA!AR35+IVA!AS35+IVA!AT35</f>
        <v>3799668.1486333674</v>
      </c>
      <c r="AV35" s="128">
        <f>IVA!AQ35/IVA!CJ14</f>
        <v>1.8625762410859595E-3</v>
      </c>
      <c r="AW35" s="128">
        <f>IVA!AR35/IVA!CK14</f>
        <v>1.7129262804181662E-3</v>
      </c>
      <c r="AX35" s="128">
        <f>IVA!AS35/IVA!CL14</f>
        <v>1.8389277533070851E-3</v>
      </c>
      <c r="AY35" s="128">
        <f>IVA!AT35/IVA!CM14</f>
        <v>1.7443568216052581E-3</v>
      </c>
      <c r="AZ35" s="269">
        <f>IVA!AU35/IVA!CN14</f>
        <v>7.1430561253935741E-3</v>
      </c>
      <c r="BA35" s="264">
        <v>2005</v>
      </c>
      <c r="BB35" s="265" t="s">
        <v>313</v>
      </c>
      <c r="BC35" s="266"/>
      <c r="BD35" s="266"/>
      <c r="BE35" s="266"/>
      <c r="BF35" s="267">
        <f>0.64*IVA!AE69</f>
        <v>1075282.4870442669</v>
      </c>
      <c r="BG35" s="267">
        <f>0.64*IVA!AF69</f>
        <v>1156703.9405802668</v>
      </c>
      <c r="BH35" s="267">
        <f>0.64*IVA!AG69</f>
        <v>1078040.5813738666</v>
      </c>
      <c r="BI35" s="267">
        <f>0.64*IVA!AH69</f>
        <v>1221048.3932842668</v>
      </c>
      <c r="BJ35" s="267">
        <f>0.64*IVA!AI69</f>
        <v>2342875.9229802666</v>
      </c>
      <c r="BK35" s="267">
        <f>0.64*IVA!AJ69</f>
        <v>2276337.3573162667</v>
      </c>
      <c r="BL35" s="267">
        <f>0.64*IVA!AK69</f>
        <v>1301052.1900202667</v>
      </c>
      <c r="BM35" s="267">
        <f>0.64*IVA!AL69</f>
        <v>1373070.8241514666</v>
      </c>
      <c r="BN35" s="267">
        <f>0.64*IVA!AM69</f>
        <v>1297139.4671786667</v>
      </c>
      <c r="BO35" s="267">
        <f>0.64*IVA!AN69</f>
        <v>1396372.4502314667</v>
      </c>
      <c r="BP35" s="267">
        <f>0.64*IVA!AO69</f>
        <v>1415477.7440106666</v>
      </c>
      <c r="BQ35" s="268">
        <f>0.64*IVA!AP69</f>
        <v>1644454.0354538665</v>
      </c>
      <c r="BR35" s="173">
        <f>0.64*IVA!AQ69</f>
        <v>3310027.0089984001</v>
      </c>
      <c r="BS35" s="173">
        <f>0.64*IVA!AR69</f>
        <v>3455792.9152384</v>
      </c>
      <c r="BT35" s="173">
        <f>0.64*IVA!AS69</f>
        <v>4641964.8976384001</v>
      </c>
      <c r="BU35" s="174">
        <f>0.64*IVA!AT69</f>
        <v>5840261.6735808002</v>
      </c>
      <c r="BV35" s="135">
        <f>0.64*IVA!AU69</f>
        <v>17248046.495455999</v>
      </c>
      <c r="BW35" s="136">
        <f>IVA!BR35/IVA!CJ14</f>
        <v>7.2466897763361383E-3</v>
      </c>
      <c r="BX35" s="137">
        <f>IVA!BS35/IVA!CK14</f>
        <v>6.2558271376595403E-3</v>
      </c>
      <c r="BY35" s="136">
        <f>IVA!BT35/IVA!CL14</f>
        <v>8.5294462511431128E-3</v>
      </c>
      <c r="BZ35" s="136">
        <f>IVA!BU35/IVA!CM14</f>
        <v>1.0168451185564472E-2</v>
      </c>
      <c r="CA35" s="271">
        <f>IVA!BV35/IVA!CN14</f>
        <v>3.2424874844597426E-2</v>
      </c>
      <c r="CH35" s="13"/>
      <c r="CI35" s="53">
        <v>2001</v>
      </c>
      <c r="CJ35" s="284">
        <f>IVA!AV31+IVA!AV82+IVA!AV99+IVA!AV116+IVA!AV150+IVA!AV167+IVA!AV216+IVA!AV250</f>
        <v>1.975591540633849E-2</v>
      </c>
      <c r="CK35" s="284">
        <f>IVA!AW31+IVA!AW82+IVA!AW99+IVA!AW116+IVA!AW150+IVA!AW167+IVA!AW216+IVA!AW250</f>
        <v>1.6831343881203484E-2</v>
      </c>
      <c r="CL35" s="284">
        <f>IVA!AX31+IVA!AX82+IVA!AX99+IVA!AX116+IVA!AX150+IVA!AX167+IVA!AX216+IVA!AX250</f>
        <v>1.8392935213077367E-2</v>
      </c>
      <c r="CM35" s="285">
        <f>IVA!AY31+IVA!AY82+IVA!AY99+IVA!AY116+IVA!AY150+IVA!AY167+IVA!AY216+IVA!AY250</f>
        <v>1.5750872795184678E-2</v>
      </c>
      <c r="CN35" s="286">
        <f>IVA!AZ31+IVA!AZ82+IVA!AZ99+IVA!AZ116+IVA!AZ150+IVA!AZ167+IVA!AZ216+IVA!AZ250</f>
        <v>7.0755098418074217E-2</v>
      </c>
      <c r="CO35" s="63"/>
      <c r="CP35" s="63"/>
      <c r="CQ35" s="13"/>
      <c r="CS35" s="287">
        <v>2010</v>
      </c>
      <c r="CT35" s="288" t="s">
        <v>162</v>
      </c>
      <c r="CU35" s="289">
        <v>1813510</v>
      </c>
      <c r="CV35" s="289">
        <v>633113.23400000005</v>
      </c>
      <c r="CW35" s="289">
        <v>2446623.2340000002</v>
      </c>
      <c r="CX35" s="289">
        <v>4107.4040000000005</v>
      </c>
      <c r="CY35" s="290">
        <v>83881817</v>
      </c>
      <c r="CZ35" s="289">
        <v>1717.3620000000001</v>
      </c>
      <c r="DA35" s="289">
        <v>15358210</v>
      </c>
      <c r="DB35" s="289">
        <v>101692475</v>
      </c>
      <c r="DC35" s="289">
        <v>121363</v>
      </c>
      <c r="DD35" s="289">
        <v>0</v>
      </c>
      <c r="DE35" s="289">
        <v>0</v>
      </c>
      <c r="DF35" s="289">
        <v>121363</v>
      </c>
      <c r="DG35" s="289">
        <v>101813838</v>
      </c>
      <c r="DI35" s="97">
        <v>1998</v>
      </c>
      <c r="DJ35" s="97" t="s">
        <v>84</v>
      </c>
      <c r="DK35" s="145">
        <v>17456106</v>
      </c>
      <c r="DL35" s="146"/>
      <c r="DY35" s="175" t="s">
        <v>163</v>
      </c>
      <c r="DZ35" s="45"/>
      <c r="EA35" s="208">
        <v>1998</v>
      </c>
      <c r="EB35" s="225">
        <v>20377815528</v>
      </c>
      <c r="EC35" s="225">
        <v>-219726570</v>
      </c>
      <c r="ED35" s="225">
        <v>20158088958</v>
      </c>
      <c r="EE35" s="225">
        <v>18900171343.130001</v>
      </c>
      <c r="EF35" s="225">
        <v>18838058106.41</v>
      </c>
      <c r="EG35" s="226">
        <v>17244664206.98</v>
      </c>
      <c r="EH35" s="227">
        <v>1320030851.5899999</v>
      </c>
      <c r="EJ35" s="31">
        <v>1983</v>
      </c>
      <c r="EK35" s="32">
        <v>3053.375</v>
      </c>
      <c r="EL35" s="33">
        <v>2445.2710000000002</v>
      </c>
      <c r="EM35" s="120" t="s">
        <v>146</v>
      </c>
      <c r="EN35" s="34">
        <f>IVA!EO13/IVA!EK51/1000</f>
        <v>0.63215940949816329</v>
      </c>
      <c r="EO35" s="34">
        <f>IVA!EO13/IVA!EL50/1000</f>
        <v>0.75356235039802189</v>
      </c>
      <c r="EU35" s="120" t="s">
        <v>380</v>
      </c>
      <c r="EV35" s="291" t="s">
        <v>381</v>
      </c>
    </row>
    <row r="36" spans="27:154" ht="12.75" customHeight="1">
      <c r="AA36" s="121">
        <v>2006</v>
      </c>
      <c r="AB36" s="121" t="s">
        <v>312</v>
      </c>
      <c r="AC36" s="122"/>
      <c r="AD36" s="123"/>
      <c r="AE36" s="190">
        <f>IVA!AE19*0.9373*0.11</f>
        <v>373659.05012713274</v>
      </c>
      <c r="AF36" s="190">
        <f>IVA!AF19*0.9373*0.11</f>
        <v>342828.86539671774</v>
      </c>
      <c r="AG36" s="190">
        <f>IVA!AG19*0.9373*0.11</f>
        <v>366278.00894564879</v>
      </c>
      <c r="AH36" s="190">
        <f>IVA!AH19*0.9373*0.11</f>
        <v>369960.88795702037</v>
      </c>
      <c r="AI36" s="190">
        <f>IVA!AI19*0.9373*0.11</f>
        <v>388650.13977113325</v>
      </c>
      <c r="AJ36" s="190">
        <f>IVA!AJ19*0.9373*0.11</f>
        <v>391342.94623686263</v>
      </c>
      <c r="AK36" s="190">
        <f>IVA!AK19*0.9373*0.11</f>
        <v>389995.35898151831</v>
      </c>
      <c r="AL36" s="190">
        <f>IVA!AL19*0.9373*0.11</f>
        <v>430602.88393384259</v>
      </c>
      <c r="AM36" s="190">
        <f>IVA!AM19*0.9373*0.11</f>
        <v>431124.99384815863</v>
      </c>
      <c r="AN36" s="190">
        <f>IVA!AN19*0.9373*0.11</f>
        <v>448747.10650688922</v>
      </c>
      <c r="AO36" s="190">
        <f>IVA!AO19*0.9373*0.11</f>
        <v>442533.1249437799</v>
      </c>
      <c r="AP36" s="190">
        <f>IVA!AP19*0.9373*0.11</f>
        <v>480872.20353802631</v>
      </c>
      <c r="AQ36" s="126">
        <f>IVA!AE36+IVA!AF36+IVA!AG36</f>
        <v>1082765.9244694994</v>
      </c>
      <c r="AR36" s="126">
        <f>IVA!AH36+IVA!AI36+IVA!AJ36</f>
        <v>1149953.9739650162</v>
      </c>
      <c r="AS36" s="126">
        <f>IVA!AK36+IVA!AL36+IVA!AM36</f>
        <v>1251723.2367635197</v>
      </c>
      <c r="AT36" s="126">
        <f>IVA!AN36+IVA!AO36+IVA!AP36</f>
        <v>1372152.4349886954</v>
      </c>
      <c r="AU36" s="127">
        <f>IVA!AQ36+IVA!AR36+IVA!AS36+IVA!AT36</f>
        <v>4856595.5701867305</v>
      </c>
      <c r="AV36" s="128">
        <f>IVA!AQ36/IVA!CJ15</f>
        <v>1.9062981729903827E-3</v>
      </c>
      <c r="AW36" s="128">
        <f>IVA!AR36/IVA!CK15</f>
        <v>1.6954009538377409E-3</v>
      </c>
      <c r="AX36" s="128">
        <f>IVA!AS36/IVA!CL15</f>
        <v>1.8732840875866435E-3</v>
      </c>
      <c r="AY36" s="128">
        <f>IVA!AT36/IVA!CM15</f>
        <v>1.9510591557879253E-3</v>
      </c>
      <c r="AZ36" s="269">
        <f>IVA!AU36/IVA!CN15</f>
        <v>7.4210058991848096E-3</v>
      </c>
      <c r="BA36" s="264">
        <v>2006</v>
      </c>
      <c r="BB36" s="265" t="s">
        <v>313</v>
      </c>
      <c r="BC36" s="266"/>
      <c r="BD36" s="266"/>
      <c r="BE36" s="266"/>
      <c r="BF36" s="267">
        <f>0.64*IVA!AE70</f>
        <v>1509722.4034410664</v>
      </c>
      <c r="BG36" s="267">
        <f>0.64*IVA!AF70</f>
        <v>1441892.6520042666</v>
      </c>
      <c r="BH36" s="267">
        <f>0.64*IVA!AG70</f>
        <v>1241024.5376874667</v>
      </c>
      <c r="BI36" s="267">
        <f>0.64*IVA!AH70</f>
        <v>855336.76459306676</v>
      </c>
      <c r="BJ36" s="267">
        <f>0.64*IVA!AI70</f>
        <v>2671129.330807467</v>
      </c>
      <c r="BK36" s="267">
        <f>0.64*IVA!AJ70</f>
        <v>2831783.5824810667</v>
      </c>
      <c r="BL36" s="267">
        <f>0.64*IVA!AK70</f>
        <v>1648781.0487274665</v>
      </c>
      <c r="BM36" s="267">
        <f>0.64*IVA!AL70</f>
        <v>1801210.0549866664</v>
      </c>
      <c r="BN36" s="267">
        <f>0.64*IVA!AM70</f>
        <v>1607881.7614442664</v>
      </c>
      <c r="BO36" s="267">
        <f>0.64*IVA!AN70</f>
        <v>1736295.8950506668</v>
      </c>
      <c r="BP36" s="267">
        <f>0.64*IVA!AO70</f>
        <v>1993624.9719594666</v>
      </c>
      <c r="BQ36" s="268">
        <f>0.64*IVA!AP70</f>
        <v>1803775.9258346665</v>
      </c>
      <c r="BR36" s="173">
        <f>0.64*IVA!AQ70</f>
        <v>4192639.5931328</v>
      </c>
      <c r="BS36" s="173">
        <f>0.64*IVA!AR70</f>
        <v>3538253.9542848002</v>
      </c>
      <c r="BT36" s="173">
        <f>0.64*IVA!AS70</f>
        <v>4767490.6330880001</v>
      </c>
      <c r="BU36" s="174">
        <f>0.64*IVA!AT70</f>
        <v>6358249.6778816013</v>
      </c>
      <c r="BV36" s="135">
        <f>0.64*IVA!AU70</f>
        <v>18856633.858387202</v>
      </c>
      <c r="BW36" s="136">
        <f>IVA!BR36/IVA!CJ15</f>
        <v>7.3814857078293083E-3</v>
      </c>
      <c r="BX36" s="137">
        <f>IVA!BS36/IVA!CK15</f>
        <v>5.2165210650396889E-3</v>
      </c>
      <c r="BY36" s="136">
        <f>IVA!BT36/IVA!CL15</f>
        <v>7.1348554363933857E-3</v>
      </c>
      <c r="BZ36" s="136">
        <f>IVA!BU36/IVA!CM15</f>
        <v>9.0407748676397809E-3</v>
      </c>
      <c r="CA36" s="271">
        <f>IVA!BV36/IVA!CN15</f>
        <v>2.8813433006627542E-2</v>
      </c>
      <c r="CH36" s="13"/>
      <c r="CI36" s="53">
        <v>2002</v>
      </c>
      <c r="CJ36" s="284">
        <f>IVA!AV32+IVA!AV83+IVA!AV100+IVA!AV117+IVA!AV151+IVA!AV168+IVA!AV217+IVA!AV251</f>
        <v>1.6037720742997055E-2</v>
      </c>
      <c r="CK36" s="284">
        <f>IVA!AW32+IVA!AW83+IVA!AW100+IVA!AW117+IVA!AW151+IVA!AW168+IVA!AW217+IVA!AW251</f>
        <v>1.1789353755028232E-2</v>
      </c>
      <c r="CL36" s="284">
        <f>IVA!AX32+IVA!AX83+IVA!AX100+IVA!AX117+IVA!AX151+IVA!AX168+IVA!AX217+IVA!AX251</f>
        <v>1.3728176779540311E-2</v>
      </c>
      <c r="CM36" s="285">
        <f>IVA!AY32+IVA!AY83+IVA!AY100+IVA!AY117+IVA!AY151+IVA!AY168+IVA!AY217+IVA!AY251</f>
        <v>1.3228790340234484E-2</v>
      </c>
      <c r="CN36" s="286">
        <f>IVA!AZ32+IVA!AZ83+IVA!AZ100+IVA!AZ117+IVA!AZ151+IVA!AZ168+IVA!AZ217+IVA!AZ251</f>
        <v>5.4017911170662194E-2</v>
      </c>
      <c r="CO36" s="63"/>
      <c r="CP36" s="63"/>
      <c r="CQ36" s="13"/>
      <c r="CS36" s="292">
        <v>2009</v>
      </c>
      <c r="CT36" s="293" t="s">
        <v>162</v>
      </c>
      <c r="CU36" s="289">
        <v>1041220</v>
      </c>
      <c r="CV36" s="289">
        <v>430862.71799999999</v>
      </c>
      <c r="CW36" s="289">
        <v>1472082.7180000001</v>
      </c>
      <c r="CX36" s="289">
        <v>0</v>
      </c>
      <c r="CY36" s="290">
        <v>70768676.059</v>
      </c>
      <c r="CZ36" s="289">
        <v>191.28200000000001</v>
      </c>
      <c r="DA36" s="289">
        <v>14432505.004000001</v>
      </c>
      <c r="DB36" s="289">
        <v>86673455.062999994</v>
      </c>
      <c r="DC36" s="289">
        <v>126267</v>
      </c>
      <c r="DD36" s="289">
        <v>0</v>
      </c>
      <c r="DE36" s="289">
        <v>0</v>
      </c>
      <c r="DF36" s="289">
        <v>126267</v>
      </c>
      <c r="DG36" s="289">
        <v>86799722.062999994</v>
      </c>
      <c r="DI36" s="113"/>
      <c r="DJ36" s="114" t="s">
        <v>102</v>
      </c>
      <c r="DK36" s="164">
        <v>17329325</v>
      </c>
      <c r="DL36" s="146"/>
      <c r="DY36" s="213" t="s">
        <v>382</v>
      </c>
      <c r="EA36" s="177"/>
      <c r="EB36" s="228"/>
      <c r="EC36" s="228"/>
      <c r="ED36" s="228"/>
      <c r="EE36" s="228"/>
      <c r="EF36" s="228"/>
      <c r="EG36" s="229"/>
      <c r="EH36" s="230"/>
      <c r="EJ36" s="31">
        <v>1984</v>
      </c>
      <c r="EK36" s="32">
        <v>3131.5740000000001</v>
      </c>
      <c r="EL36" s="33">
        <v>2507.6619999999998</v>
      </c>
      <c r="EM36" s="120" t="s">
        <v>155</v>
      </c>
      <c r="EN36" s="34">
        <f>IVA!EO14/IVA!EK52/1000</f>
        <v>0.61036733951161004</v>
      </c>
      <c r="EO36" s="34">
        <f>IVA!EO14/IVA!EL51/1000</f>
        <v>0.72503929771668829</v>
      </c>
      <c r="ET36" s="179">
        <v>1995</v>
      </c>
      <c r="EU36" s="120" t="s">
        <v>383</v>
      </c>
      <c r="EV36" s="120" t="s">
        <v>384</v>
      </c>
      <c r="EW36" s="120" t="s">
        <v>385</v>
      </c>
      <c r="EX36" s="120" t="s">
        <v>386</v>
      </c>
    </row>
    <row r="37" spans="27:154" ht="12.75" customHeight="1">
      <c r="AA37" s="121">
        <v>2007</v>
      </c>
      <c r="AB37" s="121" t="s">
        <v>312</v>
      </c>
      <c r="AC37" s="122"/>
      <c r="AD37" s="123"/>
      <c r="AE37" s="190">
        <f>IVA!AE20*0.9373*0.11</f>
        <v>476664.38890141074</v>
      </c>
      <c r="AF37" s="190">
        <f>IVA!AF20*0.9373*0.11</f>
        <v>440176.09306754085</v>
      </c>
      <c r="AG37" s="190">
        <f>IVA!AG20*0.9373*0.11</f>
        <v>464430.01569310349</v>
      </c>
      <c r="AH37" s="190">
        <f>IVA!AH20*0.9373*0.11</f>
        <v>450439.69904577645</v>
      </c>
      <c r="AI37" s="190">
        <f>IVA!AI20*0.9373*0.11</f>
        <v>520879.65928196203</v>
      </c>
      <c r="AJ37" s="190">
        <f>IVA!AJ20*0.9373*0.11</f>
        <v>521287.14402155392</v>
      </c>
      <c r="AK37" s="190">
        <f>IVA!AK20*0.9373*0.11</f>
        <v>580015.0165430021</v>
      </c>
      <c r="AL37" s="190">
        <f>IVA!AL20*0.9373*0.11</f>
        <v>617043.68422241544</v>
      </c>
      <c r="AM37" s="190">
        <f>IVA!AM20*0.9373*0.11</f>
        <v>528279.92531998688</v>
      </c>
      <c r="AN37" s="190">
        <f>IVA!AN20*0.9373*0.11</f>
        <v>597349.63139187335</v>
      </c>
      <c r="AO37" s="190">
        <f>IVA!AO20*0.9373*0.11</f>
        <v>605654.87525070528</v>
      </c>
      <c r="AP37" s="190">
        <f>IVA!AP20*0.9373*0.11</f>
        <v>659174.52109215711</v>
      </c>
      <c r="AQ37" s="126">
        <f>IVA!AE37+IVA!AF37+IVA!AG37</f>
        <v>1381270.4976620551</v>
      </c>
      <c r="AR37" s="126">
        <f>IVA!AH37+IVA!AI37+IVA!AJ37</f>
        <v>1492606.5023492924</v>
      </c>
      <c r="AS37" s="126">
        <f>IVA!AK37+IVA!AL37+IVA!AM37</f>
        <v>1725338.6260854043</v>
      </c>
      <c r="AT37" s="126">
        <f>IVA!AN37+IVA!AO37+IVA!AP37</f>
        <v>1862179.0277347357</v>
      </c>
      <c r="AU37" s="127">
        <f>IVA!AQ37+IVA!AR37+IVA!AS37+IVA!AT37</f>
        <v>6461394.6538314875</v>
      </c>
      <c r="AV37" s="128">
        <f>IVA!AQ37/IVA!CJ16</f>
        <v>2.0279400071383236E-3</v>
      </c>
      <c r="AW37" s="128">
        <f>IVA!AR37/IVA!CK16</f>
        <v>1.7872845612623611E-3</v>
      </c>
      <c r="AX37" s="128">
        <f>IVA!AS37/IVA!CL16</f>
        <v>2.0850945916438611E-3</v>
      </c>
      <c r="AY37" s="128">
        <f>IVA!AT37/IVA!CM16</f>
        <v>2.0551245535174495E-3</v>
      </c>
      <c r="AZ37" s="269">
        <f>IVA!AU37/IVA!CN16</f>
        <v>7.9529180898717401E-3</v>
      </c>
      <c r="BA37" s="264">
        <v>2007</v>
      </c>
      <c r="BB37" s="265" t="s">
        <v>313</v>
      </c>
      <c r="BC37" s="266"/>
      <c r="BD37" s="266"/>
      <c r="BE37" s="266"/>
      <c r="BF37" s="267">
        <f>0.64*IVA!AE71</f>
        <v>1889765.4573802666</v>
      </c>
      <c r="BG37" s="267">
        <f>0.64*IVA!AF71</f>
        <v>1687329.8800362665</v>
      </c>
      <c r="BH37" s="267">
        <f>0.64*IVA!AG71</f>
        <v>1595118.4276714665</v>
      </c>
      <c r="BI37" s="267">
        <f>0.64*IVA!AH71</f>
        <v>1333471.0414954666</v>
      </c>
      <c r="BJ37" s="267">
        <f>0.64*IVA!AI71</f>
        <v>3375327.7410858669</v>
      </c>
      <c r="BK37" s="267">
        <f>0.64*IVA!AJ71</f>
        <v>3458821.4417450665</v>
      </c>
      <c r="BL37" s="267">
        <f>0.64*IVA!AK71</f>
        <v>2142023.4443562664</v>
      </c>
      <c r="BM37" s="267">
        <f>0.64*IVA!AL71</f>
        <v>2412998.9505322664</v>
      </c>
      <c r="BN37" s="267">
        <f>0.64*IVA!AM71</f>
        <v>2239205.6160234665</v>
      </c>
      <c r="BO37" s="267">
        <f>0.64*IVA!AN71</f>
        <v>2105272.6906090667</v>
      </c>
      <c r="BP37" s="267">
        <f>0.64*IVA!AO71</f>
        <v>2342194.3745642668</v>
      </c>
      <c r="BQ37" s="268">
        <f>0.64*IVA!AP71</f>
        <v>2474410.4076778665</v>
      </c>
      <c r="BR37" s="173">
        <f>0.64*IVA!AQ71</f>
        <v>5172213.7650879994</v>
      </c>
      <c r="BS37" s="173">
        <f>0.64*IVA!AR71</f>
        <v>4615919.3492032001</v>
      </c>
      <c r="BT37" s="173">
        <f>0.64*IVA!AS71</f>
        <v>6303917.2102528</v>
      </c>
      <c r="BU37" s="174">
        <f>0.64*IVA!AT71</f>
        <v>8167620.224326401</v>
      </c>
      <c r="BV37" s="135">
        <f>0.64*IVA!AU71</f>
        <v>24259670.548870403</v>
      </c>
      <c r="BW37" s="136">
        <f>IVA!BR37/IVA!CJ16</f>
        <v>7.5936894601362449E-3</v>
      </c>
      <c r="BX37" s="137">
        <f>IVA!BS37/IVA!CK16</f>
        <v>5.5272179076521731E-3</v>
      </c>
      <c r="BY37" s="136">
        <f>IVA!BT37/IVA!CL16</f>
        <v>7.618367480180745E-3</v>
      </c>
      <c r="BZ37" s="136">
        <f>IVA!BU37/IVA!CM16</f>
        <v>9.0138899734241613E-3</v>
      </c>
      <c r="CA37" s="271">
        <f>IVA!BV37/IVA!CN16</f>
        <v>2.9859679387952739E-2</v>
      </c>
      <c r="CH37" s="13"/>
      <c r="CI37" s="53">
        <v>2003</v>
      </c>
      <c r="CJ37" s="284">
        <f>IVA!AV33+IVA!AV84+IVA!AV101+IVA!AV118+IVA!AV152+IVA!AV169+IVA!AV218+IVA!AV252</f>
        <v>1.450583773149113E-2</v>
      </c>
      <c r="CK37" s="284">
        <f>IVA!AW33+IVA!AW84+IVA!AW101+IVA!AW118+IVA!AW152+IVA!AW169+IVA!AW218+IVA!AW252</f>
        <v>1.2882345568633097E-2</v>
      </c>
      <c r="CL37" s="284">
        <f>IVA!AX33+IVA!AX84+IVA!AX101+IVA!AX118+IVA!AX152+IVA!AX169+IVA!AX218+IVA!AX252</f>
        <v>1.4800997417620816E-2</v>
      </c>
      <c r="CM37" s="285">
        <f>IVA!AY33+IVA!AY84+IVA!AY101+IVA!AY118+IVA!AY152+IVA!AY169+IVA!AY218+IVA!AY252</f>
        <v>1.4184005729447082E-2</v>
      </c>
      <c r="CN37" s="286">
        <f>IVA!AZ33+IVA!AZ84+IVA!AZ101+IVA!AZ118+IVA!AZ152+IVA!AZ169+IVA!AZ218+IVA!AZ252</f>
        <v>5.6254510755658238E-2</v>
      </c>
      <c r="CO37" s="63"/>
      <c r="CP37" s="63"/>
      <c r="CQ37" s="13"/>
      <c r="CS37" s="292">
        <v>2008</v>
      </c>
      <c r="CT37" s="293" t="s">
        <v>162</v>
      </c>
      <c r="CU37" s="289">
        <v>575990.424</v>
      </c>
      <c r="CV37" s="289">
        <v>342038.973</v>
      </c>
      <c r="CW37" s="289">
        <v>918029.397</v>
      </c>
      <c r="CX37" s="289">
        <v>0</v>
      </c>
      <c r="CY37" s="290">
        <v>49945826.380999997</v>
      </c>
      <c r="CZ37" s="289">
        <v>120.027</v>
      </c>
      <c r="DA37" s="289">
        <v>9565998</v>
      </c>
      <c r="DB37" s="289">
        <v>60429973.805</v>
      </c>
      <c r="DC37" s="289">
        <v>79018</v>
      </c>
      <c r="DD37" s="289">
        <v>0</v>
      </c>
      <c r="DE37" s="289">
        <v>0</v>
      </c>
      <c r="DF37" s="289">
        <v>79018</v>
      </c>
      <c r="DG37" s="289">
        <v>60508991.805</v>
      </c>
      <c r="DI37" s="97">
        <v>1997</v>
      </c>
      <c r="DJ37" s="97" t="s">
        <v>84</v>
      </c>
      <c r="DK37" s="145">
        <v>15369816</v>
      </c>
      <c r="DL37" s="146"/>
      <c r="DY37" s="213" t="s">
        <v>387</v>
      </c>
      <c r="EA37" s="193"/>
      <c r="EB37" s="228"/>
      <c r="EC37" s="228"/>
      <c r="ED37" s="228"/>
      <c r="EE37" s="228"/>
      <c r="EF37" s="228"/>
      <c r="EG37" s="229"/>
      <c r="EH37" s="230"/>
      <c r="EJ37" s="31">
        <v>1985</v>
      </c>
      <c r="EK37" s="32">
        <v>3208.4259999999999</v>
      </c>
      <c r="EL37" s="33">
        <v>2569.3090000000002</v>
      </c>
      <c r="EM37" s="120" t="s">
        <v>164</v>
      </c>
      <c r="EN37" s="34">
        <f>IVA!EO15/IVA!EK53/1000</f>
        <v>0.58871423141872326</v>
      </c>
      <c r="EO37" s="34">
        <f>IVA!EO15/IVA!EL52/1000</f>
        <v>0.70216382310734571</v>
      </c>
      <c r="ET37" s="179">
        <v>1996</v>
      </c>
      <c r="EU37" s="120" t="s">
        <v>388</v>
      </c>
      <c r="EV37" s="120" t="s">
        <v>389</v>
      </c>
      <c r="EW37" s="120" t="s">
        <v>385</v>
      </c>
      <c r="EX37" s="120" t="s">
        <v>390</v>
      </c>
    </row>
    <row r="38" spans="27:154" ht="12.75" customHeight="1">
      <c r="AA38" s="121">
        <v>2008</v>
      </c>
      <c r="AB38" s="121" t="s">
        <v>312</v>
      </c>
      <c r="AC38" s="122"/>
      <c r="AD38" s="123"/>
      <c r="AE38" s="190">
        <f>IVA!AE21*0.9373*0.11</f>
        <v>693702.33271283936</v>
      </c>
      <c r="AF38" s="190">
        <f>IVA!AF21*0.9373*0.11</f>
        <v>609978.55513131549</v>
      </c>
      <c r="AG38" s="190">
        <f>IVA!AG21*0.9373*0.11</f>
        <v>593439.80555003148</v>
      </c>
      <c r="AH38" s="190">
        <f>IVA!AH21*0.9373*0.11</f>
        <v>678550.63704508077</v>
      </c>
      <c r="AI38" s="190">
        <f>IVA!AI21*0.9373*0.11</f>
        <v>691957.29781763582</v>
      </c>
      <c r="AJ38" s="190">
        <f>IVA!AJ21*0.9373*0.11</f>
        <v>683527.64646010846</v>
      </c>
      <c r="AK38" s="190">
        <f>IVA!AK21*0.9373*0.11</f>
        <v>705927.189729732</v>
      </c>
      <c r="AL38" s="190">
        <f>IVA!AL21*0.9373*0.11</f>
        <v>732801.03699193394</v>
      </c>
      <c r="AM38" s="190">
        <f>IVA!AM21*0.9373*0.11</f>
        <v>752233.61834208586</v>
      </c>
      <c r="AN38" s="190">
        <f>IVA!AN21*0.9373*0.11</f>
        <v>743309.39500310493</v>
      </c>
      <c r="AO38" s="190">
        <f>IVA!AO21*0.9373*0.11</f>
        <v>700514.28586823691</v>
      </c>
      <c r="AP38" s="190">
        <f>IVA!AP21*0.9373*0.11</f>
        <v>685898.97298064153</v>
      </c>
      <c r="AQ38" s="126">
        <f>IVA!AE38+IVA!AF38+IVA!AG38</f>
        <v>1897120.6933941864</v>
      </c>
      <c r="AR38" s="126">
        <f>IVA!AH38+IVA!AI38+IVA!AJ38</f>
        <v>2054035.581322825</v>
      </c>
      <c r="AS38" s="126">
        <f>IVA!AK38+IVA!AL38+IVA!AM38</f>
        <v>2190961.8450637516</v>
      </c>
      <c r="AT38" s="126">
        <f>IVA!AN38+IVA!AO38+IVA!AP38</f>
        <v>2129722.6538519831</v>
      </c>
      <c r="AU38" s="127">
        <f>IVA!AQ38+IVA!AR38+IVA!AS38+IVA!AT38</f>
        <v>8271840.7736327462</v>
      </c>
      <c r="AV38" s="128">
        <f>IVA!AQ38/IVA!CJ17</f>
        <v>2.1372564120870513E-3</v>
      </c>
      <c r="AW38" s="128">
        <f>IVA!AR38/IVA!CK17</f>
        <v>1.8539183670072637E-3</v>
      </c>
      <c r="AX38" s="128">
        <f>IVA!AS38/IVA!CL17</f>
        <v>2.0717320232193858E-3</v>
      </c>
      <c r="AY38" s="128">
        <f>IVA!AT38/IVA!CM17</f>
        <v>1.9758138864028225E-3</v>
      </c>
      <c r="AZ38" s="269">
        <f>IVA!AU38/IVA!CN17</f>
        <v>8.0094666646327081E-3</v>
      </c>
      <c r="BA38" s="264">
        <v>2008</v>
      </c>
      <c r="BB38" s="265" t="s">
        <v>313</v>
      </c>
      <c r="BC38" s="266"/>
      <c r="BD38" s="266"/>
      <c r="BE38" s="266"/>
      <c r="BF38" s="267">
        <f>0.64*IVA!AE72</f>
        <v>2490907.5914922669</v>
      </c>
      <c r="BG38" s="267">
        <f>0.64*IVA!AF72</f>
        <v>2403283.4463082664</v>
      </c>
      <c r="BH38" s="267">
        <f>0.64*IVA!AG72</f>
        <v>1920436.2152298666</v>
      </c>
      <c r="BI38" s="267">
        <f>0.64*IVA!AH72</f>
        <v>1904590.4769514666</v>
      </c>
      <c r="BJ38" s="267">
        <f>0.64*IVA!AI72</f>
        <v>3345538.3958890671</v>
      </c>
      <c r="BK38" s="267">
        <f>0.64*IVA!AJ72</f>
        <v>4238868.4886634666</v>
      </c>
      <c r="BL38" s="267">
        <f>0.64*IVA!AK72</f>
        <v>3059578.6189162671</v>
      </c>
      <c r="BM38" s="267">
        <f>0.64*IVA!AL72</f>
        <v>3151231.7906090673</v>
      </c>
      <c r="BN38" s="267">
        <f>0.64*IVA!AM72</f>
        <v>2783589.9310186668</v>
      </c>
      <c r="BO38" s="267">
        <f>0.64*IVA!AN72</f>
        <v>2965846.6677226671</v>
      </c>
      <c r="BP38" s="267">
        <f>0.64*IVA!AO72</f>
        <v>2642654.1406186665</v>
      </c>
      <c r="BQ38" s="268">
        <f>0.64*IVA!AP72</f>
        <v>3055714.5061546671</v>
      </c>
      <c r="BR38" s="173">
        <f>0.64*IVA!AQ72</f>
        <v>6814627.2530304007</v>
      </c>
      <c r="BS38" s="173">
        <f>0.64*IVA!AR72</f>
        <v>6228310.1384895993</v>
      </c>
      <c r="BT38" s="173">
        <f>0.64*IVA!AS72</f>
        <v>7170565.0880704001</v>
      </c>
      <c r="BU38" s="174">
        <f>0.64*IVA!AT72</f>
        <v>9488997.3615039997</v>
      </c>
      <c r="BV38" s="135">
        <f>0.64*IVA!AU72</f>
        <v>29702499.841094401</v>
      </c>
      <c r="BW38" s="136">
        <f>IVA!BR38/IVA!CJ17</f>
        <v>7.677216237868603E-3</v>
      </c>
      <c r="BX38" s="137">
        <f>IVA!BS38/IVA!CK17</f>
        <v>5.621508539655944E-3</v>
      </c>
      <c r="BY38" s="136">
        <f>IVA!BT38/IVA!CL17</f>
        <v>6.7803505346311155E-3</v>
      </c>
      <c r="BZ38" s="136">
        <f>IVA!BU38/IVA!CM17</f>
        <v>8.8032555417435956E-3</v>
      </c>
      <c r="CA38" s="271">
        <f>IVA!BV38/IVA!CN17</f>
        <v>2.8760367715471E-2</v>
      </c>
      <c r="CH38" s="13"/>
      <c r="CI38" s="53">
        <v>2004</v>
      </c>
      <c r="CJ38" s="284">
        <f>IVA!AV34+IVA!AV85+IVA!AV102+IVA!AV119+IVA!AV153+IVA!AV170+IVA!AV219+IVA!AV253</f>
        <v>1.6097832671088701E-2</v>
      </c>
      <c r="CK38" s="284">
        <f>IVA!AW34+IVA!AW85+IVA!AW102+IVA!AW119+IVA!AW153+IVA!AW170+IVA!AW219+IVA!AW253</f>
        <v>1.575949289609398E-2</v>
      </c>
      <c r="CL38" s="284">
        <f>IVA!AX34+IVA!AX85+IVA!AX102+IVA!AX119+IVA!AX153+IVA!AX170+IVA!AX219+IVA!AX253</f>
        <v>1.6367280378510991E-2</v>
      </c>
      <c r="CM38" s="285">
        <f>IVA!AY34+IVA!AY85+IVA!AY102+IVA!AY119+IVA!AY153+IVA!AY170+IVA!AY219+IVA!AY253</f>
        <v>1.4887348765569696E-2</v>
      </c>
      <c r="CN38" s="286">
        <f>IVA!AZ34+IVA!AZ85+IVA!AZ102+IVA!AZ119+IVA!AZ153+IVA!AZ170+IVA!AZ219+IVA!AZ253</f>
        <v>6.3030114997006351E-2</v>
      </c>
      <c r="CO38" s="63"/>
      <c r="CP38" s="63"/>
      <c r="CQ38" s="13"/>
      <c r="CS38" s="292">
        <v>2007</v>
      </c>
      <c r="CT38" s="293" t="s">
        <v>162</v>
      </c>
      <c r="CU38" s="289">
        <v>398811</v>
      </c>
      <c r="CV38" s="289">
        <v>282156.79300000001</v>
      </c>
      <c r="CW38" s="289">
        <v>680967.79299999995</v>
      </c>
      <c r="CX38" s="289">
        <v>0</v>
      </c>
      <c r="CY38" s="290">
        <v>34297457.998000003</v>
      </c>
      <c r="CZ38" s="289">
        <v>168.209</v>
      </c>
      <c r="DA38" s="289">
        <v>6903701</v>
      </c>
      <c r="DB38" s="289">
        <v>41882295</v>
      </c>
      <c r="DC38" s="289">
        <v>26240.7</v>
      </c>
      <c r="DD38" s="289">
        <v>0</v>
      </c>
      <c r="DE38" s="289">
        <v>0</v>
      </c>
      <c r="DF38" s="289">
        <v>26240.7</v>
      </c>
      <c r="DG38" s="289">
        <v>41908535.700000003</v>
      </c>
      <c r="DI38" s="113"/>
      <c r="DJ38" s="114" t="s">
        <v>102</v>
      </c>
      <c r="DK38" s="164">
        <v>15329906</v>
      </c>
      <c r="DL38" s="146"/>
      <c r="DY38" s="220" t="s">
        <v>391</v>
      </c>
      <c r="DZ38" s="221"/>
      <c r="EA38" s="204"/>
      <c r="EB38" s="234">
        <v>20377815528</v>
      </c>
      <c r="EC38" s="234">
        <v>-219726570</v>
      </c>
      <c r="ED38" s="234">
        <v>20158088958</v>
      </c>
      <c r="EE38" s="234">
        <v>18900171343.130001</v>
      </c>
      <c r="EF38" s="234">
        <v>18838058106.41</v>
      </c>
      <c r="EG38" s="235">
        <v>17244664206.98</v>
      </c>
      <c r="EH38" s="236">
        <v>1320030851.5899999</v>
      </c>
      <c r="EJ38" s="31">
        <v>1986</v>
      </c>
      <c r="EK38" s="32">
        <v>3297.8870000000002</v>
      </c>
      <c r="EL38" s="33">
        <v>2644.8150000000001</v>
      </c>
      <c r="EM38" s="120" t="s">
        <v>173</v>
      </c>
      <c r="EN38" s="34">
        <f>IVA!EO16/IVA!EK54/1000</f>
        <v>0.57175924085267382</v>
      </c>
      <c r="EO38" s="34">
        <f>IVA!EO16/IVA!EL53/1000</f>
        <v>0.67917415747267218</v>
      </c>
      <c r="ET38" s="179">
        <v>1997</v>
      </c>
      <c r="EU38" s="120" t="s">
        <v>392</v>
      </c>
      <c r="EV38" s="120" t="s">
        <v>393</v>
      </c>
      <c r="EW38" s="120" t="s">
        <v>385</v>
      </c>
      <c r="EX38" s="120" t="s">
        <v>386</v>
      </c>
    </row>
    <row r="39" spans="27:154" ht="12.75" customHeight="1">
      <c r="AA39" s="121">
        <v>2009</v>
      </c>
      <c r="AB39" s="121" t="s">
        <v>312</v>
      </c>
      <c r="AC39" s="122"/>
      <c r="AD39" s="123"/>
      <c r="AE39" s="190">
        <f>IVA!AE22*0.9373*0.11</f>
        <v>691429.23549700005</v>
      </c>
      <c r="AF39" s="190">
        <f>IVA!AF22*0.9373*0.11</f>
        <v>695441.38563899999</v>
      </c>
      <c r="AG39" s="190">
        <f>IVA!AG22*0.9373*0.11</f>
        <v>690075.90551900002</v>
      </c>
      <c r="AH39" s="190">
        <f>IVA!AH22*0.9373*0.11</f>
        <v>715341.3987720001</v>
      </c>
      <c r="AI39" s="190">
        <f>IVA!AI22*0.9373*0.11</f>
        <v>693986.60230899998</v>
      </c>
      <c r="AJ39" s="190">
        <f>IVA!AJ22*0.9373*0.11</f>
        <v>747200.63818400004</v>
      </c>
      <c r="AK39" s="190">
        <f>IVA!AK22*0.9373*0.11</f>
        <v>804182.16078199993</v>
      </c>
      <c r="AL39" s="190">
        <f>IVA!AL22*0.9373*0.11</f>
        <v>775040.61334699998</v>
      </c>
      <c r="AM39" s="190">
        <f>IVA!AM22*0.9373*0.11</f>
        <v>816837.229208</v>
      </c>
      <c r="AN39" s="190">
        <f>IVA!AN22*0.9373*0.11</f>
        <v>792199.94253400003</v>
      </c>
      <c r="AO39" s="190">
        <f>IVA!AO22*0.9373*0.11</f>
        <v>765449.14746300003</v>
      </c>
      <c r="AP39" s="190">
        <f>IVA!AP22*0.9373*0.11</f>
        <v>822546.97024500009</v>
      </c>
      <c r="AQ39" s="126">
        <f>IVA!AE39+IVA!AF39+IVA!AG39</f>
        <v>2076946.5266549999</v>
      </c>
      <c r="AR39" s="126">
        <f>IVA!AH39+IVA!AI39+IVA!AJ39</f>
        <v>2156528.6392649999</v>
      </c>
      <c r="AS39" s="126">
        <f>IVA!AK39+IVA!AL39+IVA!AM39</f>
        <v>2396060.003337</v>
      </c>
      <c r="AT39" s="126">
        <f>IVA!AN39+IVA!AO39+IVA!AP39</f>
        <v>2380196.060242</v>
      </c>
      <c r="AU39" s="127">
        <f>IVA!AQ39+IVA!AR39+IVA!AS39+IVA!AT39</f>
        <v>9009731.2294990011</v>
      </c>
      <c r="AV39" s="128">
        <f>IVA!AQ39/IVA!CJ18</f>
        <v>2.0916676838136808E-3</v>
      </c>
      <c r="AW39" s="128">
        <f>IVA!AR39/IVA!CK18</f>
        <v>1.8040642139976028E-3</v>
      </c>
      <c r="AX39" s="128">
        <f>IVA!AS39/IVA!CL18</f>
        <v>2.0500260465242861E-3</v>
      </c>
      <c r="AY39" s="128">
        <f>IVA!AT39/IVA!CM18</f>
        <v>1.9434871976922563E-3</v>
      </c>
      <c r="AZ39" s="269">
        <f>IVA!AU39/IVA!CN18</f>
        <v>7.8656123435092082E-3</v>
      </c>
      <c r="BA39" s="264">
        <v>2009</v>
      </c>
      <c r="BB39" s="265" t="s">
        <v>313</v>
      </c>
      <c r="BC39" s="266"/>
      <c r="BD39" s="266"/>
      <c r="BE39" s="266"/>
      <c r="BF39" s="267">
        <f>0.64*IVA!AE73</f>
        <v>2497124.9066666667</v>
      </c>
      <c r="BG39" s="267">
        <f>0.64*IVA!AF73</f>
        <v>2371979.9466666668</v>
      </c>
      <c r="BH39" s="267">
        <f>0.64*IVA!AG73</f>
        <v>2128826.0266666664</v>
      </c>
      <c r="BI39" s="267">
        <f>0.64*IVA!AH73</f>
        <v>1961569.7066666665</v>
      </c>
      <c r="BJ39" s="267">
        <f>0.64*IVA!AI73</f>
        <v>4140740.2666666671</v>
      </c>
      <c r="BK39" s="267">
        <f>0.64*IVA!AJ73</f>
        <v>3984994.3466666671</v>
      </c>
      <c r="BL39" s="267">
        <f>0.64*IVA!AK73</f>
        <v>2800678.186666667</v>
      </c>
      <c r="BM39" s="267">
        <f>0.64*IVA!AL73</f>
        <v>2955492.2666666671</v>
      </c>
      <c r="BN39" s="267">
        <f>0.64*IVA!AM73</f>
        <v>2698575.7866666671</v>
      </c>
      <c r="BO39" s="267">
        <f>0.64*IVA!AN73</f>
        <v>3106424.7466666671</v>
      </c>
      <c r="BP39" s="267">
        <f>0.64*IVA!AO73</f>
        <v>3157324.5866666669</v>
      </c>
      <c r="BQ39" s="268">
        <f>0.64*IVA!AP73</f>
        <v>3378513.0666666669</v>
      </c>
      <c r="BR39" s="173">
        <f>0.64*IVA!AQ73</f>
        <v>6997930.8799999999</v>
      </c>
      <c r="BS39" s="173">
        <f>0.64*IVA!AR73</f>
        <v>6462375.6799999997</v>
      </c>
      <c r="BT39" s="173">
        <f>0.64*IVA!AS73</f>
        <v>8231136</v>
      </c>
      <c r="BU39" s="174">
        <f>0.64*IVA!AT73</f>
        <v>10087304.32</v>
      </c>
      <c r="BV39" s="135">
        <f>0.64*IVA!AU73</f>
        <v>31778746.879999999</v>
      </c>
      <c r="BW39" s="136">
        <f>IVA!BR39/IVA!CJ18</f>
        <v>7.0475314060356791E-3</v>
      </c>
      <c r="BX39" s="137">
        <f>IVA!BS39/IVA!CK18</f>
        <v>5.4061608500919102E-3</v>
      </c>
      <c r="BY39" s="136">
        <f>IVA!BT39/IVA!CL18</f>
        <v>7.0424126144517235E-3</v>
      </c>
      <c r="BZ39" s="136">
        <f>IVA!BU39/IVA!CM18</f>
        <v>8.2365260293526203E-3</v>
      </c>
      <c r="CA39" s="271">
        <f>IVA!BV39/IVA!CN18</f>
        <v>2.7743258633751947E-2</v>
      </c>
      <c r="CH39" s="13"/>
      <c r="CI39" s="53">
        <v>2005</v>
      </c>
      <c r="CJ39" s="284">
        <f>IVA!AV35+IVA!AV86+IVA!AV103+IVA!AV120+IVA!AV154+IVA!AV171+IVA!AV220+IVA!AV254</f>
        <v>1.7220811079074506E-2</v>
      </c>
      <c r="CK39" s="284">
        <f>IVA!AW35+IVA!AW86+IVA!AW103+IVA!AW120+IVA!AW154+IVA!AW171+IVA!AW220+IVA!AW254</f>
        <v>1.5481233122104525E-2</v>
      </c>
      <c r="CL39" s="284">
        <f>IVA!AX35+IVA!AX86+IVA!AX103+IVA!AX120+IVA!AX154+IVA!AX171+IVA!AX220+IVA!AX254</f>
        <v>1.7031572941978435E-2</v>
      </c>
      <c r="CM39" s="285">
        <f>IVA!AY35+IVA!AY86+IVA!AY103+IVA!AY120+IVA!AY154+IVA!AY171+IVA!AY220+IVA!AY254</f>
        <v>1.6827438801521842E-2</v>
      </c>
      <c r="CN39" s="286">
        <f>IVA!AZ35+IVA!AZ86+IVA!AZ103+IVA!AZ120+IVA!AZ154+IVA!AZ171+IVA!AZ220+IVA!AZ254</f>
        <v>6.6458375751483778E-2</v>
      </c>
      <c r="CO39" s="63"/>
      <c r="CP39" s="63"/>
      <c r="CQ39" s="13"/>
      <c r="CS39" s="292">
        <v>2006</v>
      </c>
      <c r="CT39" s="293" t="s">
        <v>162</v>
      </c>
      <c r="CU39" s="289">
        <v>240163</v>
      </c>
      <c r="CV39" s="289">
        <v>252346.65400000001</v>
      </c>
      <c r="CW39" s="289">
        <v>492509.65399999998</v>
      </c>
      <c r="CX39" s="289">
        <v>13467.596</v>
      </c>
      <c r="CY39" s="290">
        <v>24390053</v>
      </c>
      <c r="CZ39" s="289">
        <v>75.866</v>
      </c>
      <c r="DA39" s="289">
        <v>6763770</v>
      </c>
      <c r="DB39" s="289">
        <v>31659876.116</v>
      </c>
      <c r="DC39" s="289">
        <v>24505</v>
      </c>
      <c r="DD39" s="289">
        <v>0</v>
      </c>
      <c r="DE39" s="289">
        <v>0</v>
      </c>
      <c r="DF39" s="289">
        <v>24505</v>
      </c>
      <c r="DG39" s="289">
        <v>31684381.116</v>
      </c>
      <c r="DI39" s="97">
        <v>1996</v>
      </c>
      <c r="DJ39" s="97" t="s">
        <v>84</v>
      </c>
      <c r="DK39" s="145">
        <v>15656543</v>
      </c>
      <c r="DL39" s="146"/>
      <c r="DY39" s="175" t="s">
        <v>163</v>
      </c>
      <c r="DZ39" s="45"/>
      <c r="EA39" s="208">
        <v>1999</v>
      </c>
      <c r="EB39" s="225">
        <v>20300635326</v>
      </c>
      <c r="EC39" s="225">
        <v>149082734</v>
      </c>
      <c r="ED39" s="225">
        <v>20449718060</v>
      </c>
      <c r="EE39" s="225">
        <v>19355781909.259998</v>
      </c>
      <c r="EF39" s="225">
        <v>19321587525.009998</v>
      </c>
      <c r="EG39" s="226">
        <v>17653949067.220001</v>
      </c>
      <c r="EH39" s="227">
        <f>IVA!EF39-IVA!EG39</f>
        <v>1667638457.7899971</v>
      </c>
      <c r="EJ39" s="31">
        <v>1987</v>
      </c>
      <c r="EK39" s="32">
        <v>3380.165</v>
      </c>
      <c r="EL39" s="33">
        <v>2713.902</v>
      </c>
      <c r="EM39" s="120" t="s">
        <v>182</v>
      </c>
      <c r="EN39" s="34">
        <f>IVA!EO17/IVA!EK55/1000</f>
        <v>0.55321914232405545</v>
      </c>
      <c r="EO39" s="34">
        <f>IVA!EO17/IVA!EL54/1000</f>
        <v>0.65530355566416354</v>
      </c>
      <c r="ET39" s="179">
        <v>1998</v>
      </c>
      <c r="EU39" s="120" t="s">
        <v>394</v>
      </c>
      <c r="EV39" s="120" t="s">
        <v>395</v>
      </c>
      <c r="EW39" s="120" t="s">
        <v>396</v>
      </c>
      <c r="EX39" s="120" t="s">
        <v>397</v>
      </c>
    </row>
    <row r="40" spans="27:154" ht="12.75" customHeight="1">
      <c r="AA40" s="121">
        <v>2010</v>
      </c>
      <c r="AB40" s="121" t="s">
        <v>312</v>
      </c>
      <c r="AC40" s="122"/>
      <c r="AD40" s="123"/>
      <c r="AE40" s="190">
        <f>IVA!AE23*0.9373*0.11</f>
        <v>851148.36106300005</v>
      </c>
      <c r="AF40" s="190">
        <f>IVA!AF23*0.9373*0.11</f>
        <v>849524.07640100003</v>
      </c>
      <c r="AG40" s="190">
        <f>IVA!AG23*0.9373*0.11</f>
        <v>884032.03188300005</v>
      </c>
      <c r="AH40" s="190">
        <f>IVA!AH23*0.9373*0.11</f>
        <v>910963.66961600003</v>
      </c>
      <c r="AI40" s="190">
        <f>IVA!AI23*0.9373*0.11</f>
        <v>923105.49130800006</v>
      </c>
      <c r="AJ40" s="190">
        <f>IVA!AJ23*0.9373*0.11</f>
        <v>1024639.160545</v>
      </c>
      <c r="AK40" s="190">
        <f>IVA!AK23*0.9373*0.11</f>
        <v>1047090.148104</v>
      </c>
      <c r="AL40" s="190">
        <f>IVA!AL23*0.9373*0.11</f>
        <v>1063175.659546</v>
      </c>
      <c r="AM40" s="190">
        <f>IVA!AM23*0.9373*0.11</f>
        <v>1105578.830356</v>
      </c>
      <c r="AN40" s="190">
        <f>IVA!AN23*0.9373*0.11</f>
        <v>1043726.4127290001</v>
      </c>
      <c r="AO40" s="190">
        <f>IVA!AO23*0.9373*0.11</f>
        <v>1096461.2258599999</v>
      </c>
      <c r="AP40" s="190">
        <f>IVA!AP23*0.9373*0.11</f>
        <v>1200299.3502500001</v>
      </c>
      <c r="AQ40" s="126">
        <f>IVA!AE40+IVA!AF40+IVA!AG40</f>
        <v>2584704.4693470001</v>
      </c>
      <c r="AR40" s="126">
        <f>IVA!AH40+IVA!AI40+IVA!AJ40</f>
        <v>2858708.3214690001</v>
      </c>
      <c r="AS40" s="126">
        <f>IVA!AK40+IVA!AL40+IVA!AM40</f>
        <v>3215844.6380059998</v>
      </c>
      <c r="AT40" s="126">
        <f>IVA!AN40+IVA!AO40+IVA!AP40</f>
        <v>3340486.988839</v>
      </c>
      <c r="AU40" s="127">
        <f>IVA!AQ40+IVA!AR40+IVA!AS40+IVA!AT40</f>
        <v>11999744.417661</v>
      </c>
      <c r="AV40" s="128">
        <f>IVA!AQ40/IVA!CJ19</f>
        <v>2.1231680709219219E-3</v>
      </c>
      <c r="AW40" s="128">
        <f>IVA!AR40/IVA!CK19</f>
        <v>1.8953361341153326E-3</v>
      </c>
      <c r="AX40" s="128">
        <f>IVA!AS40/IVA!CL19</f>
        <v>2.1938329342503218E-3</v>
      </c>
      <c r="AY40" s="128">
        <f>IVA!AT40/IVA!CM19</f>
        <v>2.1154394293564772E-3</v>
      </c>
      <c r="AZ40" s="269">
        <f>IVA!AU40/IVA!CN19</f>
        <v>8.3178176823695531E-3</v>
      </c>
      <c r="BA40" s="264">
        <v>2010</v>
      </c>
      <c r="BB40" s="265" t="s">
        <v>313</v>
      </c>
      <c r="BC40" s="266"/>
      <c r="BD40" s="266"/>
      <c r="BE40" s="266"/>
      <c r="BF40" s="267">
        <f>0.64*IVA!AE74</f>
        <v>3148180.9066666667</v>
      </c>
      <c r="BG40" s="267">
        <f>0.64*IVA!AF74</f>
        <v>2969691.3066666671</v>
      </c>
      <c r="BH40" s="267">
        <f>0.64*IVA!AG74</f>
        <v>2726735.7866666671</v>
      </c>
      <c r="BI40" s="267">
        <f>0.64*IVA!AH74</f>
        <v>2682868.2666666666</v>
      </c>
      <c r="BJ40" s="267">
        <f>0.64*IVA!AI74</f>
        <v>7312967.4666666668</v>
      </c>
      <c r="BK40" s="267">
        <f>0.64*IVA!AJ74</f>
        <v>5837855.1466666665</v>
      </c>
      <c r="BL40" s="267">
        <f>0.64*IVA!AK74</f>
        <v>3970502.186666667</v>
      </c>
      <c r="BM40" s="267">
        <f>0.64*IVA!AL74</f>
        <v>3825563.9466666668</v>
      </c>
      <c r="BN40" s="267">
        <f>0.64*IVA!AM74</f>
        <v>3644949.5466666669</v>
      </c>
      <c r="BO40" s="267">
        <f>0.64*IVA!AN74</f>
        <v>3914696.7466666671</v>
      </c>
      <c r="BP40" s="267">
        <f>0.64*IVA!AO74</f>
        <v>4060642.9866666668</v>
      </c>
      <c r="BQ40" s="268">
        <f>0.64*IVA!AP74</f>
        <v>4591187.6266666669</v>
      </c>
      <c r="BR40" s="173">
        <f>0.64*IVA!AQ74</f>
        <v>8844608</v>
      </c>
      <c r="BS40" s="173">
        <f>0.64*IVA!AR74</f>
        <v>8379295.3600000003</v>
      </c>
      <c r="BT40" s="173">
        <f>0.64*IVA!AS74</f>
        <v>12722571.52</v>
      </c>
      <c r="BU40" s="174">
        <f>0.64*IVA!AT74</f>
        <v>15833690.880000001</v>
      </c>
      <c r="BV40" s="135">
        <f>0.64*IVA!AU74</f>
        <v>45780165.759999998</v>
      </c>
      <c r="BW40" s="136">
        <f>IVA!BR40/IVA!CJ19</f>
        <v>7.2652752096508816E-3</v>
      </c>
      <c r="BX40" s="137">
        <f>IVA!BS40/IVA!CK19</f>
        <v>5.5555095127969899E-3</v>
      </c>
      <c r="BY40" s="136">
        <f>IVA!BT40/IVA!CL19</f>
        <v>8.6792738924843238E-3</v>
      </c>
      <c r="BZ40" s="136">
        <f>IVA!BU40/IVA!CM19</f>
        <v>1.0027045191825595E-2</v>
      </c>
      <c r="CA40" s="271">
        <f>IVA!BV40/IVA!CN19</f>
        <v>3.1733265226873995E-2</v>
      </c>
      <c r="CH40" s="13"/>
      <c r="CI40" s="53">
        <v>2006</v>
      </c>
      <c r="CJ40" s="284">
        <f>IVA!AV36+IVA!AV87+IVA!AV104+IVA!AV121+IVA!AV155+IVA!AV172+IVA!AV221+IVA!AV255</f>
        <v>1.8655863719894923E-2</v>
      </c>
      <c r="CK40" s="284">
        <f>IVA!AW36+IVA!AW87+IVA!AW104+IVA!AW121+IVA!AW155+IVA!AW172+IVA!AW221+IVA!AW255</f>
        <v>1.6517683681954217E-2</v>
      </c>
      <c r="CL40" s="284">
        <f>IVA!AX36+IVA!AX87+IVA!AX104+IVA!AX121+IVA!AX155+IVA!AX172+IVA!AX221+IVA!AX255</f>
        <v>1.8444218359794057E-2</v>
      </c>
      <c r="CM40" s="285">
        <f>IVA!AY36+IVA!AY87+IVA!AY104+IVA!AY121+IVA!AY155+IVA!AY172+IVA!AY221+IVA!AY255</f>
        <v>1.7992376225648463E-2</v>
      </c>
      <c r="CN40" s="286">
        <f>IVA!AZ36+IVA!AZ87+IVA!AZ104+IVA!AZ121+IVA!AZ155+IVA!AZ172+IVA!AZ221+IVA!AZ255</f>
        <v>7.147827299289386E-2</v>
      </c>
      <c r="CO40" s="63"/>
      <c r="CP40" s="63"/>
      <c r="CQ40" s="13"/>
      <c r="CS40" s="292">
        <v>2005</v>
      </c>
      <c r="CT40" s="293" t="s">
        <v>162</v>
      </c>
      <c r="CU40" s="289">
        <v>190521</v>
      </c>
      <c r="CV40" s="289">
        <v>221937.302</v>
      </c>
      <c r="CW40" s="289">
        <v>412458.30200000003</v>
      </c>
      <c r="CX40" s="289">
        <v>0</v>
      </c>
      <c r="CY40" s="290">
        <v>19684200</v>
      </c>
      <c r="CZ40" s="289">
        <v>85.697999999999993</v>
      </c>
      <c r="DA40" s="289">
        <v>5152438</v>
      </c>
      <c r="DB40" s="289">
        <v>25249182</v>
      </c>
      <c r="DC40" s="289">
        <v>18626</v>
      </c>
      <c r="DD40" s="289">
        <v>0</v>
      </c>
      <c r="DE40" s="289">
        <v>0</v>
      </c>
      <c r="DF40" s="289">
        <v>18626</v>
      </c>
      <c r="DG40" s="289">
        <v>25267808</v>
      </c>
      <c r="DI40" s="113"/>
      <c r="DJ40" s="114" t="s">
        <v>102</v>
      </c>
      <c r="DK40" s="164">
        <v>15425977</v>
      </c>
      <c r="DL40" s="146"/>
      <c r="DY40" s="213" t="s">
        <v>398</v>
      </c>
      <c r="EA40" s="177"/>
      <c r="EB40" s="228">
        <v>416320000</v>
      </c>
      <c r="EC40" s="228">
        <v>-67442250</v>
      </c>
      <c r="ED40" s="228">
        <v>348877750</v>
      </c>
      <c r="EE40" s="228">
        <v>335843865.85000002</v>
      </c>
      <c r="EF40" s="228">
        <v>332510200.11000001</v>
      </c>
      <c r="EG40" s="229">
        <v>325955958.50999999</v>
      </c>
      <c r="EH40" s="230">
        <f>IVA!EF40-IVA!EG40</f>
        <v>6554241.6000000238</v>
      </c>
      <c r="EJ40" s="31">
        <v>1988</v>
      </c>
      <c r="EK40" s="32">
        <v>3457.915</v>
      </c>
      <c r="EL40" s="33">
        <v>2779.4929999999999</v>
      </c>
      <c r="EM40" s="120" t="s">
        <v>192</v>
      </c>
      <c r="EN40" s="34">
        <f>IVA!EO18/IVA!EK56/1000</f>
        <v>0.53566961578223338</v>
      </c>
      <c r="EO40" s="34">
        <f>IVA!EO18/IVA!EL55/1000</f>
        <v>0.63347329834316068</v>
      </c>
      <c r="ET40" s="179">
        <v>1999</v>
      </c>
      <c r="EU40" s="120" t="s">
        <v>399</v>
      </c>
      <c r="EV40" s="120" t="s">
        <v>400</v>
      </c>
      <c r="EW40" s="120" t="s">
        <v>401</v>
      </c>
      <c r="EX40" s="120" t="s">
        <v>402</v>
      </c>
    </row>
    <row r="41" spans="27:154" ht="12.75" customHeight="1">
      <c r="AA41" s="121">
        <v>2011</v>
      </c>
      <c r="AB41" s="121" t="s">
        <v>312</v>
      </c>
      <c r="AC41" s="122"/>
      <c r="AD41" s="123"/>
      <c r="AE41" s="190">
        <f>IVA!AE24*0.9373*0.11</f>
        <v>1220457.1208830001</v>
      </c>
      <c r="AF41" s="190">
        <f>IVA!AF24*0.9373*0.11</f>
        <v>1102026.6226970002</v>
      </c>
      <c r="AG41" s="190">
        <f>IVA!AG24*0.9373*0.11</f>
        <v>1210244.356321</v>
      </c>
      <c r="AH41" s="190">
        <f>IVA!AH24*0.9373*0.11</f>
        <v>1193736.019476</v>
      </c>
      <c r="AI41" s="190">
        <f>IVA!AI24*0.9373*0.11</f>
        <v>1344699.1227670002</v>
      </c>
      <c r="AJ41" s="190">
        <f>IVA!AJ24*0.9373*0.11</f>
        <v>1265252.796808</v>
      </c>
      <c r="AK41" s="190">
        <f>IVA!AK24*0.9373*0.11</f>
        <v>1362419.3322740002</v>
      </c>
      <c r="AL41" s="190">
        <f>IVA!AL24*0.9373*0.11</f>
        <v>1398624.6724450001</v>
      </c>
      <c r="AM41" s="190">
        <f>IVA!AM24*0.9373*0.11</f>
        <v>1476696.0167960001</v>
      </c>
      <c r="AN41" s="190">
        <f>IVA!AN24*0.9373*0.11</f>
        <v>1346164.938118</v>
      </c>
      <c r="AO41" s="190">
        <f>IVA!AO24*0.9373*0.11</f>
        <v>1555617.342279</v>
      </c>
      <c r="AP41" s="190">
        <f>IVA!AP24*0.9373*0.11</f>
        <v>1426345.4605400001</v>
      </c>
      <c r="AQ41" s="126">
        <f>IVA!AE41+IVA!AF41+IVA!AG41</f>
        <v>3532728.0999010005</v>
      </c>
      <c r="AR41" s="126">
        <f>IVA!AH41+IVA!AI41+IVA!AJ41</f>
        <v>3803687.9390510004</v>
      </c>
      <c r="AS41" s="126">
        <f>IVA!AK41+IVA!AL41+IVA!AM41</f>
        <v>4237740.0215150006</v>
      </c>
      <c r="AT41" s="126">
        <f>IVA!AN41+IVA!AO41+IVA!AP41</f>
        <v>4328127.7409370001</v>
      </c>
      <c r="AU41" s="127">
        <f>IVA!AQ41+IVA!AR41+IVA!AS41+IVA!AT41</f>
        <v>15902283.801404001</v>
      </c>
      <c r="AV41" s="128">
        <f>IVA!AQ41/IVA!CJ20</f>
        <v>2.2536190177860145E-3</v>
      </c>
      <c r="AW41" s="128">
        <f>IVA!AR41/IVA!CK20</f>
        <v>1.924721852813855E-3</v>
      </c>
      <c r="AX41" s="128">
        <f>IVA!AS41/IVA!CL20</f>
        <v>2.2717705005304112E-3</v>
      </c>
      <c r="AY41" s="128">
        <f>IVA!AT41/IVA!CM20</f>
        <v>2.2094795851330005E-3</v>
      </c>
      <c r="AZ41" s="269">
        <f>IVA!AU41/IVA!CN20</f>
        <v>8.6330579321038381E-3</v>
      </c>
      <c r="BA41" s="264">
        <v>2011</v>
      </c>
      <c r="BB41" s="265" t="s">
        <v>313</v>
      </c>
      <c r="BC41" s="266"/>
      <c r="BD41" s="266"/>
      <c r="BE41" s="266"/>
      <c r="BF41" s="267">
        <f>0.64*IVA!AE75</f>
        <v>4519978.666666667</v>
      </c>
      <c r="BG41" s="267">
        <f>0.64*IVA!AF75</f>
        <v>4364399.7866666671</v>
      </c>
      <c r="BH41" s="267">
        <f>0.64*IVA!AG75</f>
        <v>3790372.9066666667</v>
      </c>
      <c r="BI41" s="267">
        <f>0.64*IVA!AH75</f>
        <v>4254003.6266666669</v>
      </c>
      <c r="BJ41" s="267">
        <f>0.64*IVA!AI75</f>
        <v>8954889.3866666667</v>
      </c>
      <c r="BK41" s="267">
        <f>0.64*IVA!AJ75</f>
        <v>8518384.4266666658</v>
      </c>
      <c r="BL41" s="267">
        <f>0.64*IVA!AK75</f>
        <v>5519614.5066666668</v>
      </c>
      <c r="BM41" s="267">
        <f>0.64*IVA!AL75</f>
        <v>5792137.3866666667</v>
      </c>
      <c r="BN41" s="267">
        <f>0.64*IVA!AM75</f>
        <v>5513044.9066666663</v>
      </c>
      <c r="BO41" s="267">
        <f>0.64*IVA!AN75</f>
        <v>5679614.5066666668</v>
      </c>
      <c r="BP41" s="267">
        <f>0.64*IVA!AO75</f>
        <v>5853808.4266666668</v>
      </c>
      <c r="BQ41" s="268">
        <f>0.64*IVA!AP75</f>
        <v>6371194.0266666664</v>
      </c>
      <c r="BR41" s="173">
        <f>0.64*IVA!AQ75</f>
        <v>12674751.359999999</v>
      </c>
      <c r="BS41" s="173">
        <f>0.64*IVA!AR75</f>
        <v>12408776.32</v>
      </c>
      <c r="BT41" s="173">
        <f>0.64*IVA!AS75</f>
        <v>16999265.920000002</v>
      </c>
      <c r="BU41" s="174">
        <f>0.64*IVA!AT75</f>
        <v>21727277.440000001</v>
      </c>
      <c r="BV41" s="135">
        <f>0.64*IVA!AU75</f>
        <v>63810071.039999999</v>
      </c>
      <c r="BW41" s="136">
        <f>IVA!BR41/IVA!CJ20</f>
        <v>8.0855531200959441E-3</v>
      </c>
      <c r="BX41" s="137">
        <f>IVA!BS41/IVA!CK20</f>
        <v>6.2790227096657884E-3</v>
      </c>
      <c r="BY41" s="136">
        <f>IVA!BT41/IVA!CL20</f>
        <v>9.1129778258369418E-3</v>
      </c>
      <c r="BZ41" s="136">
        <f>IVA!BU41/IVA!CM20</f>
        <v>1.1091626406989538E-2</v>
      </c>
      <c r="CA41" s="271">
        <f>IVA!BV41/IVA!CN20</f>
        <v>3.4641316104001674E-2</v>
      </c>
      <c r="CH41" s="13"/>
      <c r="CI41" s="53">
        <v>2007</v>
      </c>
      <c r="CJ41" s="284">
        <f>IVA!AV37+IVA!AV88+IVA!AV105+IVA!AV122+IVA!AV156+IVA!AV173+IVA!AV222+IVA!AV256</f>
        <v>2.1366691851277243E-2</v>
      </c>
      <c r="CK41" s="284">
        <f>IVA!AW37+IVA!AW88+IVA!AW105+IVA!AW122+IVA!AW156+IVA!AW173+IVA!AW222+IVA!AW256</f>
        <v>1.8228259119725677E-2</v>
      </c>
      <c r="CL41" s="284">
        <f>IVA!AX37+IVA!AX88+IVA!AX105+IVA!AX122+IVA!AX156+IVA!AX173+IVA!AX222+IVA!AX256</f>
        <v>2.0701066539996357E-2</v>
      </c>
      <c r="CM41" s="285">
        <f>IVA!AY37+IVA!AY88+IVA!AY105+IVA!AY122+IVA!AY156+IVA!AY173+IVA!AY222+IVA!AY256</f>
        <v>1.8678664614620689E-2</v>
      </c>
      <c r="CN41" s="286">
        <f>IVA!AZ37+IVA!AZ88+IVA!AZ105+IVA!AZ122+IVA!AZ156+IVA!AZ173+IVA!AZ222+IVA!AZ256</f>
        <v>7.856494118179258E-2</v>
      </c>
      <c r="CO41" s="63"/>
      <c r="CP41" s="63"/>
      <c r="CQ41" s="13"/>
      <c r="CS41" s="292">
        <v>2004</v>
      </c>
      <c r="CT41" s="293" t="s">
        <v>162</v>
      </c>
      <c r="CU41" s="289">
        <v>168737</v>
      </c>
      <c r="CV41" s="289">
        <v>98647.846000000005</v>
      </c>
      <c r="CW41" s="289">
        <v>267384.84600000002</v>
      </c>
      <c r="CX41" s="289">
        <v>0</v>
      </c>
      <c r="CY41" s="290">
        <v>16557900</v>
      </c>
      <c r="CZ41" s="289">
        <v>0</v>
      </c>
      <c r="DA41" s="289">
        <v>4651145</v>
      </c>
      <c r="DB41" s="289">
        <v>21476429.846000001</v>
      </c>
      <c r="DC41" s="289">
        <v>7298</v>
      </c>
      <c r="DD41" s="289">
        <v>0</v>
      </c>
      <c r="DE41" s="289">
        <v>0</v>
      </c>
      <c r="DF41" s="289">
        <v>7298</v>
      </c>
      <c r="DG41" s="289">
        <v>21483727.846000001</v>
      </c>
      <c r="DI41" s="97">
        <v>1995</v>
      </c>
      <c r="DJ41" s="97" t="s">
        <v>84</v>
      </c>
      <c r="DK41" s="145">
        <v>16097737</v>
      </c>
      <c r="DL41" s="146"/>
      <c r="DY41" s="213" t="s">
        <v>403</v>
      </c>
      <c r="EA41" s="193"/>
      <c r="EB41" s="228">
        <v>12200000</v>
      </c>
      <c r="EC41" s="228">
        <v>-171358</v>
      </c>
      <c r="ED41" s="228">
        <v>12028642</v>
      </c>
      <c r="EE41" s="228">
        <v>9869602.8200000003</v>
      </c>
      <c r="EF41" s="228">
        <v>9867589.4000000004</v>
      </c>
      <c r="EG41" s="229">
        <v>9195152.5600000005</v>
      </c>
      <c r="EH41" s="230">
        <f>IVA!EF41-IVA!EG41</f>
        <v>672436.83999999985</v>
      </c>
      <c r="EJ41" s="31">
        <v>1989</v>
      </c>
      <c r="EK41" s="32">
        <v>3535.1990000000001</v>
      </c>
      <c r="EL41" s="33">
        <v>2845.9569999999999</v>
      </c>
      <c r="EM41" s="120" t="s">
        <v>208</v>
      </c>
      <c r="EN41" s="34">
        <f>IVA!EO19/IVA!EK57/1000</f>
        <v>0.51737788384243832</v>
      </c>
      <c r="EO41" s="34">
        <f>IVA!EO19/IVA!EL56/1000</f>
        <v>0.61140067220043792</v>
      </c>
      <c r="ET41" s="179">
        <v>2000</v>
      </c>
      <c r="EU41" s="120" t="s">
        <v>399</v>
      </c>
      <c r="EV41" s="120" t="s">
        <v>404</v>
      </c>
      <c r="EW41" s="120" t="s">
        <v>405</v>
      </c>
      <c r="EX41" s="120" t="s">
        <v>406</v>
      </c>
    </row>
    <row r="42" spans="27:154" ht="12.75" customHeight="1">
      <c r="AA42" s="243">
        <v>2012</v>
      </c>
      <c r="AB42" s="243" t="s">
        <v>312</v>
      </c>
      <c r="AC42" s="244"/>
      <c r="AD42" s="245"/>
      <c r="AE42" s="246">
        <f>IVA!AE25*0.9373*0.11</f>
        <v>1560280.1242076848</v>
      </c>
      <c r="AF42" s="246">
        <f>IVA!AF25*0.9373*0.11</f>
        <v>1415721.1287575858</v>
      </c>
      <c r="AG42" s="246">
        <f>IVA!AG25*0.9373*0.11</f>
        <v>1417233.0435734971</v>
      </c>
      <c r="AH42" s="246">
        <f>IVA!AH25*0.9373*0.11</f>
        <v>1432738.929666915</v>
      </c>
      <c r="AI42" s="246">
        <f>IVA!AI25*0.9373*0.11</f>
        <v>1628971.2139531332</v>
      </c>
      <c r="AJ42" s="246">
        <f>IVA!AJ25*0.9373*0.11</f>
        <v>1586889.9538846253</v>
      </c>
      <c r="AK42" s="246">
        <f>IVA!AK25*0.9373*0.11</f>
        <v>1602199.1039690035</v>
      </c>
      <c r="AL42" s="246">
        <f>IVA!AL25*0.9373*0.11</f>
        <v>1743509.4014514275</v>
      </c>
      <c r="AM42" s="246">
        <f>IVA!AM25*0.9373*0.11</f>
        <v>1730837.0927129581</v>
      </c>
      <c r="AN42" s="246">
        <f>IVA!AN25*0.9373*0.11</f>
        <v>1810206.8973853262</v>
      </c>
      <c r="AO42" s="246">
        <f>IVA!AO25*0.9373*0.11</f>
        <v>1836956.2249686446</v>
      </c>
      <c r="AP42" s="246">
        <f>IVA!AP25*0.9373*0.11</f>
        <v>1875211.3751979608</v>
      </c>
      <c r="AQ42" s="247">
        <f>IVA!AE42+IVA!AF42+IVA!AG42</f>
        <v>4393234.2965387674</v>
      </c>
      <c r="AR42" s="247">
        <f>IVA!AH42+IVA!AI42+IVA!AJ42</f>
        <v>4648600.0975046735</v>
      </c>
      <c r="AS42" s="247">
        <f>IVA!AK42+IVA!AL42+IVA!AM42</f>
        <v>5076545.5981333889</v>
      </c>
      <c r="AT42" s="247">
        <f>IVA!AN42+IVA!AO42+IVA!AP42</f>
        <v>5522374.497551932</v>
      </c>
      <c r="AU42" s="248">
        <f>IVA!AQ42+IVA!AR42+IVA!AS42+IVA!AT42</f>
        <v>19640754.489728764</v>
      </c>
      <c r="AV42" s="250">
        <f>IVA!AQ42/IVA!CJ21</f>
        <v>2.343139520324047E-3</v>
      </c>
      <c r="AW42" s="250">
        <f>IVA!AR42/IVA!CK21</f>
        <v>2.0449931529641927E-3</v>
      </c>
      <c r="AX42" s="250">
        <f>IVA!AS42/IVA!CL21</f>
        <v>2.3255869461701558E-3</v>
      </c>
      <c r="AY42" s="250">
        <f>IVA!AT42/IVA!CM21</f>
        <v>2.3742167553816962E-3</v>
      </c>
      <c r="AZ42" s="294">
        <f>IVA!AU42/IVA!CN21</f>
        <v>9.0751031148151688E-3</v>
      </c>
      <c r="BA42" s="295">
        <v>2012</v>
      </c>
      <c r="BB42" s="296" t="s">
        <v>313</v>
      </c>
      <c r="BC42" s="297"/>
      <c r="BD42" s="297"/>
      <c r="BE42" s="298"/>
      <c r="BF42" s="299">
        <f>0.64*IVA!AE76</f>
        <v>6050211.2960938672</v>
      </c>
      <c r="BG42" s="299">
        <f>0.64*IVA!AF76</f>
        <v>5631576.2682986669</v>
      </c>
      <c r="BH42" s="299">
        <f>0.64*IVA!AG76</f>
        <v>4942821.1470314674</v>
      </c>
      <c r="BI42" s="299">
        <f>0.64*IVA!AH76</f>
        <v>4748400.8164202664</v>
      </c>
      <c r="BJ42" s="299">
        <f>0.64*IVA!AI76</f>
        <v>9494416.510967467</v>
      </c>
      <c r="BK42" s="299">
        <f>0.64*IVA!AJ76</f>
        <v>10231177.628657067</v>
      </c>
      <c r="BL42" s="299">
        <f>0.64*IVA!AK76</f>
        <v>7000206.6164458673</v>
      </c>
      <c r="BM42" s="299">
        <f>0.64*IVA!AL76</f>
        <v>7805435.9125290671</v>
      </c>
      <c r="BN42" s="299">
        <f>0.64*IVA!AM76</f>
        <v>6901708.913738667</v>
      </c>
      <c r="BO42" s="299">
        <f>0.64*IVA!AN76</f>
        <v>7962562.6469290666</v>
      </c>
      <c r="BP42" s="299">
        <f>0.64*IVA!AO76</f>
        <v>8787067.8284202665</v>
      </c>
      <c r="BQ42" s="300">
        <f>0.64*IVA!AP76</f>
        <v>8674559.0822890662</v>
      </c>
      <c r="BR42" s="257">
        <f>0.64*IVA!AQ76</f>
        <v>16624608.711424001</v>
      </c>
      <c r="BS42" s="257">
        <f>0.64*IVA!AR76</f>
        <v>15322798.231750401</v>
      </c>
      <c r="BT42" s="257">
        <f>0.64*IVA!AS76</f>
        <v>19185638.474419203</v>
      </c>
      <c r="BU42" s="258">
        <f>0.64*IVA!AT76</f>
        <v>24473994.956044797</v>
      </c>
      <c r="BV42" s="259">
        <f>0.64*IVA!AU76</f>
        <v>75607040.373638406</v>
      </c>
      <c r="BW42" s="262">
        <f>IVA!BR42/IVA!CJ21</f>
        <v>8.8667653606253026E-3</v>
      </c>
      <c r="BX42" s="261">
        <f>IVA!BS42/IVA!CK21</f>
        <v>6.7407427636121597E-3</v>
      </c>
      <c r="BY42" s="262">
        <f>IVA!BT42/IVA!CL21</f>
        <v>8.7890218904868866E-3</v>
      </c>
      <c r="BZ42" s="262">
        <f>IVA!BU42/IVA!CM21</f>
        <v>1.0522026154062407E-2</v>
      </c>
      <c r="CA42" s="301">
        <f>IVA!BV42/IVA!CN21</f>
        <v>3.493458909409939E-2</v>
      </c>
      <c r="CH42" s="13"/>
      <c r="CI42" s="53">
        <v>2008</v>
      </c>
      <c r="CJ42" s="284">
        <f>IVA!AV38+IVA!AV89+IVA!AV106+IVA!AV123+IVA!AV157+IVA!AV174+IVA!AV223+IVA!AV257</f>
        <v>2.2073912631485955E-2</v>
      </c>
      <c r="CK42" s="284">
        <f>IVA!AW38+IVA!AW89+IVA!AW106+IVA!AW123+IVA!AW157+IVA!AW174+IVA!AW223+IVA!AW257</f>
        <v>1.9058157379742428E-2</v>
      </c>
      <c r="CL42" s="284">
        <f>IVA!AX38+IVA!AX89+IVA!AX106+IVA!AX123+IVA!AX157+IVA!AX174+IVA!AX223+IVA!AX257</f>
        <v>2.2428097671407365E-2</v>
      </c>
      <c r="CM42" s="285">
        <f>IVA!AY38+IVA!AY89+IVA!AY106+IVA!AY123+IVA!AY157+IVA!AY174+IVA!AY223+IVA!AY257</f>
        <v>2.1321397180348721E-2</v>
      </c>
      <c r="CN42" s="286">
        <f>IVA!AZ38+IVA!AZ89+IVA!AZ106+IVA!AZ123+IVA!AZ157+IVA!AZ174+IVA!AZ223+IVA!AZ257</f>
        <v>8.4637652355296064E-2</v>
      </c>
      <c r="CO42" s="63"/>
      <c r="CP42" s="63"/>
      <c r="CQ42" s="13"/>
      <c r="CS42" s="292">
        <v>2003</v>
      </c>
      <c r="CT42" s="293" t="s">
        <v>162</v>
      </c>
      <c r="CU42" s="289">
        <v>166295</v>
      </c>
      <c r="CV42" s="289">
        <v>87757.754000000001</v>
      </c>
      <c r="CW42" s="289">
        <v>254052.75399999999</v>
      </c>
      <c r="CX42" s="289">
        <v>0</v>
      </c>
      <c r="CY42" s="290">
        <v>14688888.577</v>
      </c>
      <c r="CZ42" s="289">
        <v>179.82</v>
      </c>
      <c r="DA42" s="289">
        <v>6508966.0820000004</v>
      </c>
      <c r="DB42" s="289">
        <v>21452087.232999999</v>
      </c>
      <c r="DC42" s="289">
        <v>5195.799</v>
      </c>
      <c r="DD42" s="289">
        <v>0</v>
      </c>
      <c r="DE42" s="289">
        <v>0</v>
      </c>
      <c r="DF42" s="289">
        <v>5195.799</v>
      </c>
      <c r="DG42" s="289">
        <v>21457283.032000002</v>
      </c>
      <c r="DI42" s="113"/>
      <c r="DJ42" s="114" t="s">
        <v>102</v>
      </c>
      <c r="DK42" s="164">
        <v>15920757</v>
      </c>
      <c r="DL42" s="146"/>
      <c r="DY42" s="220" t="s">
        <v>407</v>
      </c>
      <c r="DZ42" s="221"/>
      <c r="EA42" s="204"/>
      <c r="EB42" s="234">
        <v>19872115326</v>
      </c>
      <c r="EC42" s="234">
        <v>216696342</v>
      </c>
      <c r="ED42" s="234">
        <v>20088811668</v>
      </c>
      <c r="EE42" s="234">
        <v>19010068440.59</v>
      </c>
      <c r="EF42" s="234">
        <v>18979209735.5</v>
      </c>
      <c r="EG42" s="235">
        <v>17318797956.150002</v>
      </c>
      <c r="EH42" s="236">
        <f>IVA!EF42-IVA!EG42</f>
        <v>1660411779.3499985</v>
      </c>
      <c r="EJ42" s="31">
        <v>1990</v>
      </c>
      <c r="EK42" s="32">
        <v>4081.8510000000001</v>
      </c>
      <c r="EL42" s="33">
        <v>3383.5329999999999</v>
      </c>
      <c r="EM42" s="120" t="s">
        <v>224</v>
      </c>
      <c r="EN42" s="34">
        <f>IVA!EO20/IVA!EK58/1000</f>
        <v>0.50571466347196381</v>
      </c>
      <c r="EO42" s="34">
        <f>IVA!EO20/IVA!EL57/1000</f>
        <v>0.60116393213025832</v>
      </c>
      <c r="ET42" s="179">
        <v>2001</v>
      </c>
      <c r="EU42" s="120" t="s">
        <v>408</v>
      </c>
      <c r="EV42" s="120" t="s">
        <v>409</v>
      </c>
      <c r="EW42" s="120" t="s">
        <v>410</v>
      </c>
      <c r="EX42" s="120" t="s">
        <v>411</v>
      </c>
    </row>
    <row r="43" spans="27:154" ht="12.75" customHeight="1">
      <c r="AA43" s="302">
        <v>1996</v>
      </c>
      <c r="AB43" s="302" t="s">
        <v>412</v>
      </c>
      <c r="AC43" s="303"/>
      <c r="AD43" s="304"/>
      <c r="AE43" s="305">
        <v>527247</v>
      </c>
      <c r="AF43" s="305">
        <v>578197</v>
      </c>
      <c r="AG43" s="305">
        <v>485758</v>
      </c>
      <c r="AH43" s="305">
        <v>476983</v>
      </c>
      <c r="AI43" s="305">
        <v>689747</v>
      </c>
      <c r="AJ43" s="305">
        <v>736696</v>
      </c>
      <c r="AK43" s="305">
        <v>557857</v>
      </c>
      <c r="AL43" s="305">
        <v>513405</v>
      </c>
      <c r="AM43" s="305">
        <v>484229</v>
      </c>
      <c r="AN43" s="305">
        <v>522377</v>
      </c>
      <c r="AO43" s="305">
        <v>674229</v>
      </c>
      <c r="AP43" s="305">
        <v>554901</v>
      </c>
      <c r="AQ43" s="126">
        <f>IVA!AE43+IVA!AF43+IVA!AG43</f>
        <v>1591202</v>
      </c>
      <c r="AR43" s="126">
        <f>IVA!AH43+IVA!AI43+IVA!AJ43</f>
        <v>1903426</v>
      </c>
      <c r="AS43" s="126">
        <f>IVA!AK43+IVA!AL43+IVA!AM43</f>
        <v>1555491</v>
      </c>
      <c r="AT43" s="126">
        <f>IVA!AN43+IVA!AO43+IVA!AP43</f>
        <v>1751507</v>
      </c>
      <c r="AU43" s="127">
        <f>IVA!AQ43+IVA!AR43+IVA!AS43+IVA!AT43</f>
        <v>6801626</v>
      </c>
      <c r="AV43" s="128"/>
      <c r="AW43" s="128"/>
      <c r="AX43" s="128"/>
      <c r="AY43" s="128"/>
      <c r="AZ43" s="269"/>
      <c r="BA43" s="264">
        <v>1996</v>
      </c>
      <c r="BB43" s="306" t="s">
        <v>413</v>
      </c>
      <c r="BC43" s="307"/>
      <c r="BD43" s="307"/>
      <c r="BE43" s="307"/>
      <c r="BF43" s="308">
        <v>89804</v>
      </c>
      <c r="BG43" s="308">
        <v>150337</v>
      </c>
      <c r="BH43" s="308">
        <v>106805</v>
      </c>
      <c r="BI43" s="308">
        <v>115774</v>
      </c>
      <c r="BJ43" s="308">
        <v>105397</v>
      </c>
      <c r="BK43" s="308">
        <v>106242</v>
      </c>
      <c r="BL43" s="308">
        <v>106951</v>
      </c>
      <c r="BM43" s="308">
        <v>106047</v>
      </c>
      <c r="BN43" s="308">
        <v>110302</v>
      </c>
      <c r="BO43" s="308">
        <v>96824</v>
      </c>
      <c r="BP43" s="308">
        <v>94153</v>
      </c>
      <c r="BQ43" s="309">
        <v>155076</v>
      </c>
      <c r="BR43" s="173">
        <f>IVA!BF43+IVA!BG43+IVA!BH43</f>
        <v>346946</v>
      </c>
      <c r="BS43" s="173">
        <f>IVA!BI43+IVA!BJ43+IVA!BK43</f>
        <v>327413</v>
      </c>
      <c r="BT43" s="173">
        <f>IVA!BL43+IVA!BM43+IVA!BN43</f>
        <v>323300</v>
      </c>
      <c r="BU43" s="174">
        <f>IVA!BO43+IVA!BP43+IVA!BQ43</f>
        <v>346053</v>
      </c>
      <c r="BV43" s="135">
        <f>IVA!BR43+IVA!BS43+IVA!BT43+IVA!BU43</f>
        <v>1343712</v>
      </c>
      <c r="BW43" s="136"/>
      <c r="BX43" s="137"/>
      <c r="BY43" s="136"/>
      <c r="BZ43" s="136"/>
      <c r="CA43" s="271"/>
      <c r="CH43" s="13"/>
      <c r="CI43" s="53">
        <v>2009</v>
      </c>
      <c r="CJ43" s="284">
        <f>IVA!AV39+IVA!AV90+IVA!AV107+IVA!AV124+IVA!AV158+IVA!AV175+IVA!AV224+IVA!AV258</f>
        <v>2.4729839215050526E-2</v>
      </c>
      <c r="CK43" s="284">
        <f>IVA!AW39+IVA!AW90+IVA!AW107+IVA!AW124+IVA!AW158+IVA!AW175+IVA!AW224+IVA!AW258</f>
        <v>2.0353854488552835E-2</v>
      </c>
      <c r="CL43" s="284">
        <f>IVA!AX39+IVA!AX90+IVA!AX107+IVA!AX124+IVA!AX158+IVA!AX175+IVA!AX224+IVA!AX258</f>
        <v>2.3519743564838047E-2</v>
      </c>
      <c r="CM43" s="285">
        <f>IVA!AY39+IVA!AY90+IVA!AY107+IVA!AY124+IVA!AY158+IVA!AY175+IVA!AY224+IVA!AY258</f>
        <v>2.2124627524930489E-2</v>
      </c>
      <c r="CN43" s="286">
        <f>IVA!AZ39+IVA!AZ90+IVA!AZ107+IVA!AZ124+IVA!AZ158+IVA!AZ175+IVA!AZ224+IVA!AZ258</f>
        <v>9.0332485097390794E-2</v>
      </c>
      <c r="CO43" s="63"/>
      <c r="CP43" s="63"/>
      <c r="CQ43" s="13"/>
      <c r="CS43" s="292">
        <v>2002</v>
      </c>
      <c r="CT43" s="293" t="s">
        <v>162</v>
      </c>
      <c r="CU43" s="289">
        <v>156080.01999999999</v>
      </c>
      <c r="CV43" s="289">
        <v>54028.633000000002</v>
      </c>
      <c r="CW43" s="289">
        <v>210108.65299999999</v>
      </c>
      <c r="CX43" s="289">
        <v>0</v>
      </c>
      <c r="CY43" s="290">
        <v>14410700</v>
      </c>
      <c r="CZ43" s="289">
        <v>183.36799999999999</v>
      </c>
      <c r="DA43" s="289">
        <v>5488638</v>
      </c>
      <c r="DB43" s="289">
        <v>20109630.021000002</v>
      </c>
      <c r="DC43" s="289">
        <v>5201</v>
      </c>
      <c r="DD43" s="289">
        <v>0</v>
      </c>
      <c r="DE43" s="289">
        <v>0</v>
      </c>
      <c r="DF43" s="289">
        <v>5201</v>
      </c>
      <c r="DG43" s="289">
        <v>20114831.021000002</v>
      </c>
      <c r="DH43" s="310">
        <v>20684.8</v>
      </c>
      <c r="DI43" s="97">
        <v>1994</v>
      </c>
      <c r="DJ43" s="97" t="s">
        <v>84</v>
      </c>
      <c r="DK43" s="145">
        <v>16717534</v>
      </c>
      <c r="DL43" s="146"/>
      <c r="DY43" s="175" t="s">
        <v>163</v>
      </c>
      <c r="DZ43" s="45"/>
      <c r="EA43" s="208">
        <v>2000</v>
      </c>
      <c r="EB43" s="225">
        <v>20107855216</v>
      </c>
      <c r="EC43" s="225">
        <v>392467099</v>
      </c>
      <c r="ED43" s="225">
        <v>20500322315</v>
      </c>
      <c r="EE43" s="225">
        <v>19452389658.360001</v>
      </c>
      <c r="EF43" s="225">
        <v>19369109451.610001</v>
      </c>
      <c r="EG43" s="226">
        <v>17965259998.189999</v>
      </c>
      <c r="EH43" s="227">
        <f>IVA!EF43-IVA!EG43</f>
        <v>1403849453.420002</v>
      </c>
      <c r="EJ43" s="31">
        <v>1991</v>
      </c>
      <c r="EK43" s="32">
        <v>4195.3789999999999</v>
      </c>
      <c r="EL43" s="33">
        <v>3493.0639999999999</v>
      </c>
      <c r="EM43" s="120" t="s">
        <v>240</v>
      </c>
      <c r="EN43" s="34">
        <f>IVA!EO21/IVA!EK59/1000</f>
        <v>0.56946386092943702</v>
      </c>
      <c r="EO43" s="34">
        <f>IVA!EO21/IVA!EL58/1000</f>
        <v>0.67595500464382896</v>
      </c>
      <c r="ET43" s="179">
        <v>2002</v>
      </c>
      <c r="EU43" s="120" t="s">
        <v>414</v>
      </c>
      <c r="EV43" s="120" t="s">
        <v>415</v>
      </c>
      <c r="EW43" s="120" t="s">
        <v>416</v>
      </c>
      <c r="EX43" s="120" t="s">
        <v>390</v>
      </c>
    </row>
    <row r="44" spans="27:154" ht="12.75" customHeight="1">
      <c r="AA44" s="302">
        <v>1997</v>
      </c>
      <c r="AB44" s="302" t="s">
        <v>412</v>
      </c>
      <c r="AC44" s="303"/>
      <c r="AD44" s="304"/>
      <c r="AE44" s="305">
        <v>631743</v>
      </c>
      <c r="AF44" s="305">
        <v>532715</v>
      </c>
      <c r="AG44" s="305">
        <v>527816</v>
      </c>
      <c r="AH44" s="305">
        <v>747628</v>
      </c>
      <c r="AI44" s="305">
        <v>1288791</v>
      </c>
      <c r="AJ44" s="305">
        <v>662721</v>
      </c>
      <c r="AK44" s="305">
        <v>592974</v>
      </c>
      <c r="AL44" s="305">
        <v>668983</v>
      </c>
      <c r="AM44" s="305">
        <v>574901</v>
      </c>
      <c r="AN44" s="305">
        <v>696076</v>
      </c>
      <c r="AO44" s="305">
        <v>766425</v>
      </c>
      <c r="AP44" s="305">
        <v>643007</v>
      </c>
      <c r="AQ44" s="126">
        <f>IVA!AE44+IVA!AF44+IVA!AG44</f>
        <v>1692274</v>
      </c>
      <c r="AR44" s="126">
        <f>IVA!AH44+IVA!AI44+IVA!AJ44</f>
        <v>2699140</v>
      </c>
      <c r="AS44" s="126">
        <f>IVA!AK44+IVA!AL44+IVA!AM44</f>
        <v>1836858</v>
      </c>
      <c r="AT44" s="126">
        <f>IVA!AN44+IVA!AO44+IVA!AP44</f>
        <v>2105508</v>
      </c>
      <c r="AU44" s="127">
        <f>IVA!AQ44+IVA!AR44+IVA!AS44+IVA!AT44</f>
        <v>8333780</v>
      </c>
      <c r="AV44" s="128">
        <f>IVA!AQ44/IVA!CJ6</f>
        <v>6.2385681633856816E-3</v>
      </c>
      <c r="AW44" s="128">
        <f>IVA!AR44/IVA!CK6</f>
        <v>9.0009575770431029E-3</v>
      </c>
      <c r="AX44" s="128">
        <f>IVA!AS44/IVA!CL6</f>
        <v>6.1584766978821873E-3</v>
      </c>
      <c r="AY44" s="128">
        <f>IVA!AT44/IVA!CM6</f>
        <v>6.9710146639239481E-3</v>
      </c>
      <c r="AZ44" s="269">
        <f>IVA!AU44/IVA!CN6</f>
        <v>2.845664121911631E-2</v>
      </c>
      <c r="BA44" s="264">
        <v>1997</v>
      </c>
      <c r="BB44" s="306" t="s">
        <v>413</v>
      </c>
      <c r="BC44" s="307"/>
      <c r="BD44" s="307"/>
      <c r="BE44" s="307"/>
      <c r="BF44" s="308">
        <v>106286</v>
      </c>
      <c r="BG44" s="308">
        <v>113818</v>
      </c>
      <c r="BH44" s="308">
        <v>133692</v>
      </c>
      <c r="BI44" s="308">
        <v>90523</v>
      </c>
      <c r="BJ44" s="308">
        <v>109610</v>
      </c>
      <c r="BK44" s="308">
        <v>113083</v>
      </c>
      <c r="BL44" s="308">
        <v>93830</v>
      </c>
      <c r="BM44" s="308">
        <v>106584</v>
      </c>
      <c r="BN44" s="308">
        <v>116438</v>
      </c>
      <c r="BO44" s="308">
        <v>102912</v>
      </c>
      <c r="BP44" s="308">
        <v>117608</v>
      </c>
      <c r="BQ44" s="309">
        <v>113862</v>
      </c>
      <c r="BR44" s="173">
        <f>IVA!BF44+IVA!BG44+IVA!BH44</f>
        <v>353796</v>
      </c>
      <c r="BS44" s="173">
        <f>IVA!BI44+IVA!BJ44+IVA!BK44</f>
        <v>313216</v>
      </c>
      <c r="BT44" s="173">
        <f>IVA!BL44+IVA!BM44+IVA!BN44</f>
        <v>316852</v>
      </c>
      <c r="BU44" s="174">
        <f>IVA!BO44+IVA!BP44+IVA!BQ44</f>
        <v>334382</v>
      </c>
      <c r="BV44" s="135">
        <f>IVA!BR44+IVA!BS44+IVA!BT44+IVA!BU44</f>
        <v>1318246</v>
      </c>
      <c r="BW44" s="136">
        <f>IVA!BR44/IVA!CJ6</f>
        <v>1.3042689670426898E-3</v>
      </c>
      <c r="BX44" s="137">
        <f>IVA!BS44/IVA!CK6</f>
        <v>1.044497109616816E-3</v>
      </c>
      <c r="BY44" s="136">
        <f>IVA!BT44/IVA!CL6</f>
        <v>1.0623170972809911E-3</v>
      </c>
      <c r="BZ44" s="136">
        <f>IVA!BU44/IVA!CM6</f>
        <v>1.1070876127529403E-3</v>
      </c>
      <c r="CA44" s="271">
        <f>IVA!BV44/IVA!CN6</f>
        <v>4.5013011455228239E-3</v>
      </c>
      <c r="CH44" s="13"/>
      <c r="CI44" s="53">
        <v>2010</v>
      </c>
      <c r="CJ44" s="284">
        <f>IVA!AV40+IVA!AV91+IVA!AV108+IVA!AV125+IVA!AV159+IVA!AV176+IVA!AV225+IVA!AV259+IVA!AV196</f>
        <v>2.5264434215210359E-2</v>
      </c>
      <c r="CK44" s="284">
        <f>IVA!AW40+IVA!AW91+IVA!AW108+IVA!AW125+IVA!AW159+IVA!AW176+IVA!AW225+IVA!AW259+IVA!AW196</f>
        <v>2.2058955536889361E-2</v>
      </c>
      <c r="CL44" s="284">
        <f>IVA!AX40+IVA!AX91+IVA!AX108+IVA!AX125+IVA!AX159+IVA!AX176+IVA!AX225+IVA!AX259+IVA!AX196</f>
        <v>2.5036916225563009E-2</v>
      </c>
      <c r="CM44" s="285">
        <f>IVA!AY40+IVA!AY91+IVA!AY108+IVA!AY125+IVA!AY159+IVA!AY176+IVA!AY225+IVA!AY259+IVA!AY196</f>
        <v>2.3493422281248341E-2</v>
      </c>
      <c r="CN44" s="286">
        <f>IVA!AZ40+IVA!AZ91+IVA!AZ108+IVA!AZ125+IVA!AZ159+IVA!AZ176+IVA!AZ225+IVA!AZ259+IVA!AZ196</f>
        <v>9.5536748756784695E-2</v>
      </c>
      <c r="CO44" s="63"/>
      <c r="CP44" s="63"/>
      <c r="CQ44" s="13"/>
      <c r="CS44" s="292">
        <v>2001</v>
      </c>
      <c r="CT44" s="293" t="s">
        <v>162</v>
      </c>
      <c r="CU44" s="289">
        <v>131687</v>
      </c>
      <c r="CV44" s="289">
        <v>84136.790999999997</v>
      </c>
      <c r="CW44" s="289">
        <v>215823.791</v>
      </c>
      <c r="CX44" s="289">
        <v>19.414999999999999</v>
      </c>
      <c r="CY44" s="290">
        <v>14475111.068</v>
      </c>
      <c r="CZ44" s="289">
        <v>269.45499999999998</v>
      </c>
      <c r="DA44" s="289">
        <v>5089755.0710000005</v>
      </c>
      <c r="DB44" s="289">
        <v>19780978.800000001</v>
      </c>
      <c r="DC44" s="289">
        <v>10838</v>
      </c>
      <c r="DD44" s="289">
        <v>0</v>
      </c>
      <c r="DE44" s="289">
        <v>0</v>
      </c>
      <c r="DF44" s="289">
        <v>10838</v>
      </c>
      <c r="DG44" s="289">
        <v>19791816.800000001</v>
      </c>
      <c r="DH44" s="310">
        <v>18230.2</v>
      </c>
      <c r="DI44" s="113"/>
      <c r="DJ44" s="114" t="s">
        <v>102</v>
      </c>
      <c r="DK44" s="164">
        <v>16577814</v>
      </c>
      <c r="DL44" s="146"/>
      <c r="DY44" s="213" t="s">
        <v>417</v>
      </c>
      <c r="EA44" s="177"/>
      <c r="EB44" s="228">
        <v>265856537</v>
      </c>
      <c r="EC44" s="228">
        <v>10467099</v>
      </c>
      <c r="ED44" s="228">
        <v>276323636</v>
      </c>
      <c r="EE44" s="228">
        <v>265262802.22999999</v>
      </c>
      <c r="EF44" s="228">
        <v>235541964.65000001</v>
      </c>
      <c r="EG44" s="229">
        <v>228170907.5</v>
      </c>
      <c r="EH44" s="230">
        <f>IVA!EF44-IVA!EG44</f>
        <v>7371057.150000006</v>
      </c>
      <c r="EJ44" s="31">
        <v>1992</v>
      </c>
      <c r="EK44" s="32">
        <v>4305.3720000000003</v>
      </c>
      <c r="EL44" s="33">
        <v>3600.1979999999999</v>
      </c>
      <c r="EM44" s="120" t="s">
        <v>255</v>
      </c>
      <c r="EN44" s="34">
        <f>IVA!EO22/IVA!EK60/1000</f>
        <v>0.69179522751842881</v>
      </c>
      <c r="EO44" s="34">
        <f>IVA!EO22/IVA!EL59/1000</f>
        <v>0.8204835808348111</v>
      </c>
      <c r="ET44" s="179">
        <v>2003</v>
      </c>
      <c r="EU44" s="120" t="s">
        <v>418</v>
      </c>
      <c r="EV44" s="120" t="s">
        <v>419</v>
      </c>
      <c r="EW44" s="120" t="s">
        <v>420</v>
      </c>
      <c r="EX44" s="120" t="s">
        <v>421</v>
      </c>
    </row>
    <row r="45" spans="27:154" ht="12.75" customHeight="1">
      <c r="AA45" s="302">
        <v>1998</v>
      </c>
      <c r="AB45" s="302" t="s">
        <v>412</v>
      </c>
      <c r="AC45" s="311"/>
      <c r="AD45" s="312"/>
      <c r="AE45" s="313">
        <v>652583</v>
      </c>
      <c r="AF45" s="313">
        <v>689226</v>
      </c>
      <c r="AG45" s="313">
        <v>584178</v>
      </c>
      <c r="AH45" s="313">
        <v>758066</v>
      </c>
      <c r="AI45" s="313">
        <v>1388415</v>
      </c>
      <c r="AJ45" s="313">
        <v>1012287</v>
      </c>
      <c r="AK45" s="313">
        <v>705490</v>
      </c>
      <c r="AL45" s="313">
        <v>786417</v>
      </c>
      <c r="AM45" s="313">
        <v>577443</v>
      </c>
      <c r="AN45" s="313">
        <v>675355</v>
      </c>
      <c r="AO45" s="313">
        <v>699981</v>
      </c>
      <c r="AP45" s="313">
        <v>950445</v>
      </c>
      <c r="AQ45" s="153">
        <f>IVA!AE45+IVA!AF45+IVA!AG45</f>
        <v>1925987</v>
      </c>
      <c r="AR45" s="153">
        <f>IVA!AH45+IVA!AI45+IVA!AJ45</f>
        <v>3158768</v>
      </c>
      <c r="AS45" s="153">
        <f>IVA!AK45+IVA!AL45+IVA!AM45</f>
        <v>2069350</v>
      </c>
      <c r="AT45" s="153">
        <f>IVA!AN45+IVA!AO45+IVA!AP45</f>
        <v>2325781</v>
      </c>
      <c r="AU45" s="127">
        <f>IVA!AQ45+IVA!AR45+IVA!AS45+IVA!AT45</f>
        <v>9479886</v>
      </c>
      <c r="AV45" s="128">
        <f>IVA!AQ45/IVA!CJ7</f>
        <v>6.811287858426108E-3</v>
      </c>
      <c r="AW45" s="128">
        <f>IVA!AR45/IVA!CK7</f>
        <v>1.0120068549663871E-2</v>
      </c>
      <c r="AX45" s="128">
        <f>IVA!AS45/IVA!CL7</f>
        <v>6.7742092461624851E-3</v>
      </c>
      <c r="AY45" s="128">
        <f>IVA!AT45/IVA!CM7</f>
        <v>7.8726528239979315E-3</v>
      </c>
      <c r="AZ45" s="269">
        <f>IVA!AU45/IVA!CN7</f>
        <v>3.1710781239432766E-2</v>
      </c>
      <c r="BA45" s="264">
        <v>1998</v>
      </c>
      <c r="BB45" s="306" t="s">
        <v>413</v>
      </c>
      <c r="BC45" s="307"/>
      <c r="BD45" s="307"/>
      <c r="BE45" s="307"/>
      <c r="BF45" s="308">
        <v>96221</v>
      </c>
      <c r="BG45" s="308">
        <v>117030</v>
      </c>
      <c r="BH45" s="308">
        <v>106729</v>
      </c>
      <c r="BI45" s="308">
        <v>109922</v>
      </c>
      <c r="BJ45" s="308">
        <v>106461</v>
      </c>
      <c r="BK45" s="308">
        <v>105380</v>
      </c>
      <c r="BL45" s="308">
        <v>108952</v>
      </c>
      <c r="BM45" s="308">
        <v>107903</v>
      </c>
      <c r="BN45" s="308">
        <v>108838</v>
      </c>
      <c r="BO45" s="308">
        <v>112881</v>
      </c>
      <c r="BP45" s="308">
        <v>115717</v>
      </c>
      <c r="BQ45" s="309">
        <v>111468</v>
      </c>
      <c r="BR45" s="173">
        <f>IVA!BF45+IVA!BG45+IVA!BH45</f>
        <v>319980</v>
      </c>
      <c r="BS45" s="173">
        <f>IVA!BI45+IVA!BJ45+IVA!BK45</f>
        <v>321763</v>
      </c>
      <c r="BT45" s="173">
        <f>IVA!BL45+IVA!BM45+IVA!BN45</f>
        <v>325693</v>
      </c>
      <c r="BU45" s="174">
        <f>IVA!BO45+IVA!BP45+IVA!BQ45</f>
        <v>340066</v>
      </c>
      <c r="BV45" s="135">
        <f>IVA!BR45+IVA!BS45+IVA!BT45+IVA!BU45</f>
        <v>1307502</v>
      </c>
      <c r="BW45" s="136">
        <f>IVA!BR45/IVA!CJ7</f>
        <v>1.1316150570794018E-3</v>
      </c>
      <c r="BX45" s="137">
        <f>IVA!BS45/IVA!CK7</f>
        <v>1.0308650767468506E-3</v>
      </c>
      <c r="BY45" s="136">
        <f>IVA!BT45/IVA!CL7</f>
        <v>1.0661862575255022E-3</v>
      </c>
      <c r="BZ45" s="136">
        <f>IVA!BU45/IVA!CM7</f>
        <v>1.1511064692873837E-3</v>
      </c>
      <c r="CA45" s="271">
        <f>IVA!BV45/IVA!CN7</f>
        <v>4.3736717817198243E-3</v>
      </c>
      <c r="CH45" s="13"/>
      <c r="CI45" s="53">
        <v>2011</v>
      </c>
      <c r="CJ45" s="284">
        <f>IVA!AV41+IVA!AV92+IVA!AV109+IVA!AV126+IVA!AV160+IVA!AV177+IVA!AV226+IVA!AV260+IVA!AV197</f>
        <v>2.6530427933439443E-2</v>
      </c>
      <c r="CK45" s="284">
        <f>IVA!AW41+IVA!AW92+IVA!AW109+IVA!AW126+IVA!AW160+IVA!AW177+IVA!AW226+IVA!AW260+IVA!AW197</f>
        <v>2.2770324125833283E-2</v>
      </c>
      <c r="CL45" s="284">
        <f>IVA!AX41+IVA!AX92+IVA!AX109+IVA!AX126+IVA!AX160+IVA!AX177+IVA!AX226+IVA!AX260+IVA!AX197</f>
        <v>2.6513947000189424E-2</v>
      </c>
      <c r="CM45" s="285">
        <f>IVA!AY41+IVA!AY92+IVA!AY109+IVA!AY126+IVA!AY160+IVA!AY177+IVA!AY226+IVA!AY260+IVA!AY197</f>
        <v>2.4831908302331309E-2</v>
      </c>
      <c r="CN45" s="286">
        <f>IVA!AZ41+IVA!AZ92+IVA!AZ109+IVA!AZ126+IVA!AZ160+IVA!AZ177+IVA!AZ226+IVA!AZ260+IVA!AZ197</f>
        <v>0.10026468041207962</v>
      </c>
      <c r="CO45" s="63"/>
      <c r="CP45" s="63"/>
      <c r="CQ45" s="13"/>
      <c r="CS45" s="97">
        <v>2000</v>
      </c>
      <c r="CT45" s="206" t="s">
        <v>162</v>
      </c>
      <c r="CU45" s="289"/>
      <c r="CV45" s="289"/>
      <c r="CW45" s="289">
        <v>215900</v>
      </c>
      <c r="CX45" s="289"/>
      <c r="CY45" s="290">
        <f>13315200+IVA!CY51+IVA!CY53</f>
        <v>15968100</v>
      </c>
      <c r="CZ45" s="289"/>
      <c r="DA45" s="289">
        <f>1.127*1713.7*1000+IVA!DA49+IVA!DA54</f>
        <v>2402639.9</v>
      </c>
      <c r="DB45" s="289"/>
      <c r="DC45" s="289"/>
      <c r="DD45" s="289"/>
      <c r="DE45" s="289"/>
      <c r="DF45" s="289"/>
      <c r="DG45" s="289">
        <f>SUM(IVA!CU45:DF45)</f>
        <v>18586639.899999999</v>
      </c>
      <c r="DY45" s="213" t="s">
        <v>422</v>
      </c>
      <c r="EA45" s="193"/>
      <c r="EB45" s="228">
        <v>12423478</v>
      </c>
      <c r="EC45" s="228">
        <v>0</v>
      </c>
      <c r="ED45" s="228">
        <v>12423478</v>
      </c>
      <c r="EE45" s="228">
        <v>11224454.5</v>
      </c>
      <c r="EF45" s="228">
        <v>10118246.550000001</v>
      </c>
      <c r="EG45" s="229">
        <v>9264196.6999999993</v>
      </c>
      <c r="EH45" s="230">
        <f>IVA!EF45-IVA!EG45</f>
        <v>854049.85000000149</v>
      </c>
      <c r="EJ45" s="31">
        <v>1993</v>
      </c>
      <c r="EK45" s="32">
        <v>4409.3459999999995</v>
      </c>
      <c r="EL45" s="33">
        <v>3702.0540000000001</v>
      </c>
      <c r="EM45" s="120" t="s">
        <v>270</v>
      </c>
      <c r="EN45" s="34">
        <f>IVA!EO23/IVA!EK61/1000</f>
        <v>0.70710973495071461</v>
      </c>
      <c r="EO45" s="34">
        <f>IVA!EO23/IVA!EL60/1000</f>
        <v>0.838468801852436</v>
      </c>
      <c r="ET45" s="179">
        <v>2004</v>
      </c>
      <c r="EU45" s="120" t="s">
        <v>423</v>
      </c>
      <c r="EV45" s="120" t="s">
        <v>424</v>
      </c>
      <c r="EW45" s="120" t="s">
        <v>425</v>
      </c>
      <c r="EX45" s="120" t="s">
        <v>426</v>
      </c>
    </row>
    <row r="46" spans="27:154" ht="12.75" customHeight="1">
      <c r="AA46" s="302">
        <v>1999</v>
      </c>
      <c r="AB46" s="302" t="s">
        <v>412</v>
      </c>
      <c r="AC46" s="311"/>
      <c r="AD46" s="312"/>
      <c r="AE46" s="313">
        <v>721097</v>
      </c>
      <c r="AF46" s="313">
        <v>650449</v>
      </c>
      <c r="AG46" s="313">
        <v>650749</v>
      </c>
      <c r="AH46" s="313">
        <v>681890</v>
      </c>
      <c r="AI46" s="313">
        <v>1138451</v>
      </c>
      <c r="AJ46" s="313">
        <v>801355</v>
      </c>
      <c r="AK46" s="313">
        <v>753856</v>
      </c>
      <c r="AL46" s="313">
        <v>795201</v>
      </c>
      <c r="AM46" s="313">
        <v>701118</v>
      </c>
      <c r="AN46" s="313">
        <v>764773</v>
      </c>
      <c r="AO46" s="313">
        <v>845936</v>
      </c>
      <c r="AP46" s="313">
        <v>735092</v>
      </c>
      <c r="AQ46" s="153">
        <f>IVA!AE46+IVA!AF46+IVA!AG46</f>
        <v>2022295</v>
      </c>
      <c r="AR46" s="153">
        <f>IVA!AH46+IVA!AI46+IVA!AJ46</f>
        <v>2621696</v>
      </c>
      <c r="AS46" s="153">
        <f>IVA!AK46+IVA!AL46+IVA!AM46</f>
        <v>2250175</v>
      </c>
      <c r="AT46" s="153">
        <f>IVA!AN46+IVA!AO46+IVA!AP46</f>
        <v>2345801</v>
      </c>
      <c r="AU46" s="127">
        <f>IVA!AQ46+IVA!AR46+IVA!AS46+IVA!AT46</f>
        <v>9239967</v>
      </c>
      <c r="AV46" s="128">
        <f>IVA!AQ46/IVA!CJ8</f>
        <v>7.4693439607602698E-3</v>
      </c>
      <c r="AW46" s="128">
        <f>IVA!AR46/IVA!CK8</f>
        <v>9.0769563676255886E-3</v>
      </c>
      <c r="AX46" s="128">
        <f>IVA!AS46/IVA!CL8</f>
        <v>7.8929408607362767E-3</v>
      </c>
      <c r="AY46" s="128">
        <f>IVA!AT46/IVA!CM8</f>
        <v>8.1049320770559281E-3</v>
      </c>
      <c r="AZ46" s="269">
        <f>IVA!AU46/IVA!CN8</f>
        <v>3.258982946171525E-2</v>
      </c>
      <c r="BA46" s="264">
        <v>1999</v>
      </c>
      <c r="BB46" s="306" t="s">
        <v>413</v>
      </c>
      <c r="BC46" s="307"/>
      <c r="BD46" s="307"/>
      <c r="BE46" s="307"/>
      <c r="BF46" s="308">
        <v>134281</v>
      </c>
      <c r="BG46" s="308">
        <v>107065</v>
      </c>
      <c r="BH46" s="308">
        <v>109814</v>
      </c>
      <c r="BI46" s="308">
        <v>100279</v>
      </c>
      <c r="BJ46" s="308">
        <v>105313</v>
      </c>
      <c r="BK46" s="308">
        <v>110040</v>
      </c>
      <c r="BL46" s="308">
        <v>101492</v>
      </c>
      <c r="BM46" s="308">
        <v>112727</v>
      </c>
      <c r="BN46" s="308">
        <v>110296</v>
      </c>
      <c r="BO46" s="308">
        <v>104670</v>
      </c>
      <c r="BP46" s="308">
        <v>116561</v>
      </c>
      <c r="BQ46" s="309">
        <v>115481</v>
      </c>
      <c r="BR46" s="173">
        <f>IVA!BF46+IVA!BG46+IVA!BH46</f>
        <v>351160</v>
      </c>
      <c r="BS46" s="173">
        <f>IVA!BI46+IVA!BJ46+IVA!BK46</f>
        <v>315632</v>
      </c>
      <c r="BT46" s="173">
        <f>IVA!BL46+IVA!BM46+IVA!BN46</f>
        <v>324515</v>
      </c>
      <c r="BU46" s="174">
        <f>IVA!BO46+IVA!BP46+IVA!BQ46</f>
        <v>336712</v>
      </c>
      <c r="BV46" s="135">
        <f>IVA!BR46+IVA!BS46+IVA!BT46+IVA!BU46</f>
        <v>1328019</v>
      </c>
      <c r="BW46" s="136">
        <f>IVA!BR46/IVA!CJ8</f>
        <v>1.2970090047498394E-3</v>
      </c>
      <c r="BX46" s="137">
        <f>IVA!BS46/IVA!CK8</f>
        <v>1.0927956148334512E-3</v>
      </c>
      <c r="BY46" s="136">
        <f>IVA!BT46/IVA!CL8</f>
        <v>1.1383015558442489E-3</v>
      </c>
      <c r="BZ46" s="136">
        <f>IVA!BU46/IVA!CM8</f>
        <v>1.1633671780042962E-3</v>
      </c>
      <c r="CA46" s="271">
        <f>IVA!BV46/IVA!CN8</f>
        <v>4.6839899679206234E-3</v>
      </c>
      <c r="CH46" s="13"/>
      <c r="CI46" s="231">
        <v>2012</v>
      </c>
      <c r="CJ46" s="314">
        <f>IVA!AV42+IVA!AV93+IVA!AV110+IVA!AV127+IVA!AV161+IVA!AV178+IVA!AV227+IVA!AV261+IVA!AV198</f>
        <v>2.9073360146943051E-2</v>
      </c>
      <c r="CK46" s="314">
        <f>IVA!AW42+IVA!AW93+IVA!AW110+IVA!AW127+IVA!AW161+IVA!AW178+IVA!AW227+IVA!AW261+IVA!AW198</f>
        <v>2.4911778330482946E-2</v>
      </c>
      <c r="CL46" s="314">
        <f>IVA!AX42+IVA!AX93+IVA!AX110+IVA!AX127+IVA!AX161+IVA!AX178+IVA!AX227+IVA!AX261+IVA!AX198</f>
        <v>2.9378570444444571E-2</v>
      </c>
      <c r="CM46" s="315">
        <f>IVA!AY42+IVA!AY93+IVA!AY110+IVA!AY127+IVA!AY161+IVA!AY178+IVA!AY227+IVA!AY261+IVA!AY198</f>
        <v>2.779168437027052E-2</v>
      </c>
      <c r="CN46" s="316">
        <f>IVA!AZ42+IVA!AZ93+IVA!AZ110+IVA!AZ127+IVA!AZ161+IVA!AZ178+IVA!AZ227+IVA!AZ261+IVA!AZ198</f>
        <v>0.11085281502019828</v>
      </c>
      <c r="CO46" s="63"/>
      <c r="CP46" s="63"/>
      <c r="CQ46" s="13"/>
      <c r="CS46" s="218">
        <v>1999</v>
      </c>
      <c r="CT46" s="97" t="s">
        <v>427</v>
      </c>
      <c r="CU46" s="98"/>
      <c r="CV46" s="98"/>
      <c r="CW46" s="98">
        <v>215900</v>
      </c>
      <c r="CX46" s="98"/>
      <c r="CY46" s="98"/>
      <c r="CZ46" s="98"/>
      <c r="DA46" s="98"/>
      <c r="DB46" s="98"/>
      <c r="DC46" s="98"/>
      <c r="DD46" s="98"/>
      <c r="DE46" s="98"/>
      <c r="DF46" s="98"/>
      <c r="DG46" s="98"/>
      <c r="DY46" s="220" t="s">
        <v>428</v>
      </c>
      <c r="DZ46" s="221"/>
      <c r="EA46" s="204"/>
      <c r="EB46" s="234">
        <v>19829575201</v>
      </c>
      <c r="EC46" s="234">
        <v>382000000</v>
      </c>
      <c r="ED46" s="234">
        <v>20211575201</v>
      </c>
      <c r="EE46" s="234">
        <v>19175902401.630001</v>
      </c>
      <c r="EF46" s="234">
        <v>19123449240.41</v>
      </c>
      <c r="EG46" s="235">
        <v>17727824893.990002</v>
      </c>
      <c r="EH46" s="236">
        <f>IVA!EF46-IVA!EG46</f>
        <v>1395624346.4199982</v>
      </c>
      <c r="EJ46" s="31">
        <v>1994</v>
      </c>
      <c r="EK46" s="32">
        <v>4503.3890000000001</v>
      </c>
      <c r="EL46" s="33">
        <v>3794.1289999999999</v>
      </c>
      <c r="EM46" s="120" t="s">
        <v>287</v>
      </c>
      <c r="EN46" s="34">
        <f>IVA!EO24/IVA!EK62/1000</f>
        <v>0.72916303870913146</v>
      </c>
      <c r="EO46" s="34">
        <f>IVA!EO24/IVA!EL61/1000</f>
        <v>0.86483500443376726</v>
      </c>
      <c r="ET46" s="179">
        <v>2005</v>
      </c>
      <c r="EU46" s="120" t="s">
        <v>429</v>
      </c>
      <c r="EV46" s="120" t="s">
        <v>430</v>
      </c>
      <c r="EW46" s="120" t="s">
        <v>431</v>
      </c>
      <c r="EX46" s="120" t="s">
        <v>432</v>
      </c>
    </row>
    <row r="47" spans="27:154" ht="12.75" customHeight="1">
      <c r="AA47" s="302">
        <v>2000</v>
      </c>
      <c r="AB47" s="302" t="s">
        <v>412</v>
      </c>
      <c r="AC47" s="311"/>
      <c r="AD47" s="312"/>
      <c r="AE47" s="313">
        <v>739583.27029999997</v>
      </c>
      <c r="AF47" s="313">
        <v>706749.45940000005</v>
      </c>
      <c r="AG47" s="313">
        <v>695568.65977999999</v>
      </c>
      <c r="AH47" s="313">
        <v>774009.21158</v>
      </c>
      <c r="AI47" s="313">
        <v>1189205.8137000001</v>
      </c>
      <c r="AJ47" s="313">
        <v>1361562.2225200001</v>
      </c>
      <c r="AK47" s="313">
        <v>802294.80039999995</v>
      </c>
      <c r="AL47" s="313">
        <v>900356.67940000002</v>
      </c>
      <c r="AM47" s="313">
        <v>731971.61800000002</v>
      </c>
      <c r="AN47" s="313">
        <v>860504.89610000001</v>
      </c>
      <c r="AO47" s="313">
        <v>817586.24205999996</v>
      </c>
      <c r="AP47" s="313">
        <v>875751.83126000001</v>
      </c>
      <c r="AQ47" s="153">
        <f>IVA!AE47+IVA!AF47+IVA!AG47</f>
        <v>2141901.3894799999</v>
      </c>
      <c r="AR47" s="153">
        <f>IVA!AH47+IVA!AI47+IVA!AJ47</f>
        <v>3324777.2478</v>
      </c>
      <c r="AS47" s="153">
        <f>IVA!AK47+IVA!AL47+IVA!AM47</f>
        <v>2434623.0977999996</v>
      </c>
      <c r="AT47" s="153">
        <f>IVA!AN47+IVA!AO47+IVA!AP47</f>
        <v>2553842.96942</v>
      </c>
      <c r="AU47" s="127">
        <f>IVA!AQ47+IVA!AR47+IVA!AS47+IVA!AT47</f>
        <v>10455144.704500001</v>
      </c>
      <c r="AV47" s="128">
        <f>IVA!AQ47/IVA!CJ9</f>
        <v>7.9199442009436332E-3</v>
      </c>
      <c r="AW47" s="128">
        <f>IVA!AR47/IVA!CK9</f>
        <v>1.1394183597898577E-2</v>
      </c>
      <c r="AX47" s="128">
        <f>IVA!AS47/IVA!CL9</f>
        <v>8.4683826075717707E-3</v>
      </c>
      <c r="AY47" s="128">
        <f>IVA!AT47/IVA!CM9</f>
        <v>8.8959584626632036E-3</v>
      </c>
      <c r="AZ47" s="269">
        <f>IVA!AU47/IVA!CN9</f>
        <v>3.6787498749007823E-2</v>
      </c>
      <c r="BA47" s="264">
        <v>2000</v>
      </c>
      <c r="BB47" s="306" t="s">
        <v>413</v>
      </c>
      <c r="BC47" s="307"/>
      <c r="BD47" s="307"/>
      <c r="BE47" s="307"/>
      <c r="BF47" s="308">
        <v>163504.22399</v>
      </c>
      <c r="BG47" s="308">
        <v>62444.572509999998</v>
      </c>
      <c r="BH47" s="308">
        <v>87024.048580000002</v>
      </c>
      <c r="BI47" s="308">
        <v>101531.083</v>
      </c>
      <c r="BJ47" s="308">
        <v>87514.753100000002</v>
      </c>
      <c r="BK47" s="308">
        <v>91319.933850000001</v>
      </c>
      <c r="BL47" s="308">
        <v>96655.998300000007</v>
      </c>
      <c r="BM47" s="308">
        <v>102026.72319999999</v>
      </c>
      <c r="BN47" s="308">
        <v>101818.3447</v>
      </c>
      <c r="BO47" s="308">
        <v>125395.0428</v>
      </c>
      <c r="BP47" s="308">
        <v>91412.344700000001</v>
      </c>
      <c r="BQ47" s="309">
        <v>108570.97868</v>
      </c>
      <c r="BR47" s="173">
        <f>IVA!BF47+IVA!BG47+IVA!BH47</f>
        <v>312972.84508</v>
      </c>
      <c r="BS47" s="173">
        <f>IVA!BI47+IVA!BJ47+IVA!BK47</f>
        <v>280365.76994999999</v>
      </c>
      <c r="BT47" s="173">
        <f>IVA!BL47+IVA!BM47+IVA!BN47</f>
        <v>300501.0662</v>
      </c>
      <c r="BU47" s="174">
        <f>IVA!BO47+IVA!BP47+IVA!BQ47</f>
        <v>325378.36618000001</v>
      </c>
      <c r="BV47" s="135">
        <f>IVA!BR47+IVA!BS47+IVA!BT47+IVA!BU47</f>
        <v>1219218.0474100001</v>
      </c>
      <c r="BW47" s="136">
        <f>IVA!BR47/IVA!CJ9</f>
        <v>1.1572556428687639E-3</v>
      </c>
      <c r="BX47" s="137">
        <f>IVA!BS47/IVA!CK9</f>
        <v>9.6082799516578651E-4</v>
      </c>
      <c r="BY47" s="136">
        <f>IVA!BT47/IVA!CL9</f>
        <v>1.0452369423687696E-3</v>
      </c>
      <c r="BZ47" s="136">
        <f>IVA!BU47/IVA!CM9</f>
        <v>1.1334104973744238E-3</v>
      </c>
      <c r="CA47" s="271">
        <f>IVA!BV47/IVA!CN9</f>
        <v>4.2899437225922266E-3</v>
      </c>
      <c r="CH47" s="13"/>
      <c r="CI47" s="237"/>
      <c r="CJ47" s="26"/>
      <c r="CK47" s="26"/>
      <c r="CL47" s="26"/>
      <c r="CM47" s="26"/>
      <c r="CN47" s="26"/>
      <c r="CO47" s="26"/>
      <c r="CP47" s="26"/>
      <c r="CQ47" s="27"/>
      <c r="CS47" s="218"/>
      <c r="CT47" s="97" t="s">
        <v>180</v>
      </c>
      <c r="CU47" s="98"/>
      <c r="CV47" s="98"/>
      <c r="CW47" s="98"/>
      <c r="CX47" s="98"/>
      <c r="CY47" s="289">
        <v>13315200</v>
      </c>
      <c r="CZ47" s="98"/>
      <c r="DA47" s="98"/>
      <c r="DB47" s="98"/>
      <c r="DC47" s="98"/>
      <c r="DD47" s="98"/>
      <c r="DE47" s="98"/>
      <c r="DF47" s="98"/>
      <c r="DG47" s="98"/>
      <c r="DY47" s="317" t="s">
        <v>433</v>
      </c>
      <c r="DZ47" s="45"/>
      <c r="EA47" s="208">
        <v>2001</v>
      </c>
      <c r="EB47" s="225">
        <v>20077057886</v>
      </c>
      <c r="EC47" s="225">
        <v>-302699649</v>
      </c>
      <c r="ED47" s="225">
        <v>19774358237</v>
      </c>
      <c r="EE47" s="225">
        <v>18409613646.450001</v>
      </c>
      <c r="EF47" s="225">
        <v>18230243128.669998</v>
      </c>
      <c r="EG47" s="226">
        <v>16892623716.700001</v>
      </c>
      <c r="EH47" s="227">
        <f>IVA!EF47-IVA!EG47</f>
        <v>1337619411.9699974</v>
      </c>
      <c r="EJ47" s="31">
        <v>1995</v>
      </c>
      <c r="EK47" s="32">
        <v>4586.2550000000001</v>
      </c>
      <c r="EL47" s="33">
        <v>3874.6590000000001</v>
      </c>
      <c r="EM47" s="120" t="s">
        <v>304</v>
      </c>
      <c r="EN47" s="34">
        <f>IVA!EO25/IVA!EK63/1000</f>
        <v>0.72970150193680861</v>
      </c>
      <c r="EO47" s="34">
        <f>IVA!EO25/IVA!EL62/1000</f>
        <v>0.86913865622034181</v>
      </c>
      <c r="ET47" s="179">
        <v>2006</v>
      </c>
      <c r="EU47" s="120" t="s">
        <v>434</v>
      </c>
      <c r="EV47" s="120" t="s">
        <v>419</v>
      </c>
      <c r="EW47" s="120" t="s">
        <v>435</v>
      </c>
      <c r="EX47" s="120" t="s">
        <v>436</v>
      </c>
    </row>
    <row r="48" spans="27:154" ht="12.75" customHeight="1">
      <c r="AA48" s="302">
        <v>2001</v>
      </c>
      <c r="AB48" s="302" t="s">
        <v>412</v>
      </c>
      <c r="AC48" s="311"/>
      <c r="AD48" s="312"/>
      <c r="AE48" s="313">
        <v>806447.95203000004</v>
      </c>
      <c r="AF48" s="313">
        <v>759166.39827000001</v>
      </c>
      <c r="AG48" s="313">
        <v>734990.63902</v>
      </c>
      <c r="AH48" s="313">
        <v>617830.77983000001</v>
      </c>
      <c r="AI48" s="313">
        <v>1548845.3438500001</v>
      </c>
      <c r="AJ48" s="313">
        <v>1314514.89442</v>
      </c>
      <c r="AK48" s="313">
        <v>747352.35664000001</v>
      </c>
      <c r="AL48" s="313">
        <v>784997.52393999998</v>
      </c>
      <c r="AM48" s="313">
        <v>690082.25167000003</v>
      </c>
      <c r="AN48" s="313">
        <v>727619.44080999994</v>
      </c>
      <c r="AO48" s="313">
        <v>718576.73326000001</v>
      </c>
      <c r="AP48" s="313">
        <v>640855.40257000003</v>
      </c>
      <c r="AQ48" s="153">
        <f>IVA!AE48+IVA!AF48+IVA!AG48</f>
        <v>2300604.9893200002</v>
      </c>
      <c r="AR48" s="153">
        <f>IVA!AH48+IVA!AI48+IVA!AJ48</f>
        <v>3481191.0181</v>
      </c>
      <c r="AS48" s="153">
        <f>IVA!AK48+IVA!AL48+IVA!AM48</f>
        <v>2222432.1322500003</v>
      </c>
      <c r="AT48" s="153">
        <f>IVA!AN48+IVA!AO48+IVA!AP48</f>
        <v>2087051.5766400001</v>
      </c>
      <c r="AU48" s="127">
        <f>IVA!AQ48+IVA!AR48+IVA!AS48+IVA!AT48</f>
        <v>10091279.71631</v>
      </c>
      <c r="AV48" s="128">
        <f>IVA!AQ48/IVA!CJ10</f>
        <v>8.73655205547391E-3</v>
      </c>
      <c r="AW48" s="128">
        <f>IVA!AR48/IVA!CK10</f>
        <v>1.2086374524676207E-2</v>
      </c>
      <c r="AX48" s="128">
        <f>IVA!AS48/IVA!CL10</f>
        <v>8.1897587855749455E-3</v>
      </c>
      <c r="AY48" s="128">
        <f>IVA!AT48/IVA!CM10</f>
        <v>8.2798825597213879E-3</v>
      </c>
      <c r="AZ48" s="269">
        <f>IVA!AU48/IVA!CN10</f>
        <v>3.755639494093467E-2</v>
      </c>
      <c r="BA48" s="264">
        <v>2001</v>
      </c>
      <c r="BB48" s="306" t="s">
        <v>413</v>
      </c>
      <c r="BC48" s="307"/>
      <c r="BD48" s="307"/>
      <c r="BE48" s="307"/>
      <c r="BF48" s="308">
        <v>130658.61902</v>
      </c>
      <c r="BG48" s="308">
        <v>156805.24071000001</v>
      </c>
      <c r="BH48" s="308">
        <v>88872.272970000005</v>
      </c>
      <c r="BI48" s="308">
        <v>92901.701509999999</v>
      </c>
      <c r="BJ48" s="308">
        <v>106078.00004</v>
      </c>
      <c r="BK48" s="308">
        <v>246230.30392000001</v>
      </c>
      <c r="BL48" s="308">
        <v>68864.028890000001</v>
      </c>
      <c r="BM48" s="308">
        <v>89017.12401</v>
      </c>
      <c r="BN48" s="308">
        <v>92370.617970000007</v>
      </c>
      <c r="BO48" s="308">
        <v>82035.948069999999</v>
      </c>
      <c r="BP48" s="308">
        <v>92747.319879999995</v>
      </c>
      <c r="BQ48" s="309">
        <v>89162.75722</v>
      </c>
      <c r="BR48" s="173">
        <f>IVA!BF48+IVA!BG48+IVA!BH48</f>
        <v>376336.13270000002</v>
      </c>
      <c r="BS48" s="173">
        <f>IVA!BI48+IVA!BJ48+IVA!BK48</f>
        <v>445210.00546999997</v>
      </c>
      <c r="BT48" s="173">
        <f>IVA!BL48+IVA!BM48+IVA!BN48</f>
        <v>250251.77087000001</v>
      </c>
      <c r="BU48" s="174">
        <f>IVA!BO48+IVA!BP48+IVA!BQ48</f>
        <v>263946.02517000004</v>
      </c>
      <c r="BV48" s="135">
        <f>IVA!BR48+IVA!BS48+IVA!BT48+IVA!BU48</f>
        <v>1335743.9342099999</v>
      </c>
      <c r="BW48" s="136">
        <f>IVA!BR48/IVA!CJ10</f>
        <v>1.4291372177981324E-3</v>
      </c>
      <c r="BX48" s="137">
        <f>IVA!BS48/IVA!CK10</f>
        <v>1.5457281258815971E-3</v>
      </c>
      <c r="BY48" s="136">
        <f>IVA!BT48/IVA!CL10</f>
        <v>9.2218862810147816E-4</v>
      </c>
      <c r="BZ48" s="136">
        <f>IVA!BU48/IVA!CM10</f>
        <v>1.0471433073212628E-3</v>
      </c>
      <c r="CA48" s="271">
        <f>IVA!BV48/IVA!CN10</f>
        <v>4.9711957396313582E-3</v>
      </c>
      <c r="CH48" s="13"/>
      <c r="CI48" s="237"/>
      <c r="CJ48" s="26"/>
      <c r="CK48" s="26"/>
      <c r="CL48" s="26"/>
      <c r="CM48" s="26"/>
      <c r="CN48" s="26"/>
      <c r="CO48" s="26"/>
      <c r="CP48" s="26"/>
      <c r="CQ48" s="27"/>
      <c r="CS48" s="218"/>
      <c r="CT48" s="97" t="s">
        <v>190</v>
      </c>
      <c r="CU48" s="98"/>
      <c r="CV48" s="98"/>
      <c r="CW48" s="98"/>
      <c r="CX48" s="98"/>
      <c r="CY48" s="98"/>
      <c r="CZ48" s="98"/>
      <c r="DA48" s="98"/>
      <c r="DB48" s="98"/>
      <c r="DC48" s="98"/>
      <c r="DD48" s="98"/>
      <c r="DE48" s="98"/>
      <c r="DF48" s="98"/>
      <c r="DG48" s="98"/>
      <c r="DY48" s="213" t="s">
        <v>437</v>
      </c>
      <c r="EA48" s="177"/>
      <c r="EB48" s="228">
        <v>274035636</v>
      </c>
      <c r="EC48" s="228">
        <v>-24741950</v>
      </c>
      <c r="ED48" s="228">
        <v>249293686</v>
      </c>
      <c r="EE48" s="228">
        <v>235933754.06</v>
      </c>
      <c r="EF48" s="228">
        <v>217793617.13999999</v>
      </c>
      <c r="EG48" s="229">
        <v>212602051.44</v>
      </c>
      <c r="EH48" s="230">
        <f>IVA!EF48-IVA!EG48</f>
        <v>5191565.6999999881</v>
      </c>
      <c r="EJ48" s="31">
        <v>1996</v>
      </c>
      <c r="EK48" s="32">
        <v>4699.2259999999997</v>
      </c>
      <c r="EL48" s="33">
        <v>3987.2890000000002</v>
      </c>
      <c r="EM48" s="120" t="s">
        <v>321</v>
      </c>
      <c r="EN48" s="34">
        <f>IVA!EO26/IVA!EK64/1000</f>
        <v>0.71746987437402432</v>
      </c>
      <c r="EO48" s="34">
        <f>IVA!EO26/IVA!EL63/1000</f>
        <v>0.8541989758892945</v>
      </c>
      <c r="ET48" s="179">
        <v>2007</v>
      </c>
      <c r="EU48" s="120" t="s">
        <v>438</v>
      </c>
      <c r="EV48" s="120" t="s">
        <v>439</v>
      </c>
      <c r="EW48" s="120" t="s">
        <v>435</v>
      </c>
      <c r="EX48" s="120" t="s">
        <v>386</v>
      </c>
    </row>
    <row r="49" spans="27:156" ht="12.75" customHeight="1">
      <c r="AA49" s="302">
        <v>2002</v>
      </c>
      <c r="AB49" s="302" t="s">
        <v>412</v>
      </c>
      <c r="AC49" s="311"/>
      <c r="AD49" s="312"/>
      <c r="AE49" s="313">
        <v>622668.73748000001</v>
      </c>
      <c r="AF49" s="313">
        <v>468729.1704</v>
      </c>
      <c r="AG49" s="313">
        <v>480320.29976000002</v>
      </c>
      <c r="AH49" s="313">
        <v>433019.70861999999</v>
      </c>
      <c r="AI49" s="313">
        <v>893093.73074000003</v>
      </c>
      <c r="AJ49" s="313">
        <v>832777.32165000006</v>
      </c>
      <c r="AK49" s="313">
        <v>763806.31146</v>
      </c>
      <c r="AL49" s="313">
        <v>844141.01431999996</v>
      </c>
      <c r="AM49" s="313">
        <v>683151.08198000002</v>
      </c>
      <c r="AN49" s="313">
        <v>848817.59577999997</v>
      </c>
      <c r="AO49" s="313">
        <v>1110582.3939799999</v>
      </c>
      <c r="AP49" s="313">
        <v>938231.47496999998</v>
      </c>
      <c r="AQ49" s="153">
        <f>IVA!AE49+IVA!AF49+IVA!AG49</f>
        <v>1571718.2076400002</v>
      </c>
      <c r="AR49" s="153">
        <f>IVA!AH49+IVA!AI49+IVA!AJ49</f>
        <v>2158890.76101</v>
      </c>
      <c r="AS49" s="153">
        <f>IVA!AK49+IVA!AL49+IVA!AM49</f>
        <v>2291098.4077599999</v>
      </c>
      <c r="AT49" s="153">
        <f>IVA!AN49+IVA!AO49+IVA!AP49</f>
        <v>2897631.4647299997</v>
      </c>
      <c r="AU49" s="127">
        <f>IVA!AQ49+IVA!AR49+IVA!AS49+IVA!AT49</f>
        <v>8919338.8411400001</v>
      </c>
      <c r="AV49" s="128">
        <f>IVA!AQ49/IVA!CJ11</f>
        <v>6.6301278074049706E-3</v>
      </c>
      <c r="AW49" s="128">
        <f>IVA!AR49/IVA!CK11</f>
        <v>6.3682552525694859E-3</v>
      </c>
      <c r="AX49" s="128">
        <f>IVA!AS49/IVA!CL11</f>
        <v>6.8594481065106672E-3</v>
      </c>
      <c r="AY49" s="128">
        <f>IVA!AT49/IVA!CM11</f>
        <v>8.5161980260750197E-3</v>
      </c>
      <c r="AZ49" s="269">
        <f>IVA!AU49/IVA!CN11</f>
        <v>2.8534566306695305E-2</v>
      </c>
      <c r="BA49" s="264">
        <v>2002</v>
      </c>
      <c r="BB49" s="306" t="s">
        <v>413</v>
      </c>
      <c r="BC49" s="307"/>
      <c r="BD49" s="307"/>
      <c r="BE49" s="307"/>
      <c r="BF49" s="308">
        <v>119033.3512</v>
      </c>
      <c r="BG49" s="308">
        <v>103372.17512</v>
      </c>
      <c r="BH49" s="308">
        <v>106475.50453999999</v>
      </c>
      <c r="BI49" s="308">
        <v>82252.234030000007</v>
      </c>
      <c r="BJ49" s="308">
        <v>144816.99171999999</v>
      </c>
      <c r="BK49" s="308">
        <v>112315.69464</v>
      </c>
      <c r="BL49" s="308">
        <v>116790.74341</v>
      </c>
      <c r="BM49" s="308">
        <v>114356.92349</v>
      </c>
      <c r="BN49" s="308">
        <v>131945.62447000001</v>
      </c>
      <c r="BO49" s="308">
        <v>119812.82189000001</v>
      </c>
      <c r="BP49" s="308">
        <v>132254.79803999999</v>
      </c>
      <c r="BQ49" s="309">
        <v>143157.37091</v>
      </c>
      <c r="BR49" s="173">
        <f>IVA!BF49+IVA!BG49+IVA!BH49</f>
        <v>328881.03086</v>
      </c>
      <c r="BS49" s="173">
        <f>IVA!BI49+IVA!BJ49+IVA!BK49</f>
        <v>339384.92038999998</v>
      </c>
      <c r="BT49" s="173">
        <f>IVA!BL49+IVA!BM49+IVA!BN49</f>
        <v>363093.29136999999</v>
      </c>
      <c r="BU49" s="174">
        <f>IVA!BO49+IVA!BP49+IVA!BQ49</f>
        <v>395224.99083999998</v>
      </c>
      <c r="BV49" s="135">
        <f>IVA!BR49+IVA!BS49+IVA!BT49+IVA!BU49</f>
        <v>1426584.2334599998</v>
      </c>
      <c r="BW49" s="136">
        <f>IVA!BR49/IVA!CJ11</f>
        <v>1.387350008057134E-3</v>
      </c>
      <c r="BX49" s="137">
        <f>IVA!BS49/IVA!CK11</f>
        <v>1.0011112377475606E-3</v>
      </c>
      <c r="BY49" s="136">
        <f>IVA!BT49/IVA!CL11</f>
        <v>1.0870853829494577E-3</v>
      </c>
      <c r="BZ49" s="136">
        <f>IVA!BU49/IVA!CM11</f>
        <v>1.1615743160632579E-3</v>
      </c>
      <c r="CA49" s="271">
        <f>IVA!BV49/IVA!CN11</f>
        <v>4.5638990879000646E-3</v>
      </c>
      <c r="CH49" s="13"/>
      <c r="CI49" s="25" t="s">
        <v>440</v>
      </c>
      <c r="CJ49" s="26"/>
      <c r="CK49" s="26"/>
      <c r="CL49" s="26"/>
      <c r="CM49" s="26"/>
      <c r="CN49" s="26"/>
      <c r="CO49" s="26"/>
      <c r="CP49" s="26"/>
      <c r="CQ49" s="27"/>
      <c r="CS49" s="218"/>
      <c r="CT49" s="97" t="s">
        <v>200</v>
      </c>
      <c r="CU49" s="98"/>
      <c r="CV49" s="98"/>
      <c r="CW49" s="98"/>
      <c r="CX49" s="98"/>
      <c r="CY49" s="98"/>
      <c r="CZ49" s="98"/>
      <c r="DA49" s="98">
        <v>303300</v>
      </c>
      <c r="DB49" s="98"/>
      <c r="DC49" s="98"/>
      <c r="DD49" s="98"/>
      <c r="DE49" s="98"/>
      <c r="DF49" s="98"/>
      <c r="DG49" s="98"/>
      <c r="DY49" s="213" t="s">
        <v>441</v>
      </c>
      <c r="EA49" s="193"/>
      <c r="EB49" s="228">
        <v>11205450</v>
      </c>
      <c r="EC49" s="228">
        <v>-1471765</v>
      </c>
      <c r="ED49" s="228">
        <v>9733685</v>
      </c>
      <c r="EE49" s="228">
        <v>9521730.3399999999</v>
      </c>
      <c r="EF49" s="228">
        <v>8911535.3100000005</v>
      </c>
      <c r="EG49" s="229">
        <v>8045914.8600000003</v>
      </c>
      <c r="EH49" s="230">
        <f>IVA!EF49-IVA!EG49</f>
        <v>865620.45000000019</v>
      </c>
      <c r="EJ49" s="31">
        <v>1997</v>
      </c>
      <c r="EK49" s="32">
        <v>4802.8069999999998</v>
      </c>
      <c r="EL49" s="33">
        <v>4089.6309999999999</v>
      </c>
      <c r="EM49" s="120" t="s">
        <v>336</v>
      </c>
      <c r="EN49" s="34">
        <f>IVA!EO27/IVA!EK65/1000</f>
        <v>0.70382937985644201</v>
      </c>
      <c r="EO49" s="34">
        <f>IVA!EO27/IVA!EL64/1000</f>
        <v>0.8375385902573238</v>
      </c>
      <c r="ET49" s="179">
        <v>2008</v>
      </c>
      <c r="EU49" s="120" t="s">
        <v>442</v>
      </c>
      <c r="EV49" s="120" t="s">
        <v>443</v>
      </c>
      <c r="EW49" s="120" t="s">
        <v>425</v>
      </c>
      <c r="EX49" s="120" t="s">
        <v>444</v>
      </c>
    </row>
    <row r="50" spans="27:156" ht="12.75" customHeight="1">
      <c r="AA50" s="302">
        <v>2003</v>
      </c>
      <c r="AB50" s="302" t="s">
        <v>412</v>
      </c>
      <c r="AC50" s="311"/>
      <c r="AD50" s="312"/>
      <c r="AE50" s="313">
        <v>1095161.73649</v>
      </c>
      <c r="AF50" s="313">
        <v>803360.94842999999</v>
      </c>
      <c r="AG50" s="313">
        <v>783281.62337000004</v>
      </c>
      <c r="AH50" s="313">
        <v>961498.61043</v>
      </c>
      <c r="AI50" s="313">
        <v>2163978.2821900002</v>
      </c>
      <c r="AJ50" s="313">
        <v>1647392.0090699999</v>
      </c>
      <c r="AK50" s="313">
        <v>1183915.64157</v>
      </c>
      <c r="AL50" s="313">
        <v>1310293.3478999999</v>
      </c>
      <c r="AM50" s="313">
        <v>1018647.50485</v>
      </c>
      <c r="AN50" s="313">
        <v>1094194.89194</v>
      </c>
      <c r="AO50" s="313">
        <v>1377578.3840399999</v>
      </c>
      <c r="AP50" s="313">
        <v>1311433.6403699999</v>
      </c>
      <c r="AQ50" s="153">
        <f>IVA!AE50+IVA!AF50+IVA!AG50</f>
        <v>2681804.3082900001</v>
      </c>
      <c r="AR50" s="153">
        <f>IVA!AH50+IVA!AI50+IVA!AJ50</f>
        <v>4772868.9016899997</v>
      </c>
      <c r="AS50" s="153">
        <f>IVA!AK50+IVA!AL50+IVA!AM50</f>
        <v>3512856.4943200001</v>
      </c>
      <c r="AT50" s="153">
        <f>IVA!AN50+IVA!AO50+IVA!AP50</f>
        <v>3783206.9163499996</v>
      </c>
      <c r="AU50" s="127">
        <f>IVA!AQ50+IVA!AR50+IVA!AS50+IVA!AT50</f>
        <v>14750736.620649999</v>
      </c>
      <c r="AV50" s="128">
        <f>IVA!AQ50/IVA!CJ12</f>
        <v>8.1921674118865355E-3</v>
      </c>
      <c r="AW50" s="128">
        <f>IVA!AR50/IVA!CK12</f>
        <v>1.1958515767825712E-2</v>
      </c>
      <c r="AX50" s="128">
        <f>IVA!AS50/IVA!CL12</f>
        <v>9.2960441533725905E-3</v>
      </c>
      <c r="AY50" s="128">
        <f>IVA!AT50/IVA!CM12</f>
        <v>9.4753192470849977E-3</v>
      </c>
      <c r="AZ50" s="269">
        <f>IVA!AU50/IVA!CN12</f>
        <v>3.9240141734819517E-2</v>
      </c>
      <c r="BA50" s="264">
        <v>2003</v>
      </c>
      <c r="BB50" s="306" t="s">
        <v>413</v>
      </c>
      <c r="BC50" s="307"/>
      <c r="BD50" s="307"/>
      <c r="BE50" s="307"/>
      <c r="BF50" s="308">
        <v>144051.69583000001</v>
      </c>
      <c r="BG50" s="308">
        <v>121690.86253</v>
      </c>
      <c r="BH50" s="308">
        <v>135576.9767</v>
      </c>
      <c r="BI50" s="308">
        <v>131815.81669000001</v>
      </c>
      <c r="BJ50" s="308">
        <v>125726.94497</v>
      </c>
      <c r="BK50" s="308">
        <v>135713.89045000001</v>
      </c>
      <c r="BL50" s="308">
        <v>132151.83481</v>
      </c>
      <c r="BM50" s="308">
        <v>164046.71856000001</v>
      </c>
      <c r="BN50" s="308">
        <v>161193.34125</v>
      </c>
      <c r="BO50" s="308">
        <v>155718.42283</v>
      </c>
      <c r="BP50" s="308">
        <v>172905.86535000001</v>
      </c>
      <c r="BQ50" s="309">
        <v>189556.94252000001</v>
      </c>
      <c r="BR50" s="173">
        <f>IVA!BF50+IVA!BG50+IVA!BH50</f>
        <v>401319.53506000002</v>
      </c>
      <c r="BS50" s="173">
        <f>IVA!BI50+IVA!BJ50+IVA!BK50</f>
        <v>393256.65211000002</v>
      </c>
      <c r="BT50" s="173">
        <f>IVA!BL50+IVA!BM50+IVA!BN50</f>
        <v>457391.89461999998</v>
      </c>
      <c r="BU50" s="174">
        <f>IVA!BO50+IVA!BP50+IVA!BQ50</f>
        <v>518181.23070000007</v>
      </c>
      <c r="BV50" s="135">
        <f>IVA!BR50+IVA!BS50+IVA!BT50+IVA!BU50</f>
        <v>1770149.3124899999</v>
      </c>
      <c r="BW50" s="136">
        <f>IVA!BR50/IVA!CJ12</f>
        <v>1.2259197312455325E-3</v>
      </c>
      <c r="BX50" s="137">
        <f>IVA!BS50/IVA!CK12</f>
        <v>9.8531218265697777E-4</v>
      </c>
      <c r="BY50" s="136">
        <f>IVA!BT50/IVA!CL12</f>
        <v>1.2103925266111189E-3</v>
      </c>
      <c r="BZ50" s="136">
        <f>IVA!BU50/IVA!CM12</f>
        <v>1.2978229045602814E-3</v>
      </c>
      <c r="CA50" s="271">
        <f>IVA!BV50/IVA!CN12</f>
        <v>4.7089790632327136E-3</v>
      </c>
      <c r="CH50" s="13"/>
      <c r="CI50" s="237"/>
      <c r="CJ50" s="26"/>
      <c r="CK50" s="26"/>
      <c r="CL50" s="26"/>
      <c r="CM50" s="26"/>
      <c r="CN50" s="26"/>
      <c r="CO50" s="26"/>
      <c r="CP50" s="26"/>
      <c r="CQ50" s="27"/>
      <c r="CS50" s="218"/>
      <c r="CT50" s="97" t="s">
        <v>215</v>
      </c>
      <c r="CU50" s="98"/>
      <c r="CV50" s="98"/>
      <c r="CW50" s="98"/>
      <c r="CX50" s="98"/>
      <c r="CY50" s="98"/>
      <c r="CZ50" s="98"/>
      <c r="DA50" s="289">
        <f>1.127*1713.7*1000</f>
        <v>1931339.9</v>
      </c>
      <c r="DB50" s="98"/>
      <c r="DC50" s="98"/>
      <c r="DD50" s="98"/>
      <c r="DE50" s="98"/>
      <c r="DF50" s="98"/>
      <c r="DG50" s="98"/>
      <c r="DY50" s="220" t="s">
        <v>445</v>
      </c>
      <c r="DZ50" s="221"/>
      <c r="EA50" s="204"/>
      <c r="EB50" s="234">
        <v>19791816800</v>
      </c>
      <c r="EC50" s="234">
        <v>-276485934</v>
      </c>
      <c r="ED50" s="234">
        <v>19515330866</v>
      </c>
      <c r="EE50" s="234">
        <v>18164158162.049999</v>
      </c>
      <c r="EF50" s="234">
        <v>18003537976.220001</v>
      </c>
      <c r="EG50" s="235">
        <v>16671975750.4</v>
      </c>
      <c r="EH50" s="236">
        <f>IVA!EF50-IVA!EG50</f>
        <v>1331562225.8200016</v>
      </c>
      <c r="EJ50" s="31">
        <v>1998</v>
      </c>
      <c r="EK50" s="32">
        <v>4897.4679999999998</v>
      </c>
      <c r="EL50" s="33">
        <v>4181.93</v>
      </c>
      <c r="EN50" s="34"/>
      <c r="EQ50" s="171"/>
      <c r="ET50" s="179">
        <v>2009</v>
      </c>
      <c r="EU50" s="120" t="s">
        <v>446</v>
      </c>
      <c r="EV50" s="120" t="s">
        <v>447</v>
      </c>
      <c r="EW50" s="120" t="s">
        <v>435</v>
      </c>
      <c r="EX50" s="120" t="s">
        <v>448</v>
      </c>
    </row>
    <row r="51" spans="27:156" ht="12.75" customHeight="1">
      <c r="AA51" s="302">
        <v>2004</v>
      </c>
      <c r="AB51" s="302" t="s">
        <v>412</v>
      </c>
      <c r="AC51" s="311"/>
      <c r="AD51" s="312"/>
      <c r="AE51" s="313">
        <v>1281229.2429800001</v>
      </c>
      <c r="AF51" s="313">
        <v>1058752.5525799999</v>
      </c>
      <c r="AG51" s="313">
        <v>1039242.98539</v>
      </c>
      <c r="AH51" s="313">
        <v>1175565.1814600001</v>
      </c>
      <c r="AI51" s="313">
        <v>5432477.7347600004</v>
      </c>
      <c r="AJ51" s="313">
        <v>2912930.4957499998</v>
      </c>
      <c r="AK51" s="313">
        <v>1638761.1509100001</v>
      </c>
      <c r="AL51" s="313">
        <v>1737786.72499</v>
      </c>
      <c r="AM51" s="313">
        <v>1499712.5959099999</v>
      </c>
      <c r="AN51" s="313">
        <v>1692371.22291</v>
      </c>
      <c r="AO51" s="313">
        <v>1736125.0075000001</v>
      </c>
      <c r="AP51" s="313">
        <v>1084139.20636</v>
      </c>
      <c r="AQ51" s="153">
        <f>IVA!AE51+IVA!AF51+IVA!AG51</f>
        <v>3379224.78095</v>
      </c>
      <c r="AR51" s="153">
        <f>IVA!AH51+IVA!AI51+IVA!AJ51</f>
        <v>9520973.4119700007</v>
      </c>
      <c r="AS51" s="153">
        <f>IVA!AK51+IVA!AL51+IVA!AM51</f>
        <v>4876260.47181</v>
      </c>
      <c r="AT51" s="153">
        <f>IVA!AN51+IVA!AO51+IVA!AP51</f>
        <v>4512635.4367700005</v>
      </c>
      <c r="AU51" s="127">
        <f>IVA!AQ51+IVA!AR51+IVA!AS51+IVA!AT51</f>
        <v>22289094.101500001</v>
      </c>
      <c r="AV51" s="128">
        <f>IVA!AQ51/IVA!CJ13</f>
        <v>8.6025421021748046E-3</v>
      </c>
      <c r="AW51" s="128">
        <f>IVA!AR51/IVA!CK13</f>
        <v>2.0077416276037072E-2</v>
      </c>
      <c r="AX51" s="128">
        <f>IVA!AS51/IVA!CL13</f>
        <v>1.0786285829319387E-2</v>
      </c>
      <c r="AY51" s="128">
        <f>IVA!AT51/IVA!CM13</f>
        <v>9.5715472404285535E-3</v>
      </c>
      <c r="AZ51" s="269">
        <f>IVA!AU51/IVA!CN13</f>
        <v>4.9792072941854129E-2</v>
      </c>
      <c r="BA51" s="264">
        <v>2004</v>
      </c>
      <c r="BB51" s="306" t="s">
        <v>413</v>
      </c>
      <c r="BC51" s="307"/>
      <c r="BD51" s="307"/>
      <c r="BE51" s="307"/>
      <c r="BF51" s="308">
        <v>191112.71687999999</v>
      </c>
      <c r="BG51" s="308">
        <v>173975.67598999999</v>
      </c>
      <c r="BH51" s="308">
        <v>196418.76811999999</v>
      </c>
      <c r="BI51" s="308">
        <v>141412.31207000001</v>
      </c>
      <c r="BJ51" s="308">
        <v>184503.99257999999</v>
      </c>
      <c r="BK51" s="308">
        <v>177035.52626000001</v>
      </c>
      <c r="BL51" s="308">
        <v>171589.16787999999</v>
      </c>
      <c r="BM51" s="308">
        <v>198569.03083</v>
      </c>
      <c r="BN51" s="308">
        <v>192930.04871</v>
      </c>
      <c r="BO51" s="308">
        <v>200917.60832999999</v>
      </c>
      <c r="BP51" s="308">
        <v>215511.79022</v>
      </c>
      <c r="BQ51" s="309">
        <v>252668.89030999999</v>
      </c>
      <c r="BR51" s="173">
        <f>IVA!BF51+IVA!BG51+IVA!BH51</f>
        <v>561507.16099</v>
      </c>
      <c r="BS51" s="173">
        <f>IVA!BI51+IVA!BJ51+IVA!BK51</f>
        <v>502951.83091000002</v>
      </c>
      <c r="BT51" s="173">
        <f>IVA!BL51+IVA!BM51+IVA!BN51</f>
        <v>563088.24742000003</v>
      </c>
      <c r="BU51" s="174">
        <f>IVA!BO51+IVA!BP51+IVA!BQ51</f>
        <v>669098.28885999997</v>
      </c>
      <c r="BV51" s="135">
        <f>IVA!BR51+IVA!BS51+IVA!BT51+IVA!BU51</f>
        <v>2296645.5281800004</v>
      </c>
      <c r="BW51" s="136">
        <f>IVA!BR51/IVA!CJ13</f>
        <v>1.4294370177207198E-3</v>
      </c>
      <c r="BX51" s="137">
        <f>IVA!BS51/IVA!CK13</f>
        <v>1.060603032803312E-3</v>
      </c>
      <c r="BY51" s="136">
        <f>IVA!BT51/IVA!CL13</f>
        <v>1.2455509337359471E-3</v>
      </c>
      <c r="BZ51" s="136">
        <f>IVA!BU51/IVA!CM13</f>
        <v>1.4191941649284649E-3</v>
      </c>
      <c r="CA51" s="271">
        <f>IVA!BV51/IVA!CN13</f>
        <v>5.1305244232885128E-3</v>
      </c>
      <c r="CH51" s="13"/>
      <c r="CI51" s="237"/>
      <c r="CJ51" s="26"/>
      <c r="CK51" s="26"/>
      <c r="CL51" s="26"/>
      <c r="CM51" s="26"/>
      <c r="CN51" s="26"/>
      <c r="CO51" s="26"/>
      <c r="CP51" s="26"/>
      <c r="CQ51" s="27"/>
      <c r="CS51" s="218"/>
      <c r="CT51" s="97" t="s">
        <v>232</v>
      </c>
      <c r="CU51" s="98"/>
      <c r="CV51" s="98"/>
      <c r="CW51" s="98"/>
      <c r="CX51" s="98"/>
      <c r="CY51" s="98">
        <v>1979900</v>
      </c>
      <c r="CZ51" s="98"/>
      <c r="DA51" s="98"/>
      <c r="DB51" s="98"/>
      <c r="DC51" s="98"/>
      <c r="DD51" s="98"/>
      <c r="DE51" s="98"/>
      <c r="DF51" s="98"/>
      <c r="DG51" s="98"/>
      <c r="DY51" s="317" t="s">
        <v>433</v>
      </c>
      <c r="DZ51" s="45"/>
      <c r="EA51" s="208">
        <v>2002</v>
      </c>
      <c r="EB51" s="225">
        <v>21011911059</v>
      </c>
      <c r="EC51" s="225">
        <v>1529787344</v>
      </c>
      <c r="ED51" s="225">
        <v>22541698403</v>
      </c>
      <c r="EE51" s="225">
        <v>20686674979.25</v>
      </c>
      <c r="EF51" s="225">
        <v>20684832793.34</v>
      </c>
      <c r="EG51" s="226">
        <v>19087003916.57</v>
      </c>
      <c r="EH51" s="227">
        <f>IVA!EF51-IVA!EG51</f>
        <v>1597828876.7700005</v>
      </c>
      <c r="EJ51" s="31">
        <v>1999</v>
      </c>
      <c r="EK51" s="32">
        <v>4985.0479999999998</v>
      </c>
      <c r="EL51" s="33">
        <v>4265.5150000000003</v>
      </c>
      <c r="ET51" s="179">
        <v>2010</v>
      </c>
      <c r="EU51" s="120" t="s">
        <v>449</v>
      </c>
      <c r="EV51" s="120" t="s">
        <v>450</v>
      </c>
      <c r="EW51" s="120" t="s">
        <v>425</v>
      </c>
      <c r="EX51" s="120" t="s">
        <v>451</v>
      </c>
    </row>
    <row r="52" spans="27:156" ht="12.75" customHeight="1">
      <c r="AA52" s="302">
        <v>2005</v>
      </c>
      <c r="AB52" s="302" t="s">
        <v>412</v>
      </c>
      <c r="AC52" s="311"/>
      <c r="AD52" s="312"/>
      <c r="AE52" s="313">
        <v>1728462.2193400001</v>
      </c>
      <c r="AF52" s="313">
        <v>1855683.24049</v>
      </c>
      <c r="AG52" s="313">
        <v>1732771.7417299999</v>
      </c>
      <c r="AH52" s="313">
        <v>1956221.44784</v>
      </c>
      <c r="AI52" s="313">
        <v>3709076.9629899999</v>
      </c>
      <c r="AJ52" s="313">
        <v>3605110.45414</v>
      </c>
      <c r="AK52" s="313">
        <v>2081227.3802400001</v>
      </c>
      <c r="AL52" s="313">
        <v>2193756.4960699999</v>
      </c>
      <c r="AM52" s="313">
        <v>2075113.7508</v>
      </c>
      <c r="AN52" s="313">
        <v>2230165.28682</v>
      </c>
      <c r="AO52" s="313">
        <v>2260017.3083500001</v>
      </c>
      <c r="AP52" s="313">
        <v>2617792.7637299998</v>
      </c>
      <c r="AQ52" s="153">
        <f>IVA!AE52+IVA!AF52+IVA!AG52</f>
        <v>5316917.20156</v>
      </c>
      <c r="AR52" s="153">
        <f>IVA!AH52+IVA!AI52+IVA!AJ52</f>
        <v>9270408.8649700005</v>
      </c>
      <c r="AS52" s="153">
        <f>IVA!AK52+IVA!AL52+IVA!AM52</f>
        <v>6350097.6271100007</v>
      </c>
      <c r="AT52" s="153">
        <f>IVA!AN52+IVA!AO52+IVA!AP52</f>
        <v>7107975.3589000003</v>
      </c>
      <c r="AU52" s="127">
        <f>IVA!AQ52+IVA!AR52+IVA!AS52+IVA!AT52</f>
        <v>28045399.052540001</v>
      </c>
      <c r="AV52" s="128">
        <f>IVA!AQ52/IVA!CJ14</f>
        <v>1.1640403362699336E-2</v>
      </c>
      <c r="AW52" s="128">
        <f>IVA!AR52/IVA!CK14</f>
        <v>1.6781698665725216E-2</v>
      </c>
      <c r="AX52" s="128">
        <f>IVA!AS52/IVA!CL14</f>
        <v>1.1668079702089412E-2</v>
      </c>
      <c r="AY52" s="128">
        <f>IVA!AT52/IVA!CM14</f>
        <v>1.2375661315335379E-2</v>
      </c>
      <c r="AZ52" s="269">
        <f>IVA!AU52/IVA!CN14</f>
        <v>5.272298833870688E-2</v>
      </c>
      <c r="BA52" s="264">
        <v>2005</v>
      </c>
      <c r="BB52" s="306" t="s">
        <v>413</v>
      </c>
      <c r="BC52" s="307"/>
      <c r="BD52" s="307"/>
      <c r="BE52" s="307"/>
      <c r="BF52" s="308">
        <v>214741.12007</v>
      </c>
      <c r="BG52" s="308">
        <v>217696.43098999999</v>
      </c>
      <c r="BH52" s="308">
        <v>219044.27689000001</v>
      </c>
      <c r="BI52" s="308">
        <v>250584.03795999999</v>
      </c>
      <c r="BJ52" s="308">
        <v>212290.99465000001</v>
      </c>
      <c r="BK52" s="308">
        <v>221677.48016000001</v>
      </c>
      <c r="BL52" s="308">
        <v>208046.02871000001</v>
      </c>
      <c r="BM52" s="308">
        <v>224562.25214</v>
      </c>
      <c r="BN52" s="308">
        <v>222811.15813</v>
      </c>
      <c r="BO52" s="308">
        <v>223725.57558999999</v>
      </c>
      <c r="BP52" s="308">
        <v>241035.06122999999</v>
      </c>
      <c r="BQ52" s="309">
        <v>243646.89175000001</v>
      </c>
      <c r="BR52" s="173">
        <f>IVA!BF52+IVA!BG52+IVA!BH52</f>
        <v>651481.82794999995</v>
      </c>
      <c r="BS52" s="173">
        <f>IVA!BI52+IVA!BJ52+IVA!BK52</f>
        <v>684552.51277000003</v>
      </c>
      <c r="BT52" s="173">
        <f>IVA!BL52+IVA!BM52+IVA!BN52</f>
        <v>655419.43897999998</v>
      </c>
      <c r="BU52" s="174">
        <f>IVA!BO52+IVA!BP52+IVA!BQ52</f>
        <v>708407.52857000008</v>
      </c>
      <c r="BV52" s="135">
        <f>IVA!BR52+IVA!BS52+IVA!BT52+IVA!BU52</f>
        <v>2699861.3082699999</v>
      </c>
      <c r="BW52" s="136">
        <f>IVA!BR52/IVA!CJ14</f>
        <v>1.4262985435585991E-3</v>
      </c>
      <c r="BX52" s="137">
        <f>IVA!BS52/IVA!CK14</f>
        <v>1.239206830842226E-3</v>
      </c>
      <c r="BY52" s="136">
        <f>IVA!BT52/IVA!CL14</f>
        <v>1.2043100281905149E-3</v>
      </c>
      <c r="BZ52" s="136">
        <f>IVA!BU52/IVA!CM14</f>
        <v>1.2334049014166583E-3</v>
      </c>
      <c r="CA52" s="271">
        <f>IVA!BV52/IVA!CN14</f>
        <v>5.0755118871861201E-3</v>
      </c>
      <c r="CH52" s="13"/>
      <c r="CI52" s="233"/>
      <c r="CJ52" s="76"/>
      <c r="CK52" s="77"/>
      <c r="CL52" s="77"/>
      <c r="CM52" s="77"/>
      <c r="CN52" s="77"/>
      <c r="CO52" s="63"/>
      <c r="CP52" s="63"/>
      <c r="CQ52" s="13"/>
      <c r="CS52" s="218"/>
      <c r="CT52" s="97" t="s">
        <v>247</v>
      </c>
      <c r="CU52" s="98"/>
      <c r="CV52" s="98"/>
      <c r="CW52" s="98"/>
      <c r="CX52" s="98"/>
      <c r="CY52" s="98"/>
      <c r="CZ52" s="98"/>
      <c r="DA52" s="98"/>
      <c r="DB52" s="98"/>
      <c r="DC52" s="98"/>
      <c r="DD52" s="98"/>
      <c r="DE52" s="98"/>
      <c r="DF52" s="98"/>
      <c r="DG52" s="98"/>
      <c r="DY52" s="213" t="s">
        <v>452</v>
      </c>
      <c r="EA52" s="177"/>
      <c r="EB52" s="228">
        <v>886585338</v>
      </c>
      <c r="EC52" s="228">
        <v>1522118479</v>
      </c>
      <c r="ED52" s="228">
        <v>2408703817</v>
      </c>
      <c r="EE52" s="228">
        <v>2372148576.3299999</v>
      </c>
      <c r="EF52" s="228">
        <v>2371365737.52</v>
      </c>
      <c r="EG52" s="229">
        <v>2315042629.71</v>
      </c>
      <c r="EH52" s="230">
        <f>IVA!EF52-IVA!EG52</f>
        <v>56323107.809999943</v>
      </c>
      <c r="EJ52" s="31">
        <v>2000</v>
      </c>
      <c r="EK52" s="32">
        <v>5066.893</v>
      </c>
      <c r="EL52" s="33">
        <v>4341.3900000000003</v>
      </c>
      <c r="ET52" s="179">
        <v>2011</v>
      </c>
      <c r="EU52" s="120" t="s">
        <v>453</v>
      </c>
      <c r="EV52" s="120" t="s">
        <v>454</v>
      </c>
      <c r="EW52" s="120" t="s">
        <v>455</v>
      </c>
      <c r="EX52" s="120" t="s">
        <v>456</v>
      </c>
    </row>
    <row r="53" spans="27:156" ht="12.75" customHeight="1">
      <c r="AA53" s="302">
        <v>2006</v>
      </c>
      <c r="AB53" s="302" t="s">
        <v>412</v>
      </c>
      <c r="AC53" s="311"/>
      <c r="AD53" s="312"/>
      <c r="AE53" s="313">
        <v>2407274.5887099998</v>
      </c>
      <c r="AF53" s="313">
        <v>2301290.6020900002</v>
      </c>
      <c r="AG53" s="313">
        <v>1987434.17347</v>
      </c>
      <c r="AH53" s="313">
        <v>1384797.02801</v>
      </c>
      <c r="AI53" s="313">
        <v>4221972.9127200004</v>
      </c>
      <c r="AJ53" s="313">
        <v>4472995.1809599996</v>
      </c>
      <c r="AK53" s="313">
        <v>2624553.7219699998</v>
      </c>
      <c r="AL53" s="313">
        <v>2862724.0442499998</v>
      </c>
      <c r="AM53" s="313">
        <v>2560648.5855899998</v>
      </c>
      <c r="AN53" s="313">
        <v>2761295.6693500001</v>
      </c>
      <c r="AO53" s="313">
        <v>3163372.3520200001</v>
      </c>
      <c r="AP53" s="313">
        <v>2866733.2174499999</v>
      </c>
      <c r="AQ53" s="153">
        <f>IVA!AE53+IVA!AF53+IVA!AG53</f>
        <v>6695999.3642699998</v>
      </c>
      <c r="AR53" s="153">
        <f>IVA!AH53+IVA!AI53+IVA!AJ53</f>
        <v>10079765.121689999</v>
      </c>
      <c r="AS53" s="153">
        <f>IVA!AK53+IVA!AL53+IVA!AM53</f>
        <v>8047926.351809999</v>
      </c>
      <c r="AT53" s="153">
        <f>IVA!AN53+IVA!AO53+IVA!AP53</f>
        <v>8791401.2388199996</v>
      </c>
      <c r="AU53" s="127">
        <f>IVA!AQ53+IVA!AR53+IVA!AS53+IVA!AT53</f>
        <v>33615092.076590002</v>
      </c>
      <c r="AV53" s="128">
        <f>IVA!AQ53/IVA!CJ15</f>
        <v>1.1788855805290196E-2</v>
      </c>
      <c r="AW53" s="128">
        <f>IVA!AR53/IVA!CK15</f>
        <v>1.4860806422408612E-2</v>
      </c>
      <c r="AX53" s="128">
        <f>IVA!AS53/IVA!CL15</f>
        <v>1.204423783958492E-2</v>
      </c>
      <c r="AY53" s="128">
        <f>IVA!AT53/IVA!CM15</f>
        <v>1.2500465284927605E-2</v>
      </c>
      <c r="AZ53" s="269">
        <f>IVA!AU53/IVA!CN15</f>
        <v>5.136474573533896E-2</v>
      </c>
      <c r="BA53" s="264">
        <v>2006</v>
      </c>
      <c r="BB53" s="306" t="s">
        <v>413</v>
      </c>
      <c r="BC53" s="307"/>
      <c r="BD53" s="307"/>
      <c r="BE53" s="307"/>
      <c r="BF53" s="308">
        <v>267325.69238000002</v>
      </c>
      <c r="BG53" s="308">
        <v>229202.47132000001</v>
      </c>
      <c r="BH53" s="308">
        <v>206226.45790000001</v>
      </c>
      <c r="BI53" s="308">
        <v>239476.61999000001</v>
      </c>
      <c r="BJ53" s="308">
        <v>193596.09606000001</v>
      </c>
      <c r="BK53" s="308">
        <v>214424.02705999999</v>
      </c>
      <c r="BL53" s="308">
        <v>214820.41763000001</v>
      </c>
      <c r="BM53" s="308">
        <v>211598.06912</v>
      </c>
      <c r="BN53" s="308">
        <v>220134.40612</v>
      </c>
      <c r="BO53" s="308">
        <v>231345.17611</v>
      </c>
      <c r="BP53" s="308">
        <v>246380.00865</v>
      </c>
      <c r="BQ53" s="309">
        <v>242806.40526999999</v>
      </c>
      <c r="BR53" s="173">
        <f>IVA!BF53+IVA!BG53+IVA!BH53</f>
        <v>702754.62160000007</v>
      </c>
      <c r="BS53" s="173">
        <f>IVA!BI53+IVA!BJ53+IVA!BK53</f>
        <v>647496.74311000004</v>
      </c>
      <c r="BT53" s="173">
        <f>IVA!BL53+IVA!BM53+IVA!BN53</f>
        <v>646552.8928700001</v>
      </c>
      <c r="BU53" s="174">
        <f>IVA!BO53+IVA!BP53+IVA!BQ53</f>
        <v>720531.59002999996</v>
      </c>
      <c r="BV53" s="135">
        <f>IVA!BR53+IVA!BS53+IVA!BT53+IVA!BU53</f>
        <v>2717335.8476100001</v>
      </c>
      <c r="BW53" s="136">
        <f>IVA!BR53/IVA!CJ15</f>
        <v>1.2372571217301592E-3</v>
      </c>
      <c r="BX53" s="137">
        <f>IVA!BS53/IVA!CK15</f>
        <v>9.5461785491331413E-4</v>
      </c>
      <c r="BY53" s="136">
        <f>IVA!BT53/IVA!CL15</f>
        <v>9.6760786284364809E-4</v>
      </c>
      <c r="BZ53" s="136">
        <f>IVA!BU53/IVA!CM15</f>
        <v>1.0245215618292767E-3</v>
      </c>
      <c r="CA53" s="271">
        <f>IVA!BV53/IVA!CN15</f>
        <v>4.1521607191197163E-3</v>
      </c>
      <c r="CH53" s="13"/>
      <c r="CI53" s="233"/>
      <c r="CJ53" s="91" t="s">
        <v>58</v>
      </c>
      <c r="CK53" s="92" t="s">
        <v>59</v>
      </c>
      <c r="CL53" s="92" t="s">
        <v>60</v>
      </c>
      <c r="CM53" s="92" t="s">
        <v>61</v>
      </c>
      <c r="CN53" s="92" t="s">
        <v>62</v>
      </c>
      <c r="CO53" s="63"/>
      <c r="CP53" s="63"/>
      <c r="CQ53" s="13"/>
      <c r="CS53" s="218"/>
      <c r="CT53" s="97" t="s">
        <v>457</v>
      </c>
      <c r="CU53" s="98"/>
      <c r="CV53" s="98"/>
      <c r="CW53" s="98"/>
      <c r="CX53" s="98"/>
      <c r="CY53" s="98">
        <v>673000</v>
      </c>
      <c r="CZ53" s="98"/>
      <c r="DA53" s="98"/>
      <c r="DB53" s="98"/>
      <c r="DC53" s="98"/>
      <c r="DD53" s="98"/>
      <c r="DE53" s="98"/>
      <c r="DF53" s="98"/>
      <c r="DG53" s="98"/>
      <c r="DY53" s="213" t="s">
        <v>458</v>
      </c>
      <c r="EA53" s="193"/>
      <c r="EB53" s="228">
        <v>10494700</v>
      </c>
      <c r="EC53" s="228">
        <v>0</v>
      </c>
      <c r="ED53" s="228">
        <v>10494700</v>
      </c>
      <c r="EE53" s="228">
        <v>8804868.1699999999</v>
      </c>
      <c r="EF53" s="228">
        <v>8798348.8900000006</v>
      </c>
      <c r="EG53" s="229">
        <v>8132348.04</v>
      </c>
      <c r="EH53" s="230">
        <f>IVA!EF53-IVA!EG53</f>
        <v>666000.85000000056</v>
      </c>
      <c r="EJ53" s="31">
        <v>2001</v>
      </c>
      <c r="EK53" s="32">
        <v>5178.0079999999998</v>
      </c>
      <c r="EL53" s="33">
        <v>4446.5619999999999</v>
      </c>
    </row>
    <row r="54" spans="27:156" ht="12.75" customHeight="1">
      <c r="AA54" s="302">
        <v>2007</v>
      </c>
      <c r="AB54" s="302" t="s">
        <v>412</v>
      </c>
      <c r="AC54" s="311"/>
      <c r="AD54" s="312"/>
      <c r="AE54" s="313">
        <v>3001091.8604899999</v>
      </c>
      <c r="AF54" s="313">
        <v>2684786.2708899998</v>
      </c>
      <c r="AG54" s="313">
        <v>2540705.8765699998</v>
      </c>
      <c r="AH54" s="313">
        <v>2131881.8356699999</v>
      </c>
      <c r="AI54" s="313">
        <v>5322282.9287799997</v>
      </c>
      <c r="AJ54" s="313">
        <v>5452741.8360599997</v>
      </c>
      <c r="AK54" s="313">
        <v>3395244.96514</v>
      </c>
      <c r="AL54" s="313">
        <v>3818644.1935399999</v>
      </c>
      <c r="AM54" s="313">
        <v>3547092.10837</v>
      </c>
      <c r="AN54" s="313">
        <v>3337821.9124099999</v>
      </c>
      <c r="AO54" s="313">
        <v>3708012.0435899999</v>
      </c>
      <c r="AP54" s="313">
        <v>3914599.5953299999</v>
      </c>
      <c r="AQ54" s="153">
        <f>IVA!AE54+IVA!AF54+IVA!AG54</f>
        <v>8226584.0079499986</v>
      </c>
      <c r="AR54" s="153">
        <f>IVA!AH54+IVA!AI54+IVA!AJ54</f>
        <v>12906906.600509999</v>
      </c>
      <c r="AS54" s="153">
        <f>IVA!AK54+IVA!AL54+IVA!AM54</f>
        <v>10760981.26705</v>
      </c>
      <c r="AT54" s="153">
        <f>IVA!AN54+IVA!AO54+IVA!AP54</f>
        <v>10960433.55133</v>
      </c>
      <c r="AU54" s="127">
        <f>IVA!AQ54+IVA!AR54+IVA!AS54+IVA!AT54</f>
        <v>42854905.42684</v>
      </c>
      <c r="AV54" s="128">
        <f>IVA!AQ54/IVA!CJ16</f>
        <v>1.2078024442021962E-2</v>
      </c>
      <c r="AW54" s="128">
        <f>IVA!AR54/IVA!CK16</f>
        <v>1.5455054540120484E-2</v>
      </c>
      <c r="AX54" s="128">
        <f>IVA!AS54/IVA!CL16</f>
        <v>1.3004788452232909E-2</v>
      </c>
      <c r="AY54" s="128">
        <f>IVA!AT54/IVA!CM16</f>
        <v>1.2096074423056706E-2</v>
      </c>
      <c r="AZ54" s="269">
        <f>IVA!AU54/IVA!CN16</f>
        <v>5.2747366608655845E-2</v>
      </c>
      <c r="BA54" s="264">
        <v>2007</v>
      </c>
      <c r="BB54" s="306" t="s">
        <v>413</v>
      </c>
      <c r="BC54" s="307"/>
      <c r="BD54" s="307"/>
      <c r="BE54" s="307"/>
      <c r="BF54" s="308">
        <v>263997.22268000001</v>
      </c>
      <c r="BG54" s="308">
        <v>246979.42981</v>
      </c>
      <c r="BH54" s="308">
        <v>215818.37901999999</v>
      </c>
      <c r="BI54" s="308">
        <v>273289.95483</v>
      </c>
      <c r="BJ54" s="308">
        <v>224803.84002999999</v>
      </c>
      <c r="BK54" s="308">
        <v>240415.91075000001</v>
      </c>
      <c r="BL54" s="308">
        <v>220677.54102</v>
      </c>
      <c r="BM54" s="308">
        <v>256559.49922</v>
      </c>
      <c r="BN54" s="308">
        <v>261373.18999000001</v>
      </c>
      <c r="BO54" s="308">
        <v>245954.85222999999</v>
      </c>
      <c r="BP54" s="308">
        <v>281709.60199</v>
      </c>
      <c r="BQ54" s="309">
        <v>289745.84869999997</v>
      </c>
      <c r="BR54" s="173">
        <f>IVA!BF54+IVA!BG54+IVA!BH54</f>
        <v>726795.03151</v>
      </c>
      <c r="BS54" s="173">
        <f>IVA!BI54+IVA!BJ54+IVA!BK54</f>
        <v>738509.70561000006</v>
      </c>
      <c r="BT54" s="173">
        <f>IVA!BL54+IVA!BM54+IVA!BN54</f>
        <v>738610.23022999999</v>
      </c>
      <c r="BU54" s="174">
        <f>IVA!BO54+IVA!BP54+IVA!BQ54</f>
        <v>817410.30291999993</v>
      </c>
      <c r="BV54" s="135">
        <f>IVA!BR54+IVA!BS54+IVA!BT54+IVA!BU54</f>
        <v>3021325.2702700002</v>
      </c>
      <c r="BW54" s="136">
        <f>IVA!BR54/IVA!CJ16</f>
        <v>1.067058714338149E-3</v>
      </c>
      <c r="BX54" s="137">
        <f>IVA!BS54/IVA!CK16</f>
        <v>8.8431009318374362E-4</v>
      </c>
      <c r="BY54" s="136">
        <f>IVA!BT54/IVA!CL16</f>
        <v>8.9262025036769012E-4</v>
      </c>
      <c r="BZ54" s="136">
        <f>IVA!BU54/IVA!CM16</f>
        <v>9.0210444796628021E-4</v>
      </c>
      <c r="CA54" s="271">
        <f>IVA!BV54/IVA!CN16</f>
        <v>3.7187563497717226E-3</v>
      </c>
      <c r="CH54" s="13"/>
      <c r="CI54" s="233"/>
      <c r="CJ54" s="279"/>
      <c r="CK54" s="279"/>
      <c r="CL54" s="279"/>
      <c r="CM54" s="279"/>
      <c r="CN54" s="279"/>
      <c r="CO54" s="63"/>
      <c r="CP54" s="63"/>
      <c r="CQ54" s="13"/>
      <c r="CS54" s="218"/>
      <c r="CT54" s="114" t="s">
        <v>459</v>
      </c>
      <c r="CU54" s="98"/>
      <c r="CV54" s="98"/>
      <c r="CW54" s="98"/>
      <c r="CX54" s="98"/>
      <c r="CY54" s="98"/>
      <c r="CZ54" s="98"/>
      <c r="DA54" s="98">
        <v>168000</v>
      </c>
      <c r="DB54" s="98"/>
      <c r="DC54" s="98"/>
      <c r="DD54" s="98"/>
      <c r="DE54" s="98"/>
      <c r="DF54" s="98"/>
      <c r="DG54" s="98"/>
      <c r="DY54" s="220" t="s">
        <v>460</v>
      </c>
      <c r="DZ54" s="221"/>
      <c r="EA54" s="204"/>
      <c r="EB54" s="234">
        <v>20114831021</v>
      </c>
      <c r="EC54" s="234">
        <v>7668865</v>
      </c>
      <c r="ED54" s="234">
        <v>20122499886</v>
      </c>
      <c r="EE54" s="234">
        <v>18305721534.75</v>
      </c>
      <c r="EF54" s="234">
        <v>18304668706.93</v>
      </c>
      <c r="EG54" s="235">
        <v>16763828938.82</v>
      </c>
      <c r="EH54" s="236">
        <f>IVA!EF54-IVA!EG54</f>
        <v>1540839768.1100006</v>
      </c>
      <c r="EJ54" s="31">
        <v>2002</v>
      </c>
      <c r="EK54" s="32">
        <v>5281.9260000000004</v>
      </c>
      <c r="EL54" s="33">
        <v>4542.33</v>
      </c>
      <c r="ER54" s="318" t="s">
        <v>461</v>
      </c>
    </row>
    <row r="55" spans="27:156" ht="12.75" customHeight="1">
      <c r="AA55" s="302">
        <v>2008</v>
      </c>
      <c r="AB55" s="302" t="s">
        <v>412</v>
      </c>
      <c r="AC55" s="311"/>
      <c r="AD55" s="312"/>
      <c r="AE55" s="313">
        <v>3940376.4450400001</v>
      </c>
      <c r="AF55" s="313">
        <v>3803463.7181899999</v>
      </c>
      <c r="AG55" s="313">
        <v>3049014.9196299999</v>
      </c>
      <c r="AH55" s="313">
        <v>3024255.9535699999</v>
      </c>
      <c r="AI55" s="313">
        <v>5275737.0769100003</v>
      </c>
      <c r="AJ55" s="313">
        <v>6671565.3468699995</v>
      </c>
      <c r="AK55" s="313">
        <v>4828924.9253900005</v>
      </c>
      <c r="AL55" s="313">
        <v>4972133.0061600003</v>
      </c>
      <c r="AM55" s="313">
        <v>4397692.6005499996</v>
      </c>
      <c r="AN55" s="313">
        <v>4682468.75165</v>
      </c>
      <c r="AO55" s="313">
        <v>4177480.4280500002</v>
      </c>
      <c r="AP55" s="313">
        <v>4822887.2492000004</v>
      </c>
      <c r="AQ55" s="153">
        <f>IVA!AE55+IVA!AF55+IVA!AG55</f>
        <v>10792855.08286</v>
      </c>
      <c r="AR55" s="153">
        <f>IVA!AH55+IVA!AI55+IVA!AJ55</f>
        <v>14971558.377349999</v>
      </c>
      <c r="AS55" s="153">
        <f>IVA!AK55+IVA!AL55+IVA!AM55</f>
        <v>14198750.532099999</v>
      </c>
      <c r="AT55" s="153">
        <f>IVA!AN55+IVA!AO55+IVA!AP55</f>
        <v>13682836.4289</v>
      </c>
      <c r="AU55" s="127">
        <f>IVA!AQ55+IVA!AR55+IVA!AS55+IVA!AT55</f>
        <v>53646000.421210006</v>
      </c>
      <c r="AV55" s="128">
        <f>IVA!AQ55/IVA!CJ17</f>
        <v>1.2159004332665273E-2</v>
      </c>
      <c r="AW55" s="128">
        <f>IVA!AR55/IVA!CK17</f>
        <v>1.3512933909652813E-2</v>
      </c>
      <c r="AX55" s="128">
        <f>IVA!AS55/IVA!CL17</f>
        <v>1.3426069574570309E-2</v>
      </c>
      <c r="AY55" s="128">
        <f>IVA!AT55/IVA!CM17</f>
        <v>1.2694018243503153E-2</v>
      </c>
      <c r="AZ55" s="269">
        <f>IVA!AU55/IVA!CN17</f>
        <v>5.1944405583118219E-2</v>
      </c>
      <c r="BA55" s="264">
        <v>2008</v>
      </c>
      <c r="BB55" s="306" t="s">
        <v>413</v>
      </c>
      <c r="BC55" s="307"/>
      <c r="BD55" s="307"/>
      <c r="BE55" s="307"/>
      <c r="BF55" s="308">
        <v>312177.10820999998</v>
      </c>
      <c r="BG55" s="308">
        <v>291669.74312</v>
      </c>
      <c r="BH55" s="308">
        <v>283472.22683</v>
      </c>
      <c r="BI55" s="308">
        <v>283310.54541000002</v>
      </c>
      <c r="BJ55" s="308">
        <v>287547.17099000001</v>
      </c>
      <c r="BK55" s="308">
        <v>302405.29719999997</v>
      </c>
      <c r="BL55" s="308">
        <v>279726.33429000003</v>
      </c>
      <c r="BM55" s="308">
        <v>286436.69965999998</v>
      </c>
      <c r="BN55" s="308">
        <v>308918.12650000001</v>
      </c>
      <c r="BO55" s="308">
        <v>310540.66389999999</v>
      </c>
      <c r="BP55" s="308">
        <v>335890.92074999999</v>
      </c>
      <c r="BQ55" s="309">
        <v>359172.09719</v>
      </c>
      <c r="BR55" s="173">
        <f>IVA!BF55+IVA!BG55+IVA!BH55</f>
        <v>887319.07816000003</v>
      </c>
      <c r="BS55" s="173">
        <f>IVA!BI55+IVA!BJ55+IVA!BK55</f>
        <v>873263.01359999995</v>
      </c>
      <c r="BT55" s="173">
        <f>IVA!BL55+IVA!BM55+IVA!BN55</f>
        <v>875081.16045000008</v>
      </c>
      <c r="BU55" s="174">
        <f>IVA!BO55+IVA!BP55+IVA!BQ55</f>
        <v>1005603.68184</v>
      </c>
      <c r="BV55" s="135">
        <f>IVA!BR55+IVA!BS55+IVA!BT55+IVA!BU55</f>
        <v>3641266.9340500003</v>
      </c>
      <c r="BW55" s="136">
        <f>IVA!BR55/IVA!CJ17</f>
        <v>9.9963507644402084E-4</v>
      </c>
      <c r="BX55" s="137">
        <f>IVA!BS55/IVA!CK17</f>
        <v>7.8818417502705778E-4</v>
      </c>
      <c r="BY55" s="136">
        <f>IVA!BT55/IVA!CL17</f>
        <v>8.274601710225103E-4</v>
      </c>
      <c r="BZ55" s="136">
        <f>IVA!BU55/IVA!CM17</f>
        <v>9.3293167314703661E-4</v>
      </c>
      <c r="CA55" s="271">
        <f>IVA!BV55/IVA!CN17</f>
        <v>3.5257697679901782E-3</v>
      </c>
      <c r="CH55" s="13"/>
      <c r="CI55" s="53">
        <v>1997</v>
      </c>
      <c r="CJ55" s="280">
        <f>IVA!BR181/IVA!CJ6</f>
        <v>3.1665924643632676E-3</v>
      </c>
      <c r="CK55" s="280">
        <f>IVA!BS181/IVA!CK6</f>
        <v>3.1942427713649506E-3</v>
      </c>
      <c r="CL55" s="280">
        <f>IVA!BT181/IVA!CL6</f>
        <v>3.0699989917689491E-3</v>
      </c>
      <c r="CM55" s="281">
        <f>IVA!BU181/IVA!CM6</f>
        <v>3.0182408320680739E-3</v>
      </c>
      <c r="CN55" s="282">
        <f>IVA!BV181/IVA!CN6</f>
        <v>1.2443299658670267E-2</v>
      </c>
      <c r="CO55" s="63"/>
      <c r="CP55" s="63"/>
      <c r="CQ55" s="13"/>
      <c r="CT55" s="1">
        <v>112.7</v>
      </c>
      <c r="CW55" s="98"/>
      <c r="DY55" s="317" t="s">
        <v>433</v>
      </c>
      <c r="DZ55" s="45"/>
      <c r="EA55" s="208">
        <v>2003</v>
      </c>
      <c r="EB55" s="225">
        <v>25265156633</v>
      </c>
      <c r="EC55" s="225">
        <v>550673369</v>
      </c>
      <c r="ED55" s="225">
        <v>25815830002</v>
      </c>
      <c r="EE55" s="225">
        <v>22885333596.900002</v>
      </c>
      <c r="EF55" s="225">
        <v>22880323619.279999</v>
      </c>
      <c r="EG55" s="226">
        <v>21952476226.389999</v>
      </c>
      <c r="EH55" s="227">
        <f>IVA!EF55-IVA!EG55</f>
        <v>927847392.88999939</v>
      </c>
      <c r="EJ55" s="31">
        <v>2003</v>
      </c>
      <c r="EK55" s="32">
        <v>5380.5169999999998</v>
      </c>
      <c r="EL55" s="33">
        <v>4630.4430000000002</v>
      </c>
      <c r="EQ55" s="318" t="s">
        <v>462</v>
      </c>
      <c r="EU55" s="1" t="s">
        <v>463</v>
      </c>
    </row>
    <row r="56" spans="27:156" ht="12.75" customHeight="1">
      <c r="AA56" s="302">
        <v>2009</v>
      </c>
      <c r="AB56" s="302" t="s">
        <v>412</v>
      </c>
      <c r="AC56" s="311"/>
      <c r="AD56" s="312"/>
      <c r="AE56" s="313">
        <v>3950091</v>
      </c>
      <c r="AF56" s="313">
        <v>3754552</v>
      </c>
      <c r="AG56" s="313">
        <v>3374624</v>
      </c>
      <c r="AH56" s="313">
        <v>3113286</v>
      </c>
      <c r="AI56" s="313">
        <v>6518240</v>
      </c>
      <c r="AJ56" s="313">
        <v>6274887</v>
      </c>
      <c r="AK56" s="313">
        <v>4424393</v>
      </c>
      <c r="AL56" s="313">
        <v>4666290</v>
      </c>
      <c r="AM56" s="313">
        <v>4264858</v>
      </c>
      <c r="AN56" s="313">
        <v>4902122</v>
      </c>
      <c r="AO56" s="313">
        <v>4981653</v>
      </c>
      <c r="AP56" s="313">
        <v>5327260</v>
      </c>
      <c r="AQ56" s="153">
        <f>IVA!AE56+IVA!AF56+IVA!AG56</f>
        <v>11079267</v>
      </c>
      <c r="AR56" s="153">
        <f>IVA!AH56+IVA!AI56+IVA!AJ56</f>
        <v>15906413</v>
      </c>
      <c r="AS56" s="153">
        <f>IVA!AK56+IVA!AL56+IVA!AM56</f>
        <v>13355541</v>
      </c>
      <c r="AT56" s="153">
        <f>IVA!AN56+IVA!AO56+IVA!AP56</f>
        <v>15211035</v>
      </c>
      <c r="AU56" s="127">
        <f>IVA!AQ56+IVA!AR56+IVA!AS56+IVA!AT56</f>
        <v>55552256</v>
      </c>
      <c r="AV56" s="128">
        <f>IVA!AQ56/IVA!CJ18</f>
        <v>1.1157795565187792E-2</v>
      </c>
      <c r="AW56" s="128">
        <f>IVA!AR56/IVA!CK18</f>
        <v>1.3306658647550651E-2</v>
      </c>
      <c r="AX56" s="128">
        <f>IVA!AS56/IVA!CL18</f>
        <v>1.1426761799492462E-2</v>
      </c>
      <c r="AY56" s="128">
        <f>IVA!AT56/IVA!CM18</f>
        <v>1.2420175077150219E-2</v>
      </c>
      <c r="AZ56" s="269">
        <f>IVA!AU56/IVA!CN18</f>
        <v>4.8497840764965952E-2</v>
      </c>
      <c r="BA56" s="264">
        <v>2009</v>
      </c>
      <c r="BB56" s="306" t="s">
        <v>413</v>
      </c>
      <c r="BC56" s="307"/>
      <c r="BD56" s="307"/>
      <c r="BE56" s="307"/>
      <c r="BF56" s="308">
        <v>353135</v>
      </c>
      <c r="BG56" s="308">
        <v>368079</v>
      </c>
      <c r="BH56" s="308">
        <v>326819</v>
      </c>
      <c r="BI56" s="308">
        <v>309821</v>
      </c>
      <c r="BJ56" s="308">
        <v>396364</v>
      </c>
      <c r="BK56" s="308">
        <v>322623</v>
      </c>
      <c r="BL56" s="308">
        <v>332798</v>
      </c>
      <c r="BM56" s="308">
        <v>367153</v>
      </c>
      <c r="BN56" s="308">
        <v>369253</v>
      </c>
      <c r="BO56" s="308">
        <v>356309</v>
      </c>
      <c r="BP56" s="308">
        <v>418986</v>
      </c>
      <c r="BQ56" s="309">
        <v>401973</v>
      </c>
      <c r="BR56" s="173">
        <f>IVA!BF56+IVA!BG56+IVA!BH56</f>
        <v>1048033</v>
      </c>
      <c r="BS56" s="173">
        <f>IVA!BI56+IVA!BJ56+IVA!BK56</f>
        <v>1028808</v>
      </c>
      <c r="BT56" s="173">
        <f>IVA!BL56+IVA!BM56+IVA!BN56</f>
        <v>1069204</v>
      </c>
      <c r="BU56" s="174">
        <f>IVA!BO56+IVA!BP56+IVA!BQ56</f>
        <v>1177268</v>
      </c>
      <c r="BV56" s="135">
        <f>IVA!BR56+IVA!BS56+IVA!BT56+IVA!BU56</f>
        <v>4323313</v>
      </c>
      <c r="BW56" s="136">
        <f>IVA!BR56/IVA!CJ18</f>
        <v>1.0554613368890249E-3</v>
      </c>
      <c r="BX56" s="137">
        <f>IVA!BS56/IVA!CK18</f>
        <v>8.6065895999741049E-4</v>
      </c>
      <c r="BY56" s="136">
        <f>IVA!BT56/IVA!CL18</f>
        <v>9.1479180237360189E-4</v>
      </c>
      <c r="BZ56" s="136">
        <f>IVA!BU56/IVA!CM18</f>
        <v>9.612675713865942E-4</v>
      </c>
      <c r="CA56" s="271">
        <f>IVA!BV56/IVA!CN18</f>
        <v>3.7743083818433448E-3</v>
      </c>
      <c r="CH56" s="13"/>
      <c r="CI56" s="53">
        <v>1998</v>
      </c>
      <c r="CJ56" s="284">
        <f>IVA!BR182/IVA!CJ7</f>
        <v>3.2511991453448986E-3</v>
      </c>
      <c r="CK56" s="284">
        <f>IVA!BS182/IVA!CK7</f>
        <v>3.2867997904462379E-3</v>
      </c>
      <c r="CL56" s="284">
        <f>IVA!BT182/IVA!CL7</f>
        <v>3.1078755028353766E-3</v>
      </c>
      <c r="CM56" s="285">
        <f>IVA!BU182/IVA!CM7</f>
        <v>3.1072170718731648E-3</v>
      </c>
      <c r="CN56" s="286">
        <f>IVA!BV182/IVA!CN7</f>
        <v>1.2753226494511388E-2</v>
      </c>
      <c r="CO56" s="63"/>
      <c r="CP56" s="63"/>
      <c r="CQ56" s="13"/>
      <c r="CT56" s="1">
        <v>1713.7</v>
      </c>
      <c r="CW56" s="289">
        <v>242300</v>
      </c>
      <c r="DY56" s="213" t="s">
        <v>464</v>
      </c>
      <c r="EA56" s="177"/>
      <c r="EB56" s="228">
        <v>3797734511</v>
      </c>
      <c r="EC56" s="228">
        <v>236182006</v>
      </c>
      <c r="ED56" s="228">
        <v>4033916517</v>
      </c>
      <c r="EE56" s="228">
        <v>3977114987.5599999</v>
      </c>
      <c r="EF56" s="228">
        <v>3974125874.9000001</v>
      </c>
      <c r="EG56" s="229">
        <v>3966253205.27</v>
      </c>
      <c r="EH56" s="230">
        <f>IVA!EF56-IVA!EG56</f>
        <v>7872669.6300001144</v>
      </c>
      <c r="EJ56" s="31">
        <v>2004</v>
      </c>
      <c r="EK56" s="32">
        <v>5475.8789999999999</v>
      </c>
      <c r="EL56" s="33">
        <v>4712.88</v>
      </c>
      <c r="EO56" s="1" t="s">
        <v>87</v>
      </c>
    </row>
    <row r="57" spans="27:156" ht="12.75" customHeight="1">
      <c r="AA57" s="302">
        <v>2010</v>
      </c>
      <c r="AB57" s="302" t="s">
        <v>412</v>
      </c>
      <c r="AC57" s="311"/>
      <c r="AD57" s="312"/>
      <c r="AE57" s="313">
        <v>4967366</v>
      </c>
      <c r="AF57" s="313">
        <v>4688476</v>
      </c>
      <c r="AG57" s="313">
        <v>4308858</v>
      </c>
      <c r="AH57" s="313">
        <v>4240315</v>
      </c>
      <c r="AI57" s="313">
        <v>11474845</v>
      </c>
      <c r="AJ57" s="313">
        <v>9169982</v>
      </c>
      <c r="AK57" s="313">
        <v>6252243</v>
      </c>
      <c r="AL57" s="313">
        <v>6025777</v>
      </c>
      <c r="AM57" s="313">
        <v>5743567</v>
      </c>
      <c r="AN57" s="313">
        <v>6165047</v>
      </c>
      <c r="AO57" s="313">
        <v>6393088</v>
      </c>
      <c r="AP57" s="313">
        <v>7222064</v>
      </c>
      <c r="AQ57" s="153">
        <f>IVA!AE57+IVA!AF57+IVA!AG57</f>
        <v>13964700</v>
      </c>
      <c r="AR57" s="153">
        <f>IVA!AH57+IVA!AI57+IVA!AJ57</f>
        <v>24885142</v>
      </c>
      <c r="AS57" s="153">
        <f>IVA!AK57+IVA!AL57+IVA!AM57</f>
        <v>18021587</v>
      </c>
      <c r="AT57" s="153">
        <f>IVA!AN57+IVA!AO57+IVA!AP57</f>
        <v>19780199</v>
      </c>
      <c r="AU57" s="127">
        <f>IVA!AQ57+IVA!AR57+IVA!AS57+IVA!AT57</f>
        <v>76651628</v>
      </c>
      <c r="AV57" s="128">
        <f>IVA!AQ57/IVA!CJ19</f>
        <v>1.1471100666102067E-2</v>
      </c>
      <c r="AW57" s="128">
        <f>IVA!AR57/IVA!CK19</f>
        <v>1.6498958106699785E-2</v>
      </c>
      <c r="AX57" s="128">
        <f>IVA!AS57/IVA!CL19</f>
        <v>1.2294235430655682E-2</v>
      </c>
      <c r="AY57" s="128">
        <f>IVA!AT57/IVA!CM19</f>
        <v>1.2526261298105084E-2</v>
      </c>
      <c r="AZ57" s="269">
        <f>IVA!AU57/IVA!CN19</f>
        <v>5.3132320536964373E-2</v>
      </c>
      <c r="BA57" s="264">
        <v>2010</v>
      </c>
      <c r="BB57" s="306" t="s">
        <v>413</v>
      </c>
      <c r="BC57" s="307"/>
      <c r="BD57" s="307"/>
      <c r="BE57" s="307"/>
      <c r="BF57" s="308">
        <v>419988</v>
      </c>
      <c r="BG57" s="308">
        <v>432662</v>
      </c>
      <c r="BH57" s="308">
        <v>392694</v>
      </c>
      <c r="BI57" s="308">
        <v>397363</v>
      </c>
      <c r="BJ57" s="308">
        <v>406514</v>
      </c>
      <c r="BK57" s="308">
        <v>408954</v>
      </c>
      <c r="BL57" s="308">
        <v>387882</v>
      </c>
      <c r="BM57" s="308">
        <v>434261</v>
      </c>
      <c r="BN57" s="308">
        <v>413765</v>
      </c>
      <c r="BO57" s="308">
        <v>437568</v>
      </c>
      <c r="BP57" s="308">
        <v>503540</v>
      </c>
      <c r="BQ57" s="309">
        <v>446231</v>
      </c>
      <c r="BR57" s="173">
        <f>IVA!BF57+IVA!BG57+IVA!BH57</f>
        <v>1245344</v>
      </c>
      <c r="BS57" s="173">
        <f>IVA!BI57+IVA!BJ57+IVA!BK57</f>
        <v>1212831</v>
      </c>
      <c r="BT57" s="173">
        <f>IVA!BL57+IVA!BM57+IVA!BN57</f>
        <v>1235908</v>
      </c>
      <c r="BU57" s="174">
        <f>IVA!BO57+IVA!BP57+IVA!BQ57</f>
        <v>1387339</v>
      </c>
      <c r="BV57" s="135">
        <f>IVA!BR57+IVA!BS57+IVA!BT57+IVA!BU57</f>
        <v>5081422</v>
      </c>
      <c r="BW57" s="136">
        <f>IVA!BR57/IVA!CJ19</f>
        <v>1.0229698015658203E-3</v>
      </c>
      <c r="BX57" s="137">
        <f>IVA!BS57/IVA!CK19</f>
        <v>8.0411226343441442E-4</v>
      </c>
      <c r="BY57" s="136">
        <f>IVA!BT57/IVA!CL19</f>
        <v>8.4313018174430481E-4</v>
      </c>
      <c r="BZ57" s="136">
        <f>IVA!BU57/IVA!CM19</f>
        <v>8.785640034790252E-4</v>
      </c>
      <c r="CA57" s="271">
        <f>IVA!BV57/IVA!CN19</f>
        <v>3.5222701661024418E-3</v>
      </c>
      <c r="CH57" s="13"/>
      <c r="CI57" s="53">
        <v>1999</v>
      </c>
      <c r="CJ57" s="284">
        <f>IVA!BR183/IVA!CJ8</f>
        <v>3.3370233098146936E-3</v>
      </c>
      <c r="CK57" s="284">
        <f>IVA!BS183/IVA!CK8</f>
        <v>3.1822036364257682E-3</v>
      </c>
      <c r="CL57" s="284">
        <f>IVA!BT183/IVA!CL8</f>
        <v>3.1346057719022604E-3</v>
      </c>
      <c r="CM57" s="285">
        <f>IVA!BU183/IVA!CM8</f>
        <v>3.0926592678878306E-3</v>
      </c>
      <c r="CN57" s="286">
        <f>IVA!BV183/IVA!CN8</f>
        <v>1.2737382852648577E-2</v>
      </c>
      <c r="CO57" s="63"/>
      <c r="CP57" s="63"/>
      <c r="CQ57" s="13"/>
      <c r="CT57" s="319">
        <f>1.127*1713.7</f>
        <v>1931.3398999999999</v>
      </c>
      <c r="DY57" s="213" t="s">
        <v>465</v>
      </c>
      <c r="EA57" s="193"/>
      <c r="EB57" s="228">
        <v>10139090</v>
      </c>
      <c r="EC57" s="228">
        <v>92889</v>
      </c>
      <c r="ED57" s="228">
        <v>10231979</v>
      </c>
      <c r="EE57" s="228">
        <v>9603437.9900000002</v>
      </c>
      <c r="EF57" s="228">
        <v>9603401.1699999999</v>
      </c>
      <c r="EG57" s="229">
        <v>8734471.6199999992</v>
      </c>
      <c r="EH57" s="230">
        <f>IVA!EF57-IVA!EG57</f>
        <v>868929.55000000075</v>
      </c>
      <c r="EJ57" s="31">
        <v>2005</v>
      </c>
      <c r="EK57" s="32">
        <v>5569.3490000000002</v>
      </c>
      <c r="EL57" s="33">
        <v>4791.0010000000002</v>
      </c>
      <c r="ET57" s="1" t="s">
        <v>106</v>
      </c>
      <c r="EU57" s="1" t="s">
        <v>466</v>
      </c>
      <c r="EV57" s="1" t="s">
        <v>107</v>
      </c>
    </row>
    <row r="58" spans="27:156" ht="12.75" customHeight="1">
      <c r="AA58" s="302">
        <v>2011</v>
      </c>
      <c r="AB58" s="302" t="s">
        <v>412</v>
      </c>
      <c r="AC58" s="311"/>
      <c r="AD58" s="312"/>
      <c r="AE58" s="313">
        <v>7110800</v>
      </c>
      <c r="AF58" s="313">
        <v>6867708</v>
      </c>
      <c r="AG58" s="313">
        <v>5970791</v>
      </c>
      <c r="AH58" s="313">
        <v>6695214</v>
      </c>
      <c r="AI58" s="313">
        <v>14040348</v>
      </c>
      <c r="AJ58" s="313">
        <v>13358309</v>
      </c>
      <c r="AK58" s="313">
        <v>8672731</v>
      </c>
      <c r="AL58" s="313">
        <v>9098548</v>
      </c>
      <c r="AM58" s="313">
        <v>8662466</v>
      </c>
      <c r="AN58" s="313">
        <v>8922731</v>
      </c>
      <c r="AO58" s="313">
        <v>9194909</v>
      </c>
      <c r="AP58" s="313">
        <v>10003324</v>
      </c>
      <c r="AQ58" s="153">
        <f>IVA!AE58+IVA!AF58+IVA!AG58</f>
        <v>19949299</v>
      </c>
      <c r="AR58" s="153">
        <f>IVA!AH58+IVA!AI58+IVA!AJ58</f>
        <v>34093871</v>
      </c>
      <c r="AS58" s="153">
        <f>IVA!AK58+IVA!AL58+IVA!AM58</f>
        <v>26433745</v>
      </c>
      <c r="AT58" s="153">
        <f>IVA!AN58+IVA!AO58+IVA!AP58</f>
        <v>28120964</v>
      </c>
      <c r="AU58" s="127">
        <f>IVA!AQ58+IVA!AR58+IVA!AS58+IVA!AT58</f>
        <v>108597879</v>
      </c>
      <c r="AV58" s="128">
        <f>IVA!AQ58/IVA!CJ20</f>
        <v>1.2726176016535041E-2</v>
      </c>
      <c r="AW58" s="128">
        <f>IVA!AR58/IVA!CK20</f>
        <v>1.7251998484683447E-2</v>
      </c>
      <c r="AX58" s="128">
        <f>IVA!AS58/IVA!CL20</f>
        <v>1.4170619671018599E-2</v>
      </c>
      <c r="AY58" s="128">
        <f>IVA!AT58/IVA!CM20</f>
        <v>1.4355559630226829E-2</v>
      </c>
      <c r="AZ58" s="269">
        <f>IVA!AU58/IVA!CN20</f>
        <v>5.8955794804003488E-2</v>
      </c>
      <c r="BA58" s="264">
        <v>2011</v>
      </c>
      <c r="BB58" s="306" t="s">
        <v>413</v>
      </c>
      <c r="BC58" s="307"/>
      <c r="BD58" s="307"/>
      <c r="BE58" s="307"/>
      <c r="BF58" s="308">
        <v>568338</v>
      </c>
      <c r="BG58" s="308">
        <v>501924</v>
      </c>
      <c r="BH58" s="308">
        <v>522587</v>
      </c>
      <c r="BI58" s="308">
        <v>552575</v>
      </c>
      <c r="BJ58" s="308">
        <v>505393</v>
      </c>
      <c r="BK58" s="308">
        <v>453486</v>
      </c>
      <c r="BL58" s="308">
        <v>480966</v>
      </c>
      <c r="BM58" s="308">
        <v>514520</v>
      </c>
      <c r="BN58" s="308">
        <v>511033</v>
      </c>
      <c r="BO58" s="308">
        <v>530310</v>
      </c>
      <c r="BP58" s="308">
        <v>524915</v>
      </c>
      <c r="BQ58" s="309">
        <v>616619</v>
      </c>
      <c r="BR58" s="173">
        <f>IVA!BF58+IVA!BG58+IVA!BH58</f>
        <v>1592849</v>
      </c>
      <c r="BS58" s="173">
        <f>IVA!BI58+IVA!BJ58+IVA!BK58</f>
        <v>1511454</v>
      </c>
      <c r="BT58" s="173">
        <f>IVA!BL58+IVA!BM58+IVA!BN58</f>
        <v>1506519</v>
      </c>
      <c r="BU58" s="174">
        <f>IVA!BO58+IVA!BP58+IVA!BQ58</f>
        <v>1671844</v>
      </c>
      <c r="BV58" s="135">
        <f>IVA!BR58+IVA!BS58+IVA!BT58+IVA!BU58</f>
        <v>6282666</v>
      </c>
      <c r="BW58" s="136">
        <f>IVA!BR58/IVA!CJ20</f>
        <v>1.0161197514640401E-3</v>
      </c>
      <c r="BX58" s="137">
        <f>IVA!BS58/IVA!CK20</f>
        <v>7.6481787936807575E-4</v>
      </c>
      <c r="BY58" s="136">
        <f>IVA!BT58/IVA!CL20</f>
        <v>8.0761571151432643E-4</v>
      </c>
      <c r="BZ58" s="136">
        <f>IVA!BU58/IVA!CM20</f>
        <v>8.5346491800341348E-4</v>
      </c>
      <c r="CA58" s="271">
        <f>IVA!BV58/IVA!CN20</f>
        <v>3.4107440304436275E-3</v>
      </c>
      <c r="CH58" s="13"/>
      <c r="CI58" s="53">
        <v>2000</v>
      </c>
      <c r="CJ58" s="284">
        <f>IVA!BR184/IVA!CJ9</f>
        <v>3.3171471950985856E-3</v>
      </c>
      <c r="CK58" s="284">
        <f>IVA!BS184/IVA!CK9</f>
        <v>3.5284168026043861E-3</v>
      </c>
      <c r="CL58" s="284">
        <f>IVA!BT184/IVA!CL9</f>
        <v>3.3442648075268839E-3</v>
      </c>
      <c r="CM58" s="285">
        <f>IVA!BU184/IVA!CM9</f>
        <v>3.2634820840992877E-3</v>
      </c>
      <c r="CN58" s="286">
        <f>IVA!BV184/IVA!CN9</f>
        <v>1.3458722474931059E-2</v>
      </c>
      <c r="CO58" s="63"/>
      <c r="CP58" s="63"/>
      <c r="CQ58" s="13"/>
      <c r="DY58" s="220" t="s">
        <v>467</v>
      </c>
      <c r="DZ58" s="221"/>
      <c r="EA58" s="204"/>
      <c r="EB58" s="234">
        <v>21457283032</v>
      </c>
      <c r="EC58" s="234">
        <v>314398474</v>
      </c>
      <c r="ED58" s="234">
        <v>21771681506</v>
      </c>
      <c r="EE58" s="234">
        <v>18898615171.349998</v>
      </c>
      <c r="EF58" s="234">
        <v>18896594343.209999</v>
      </c>
      <c r="EG58" s="235">
        <v>17977488549.5</v>
      </c>
      <c r="EH58" s="236">
        <f>IVA!EF58-IVA!EG58</f>
        <v>919105793.70999908</v>
      </c>
      <c r="EJ58" s="31">
        <v>2006</v>
      </c>
      <c r="EK58" s="32">
        <v>5695.2610000000004</v>
      </c>
      <c r="EL58" s="33">
        <v>4901.1279999999997</v>
      </c>
      <c r="EN58" s="320" t="s">
        <v>86</v>
      </c>
      <c r="EP58" s="1" t="s">
        <v>87</v>
      </c>
      <c r="ER58" s="1" t="s">
        <v>468</v>
      </c>
      <c r="ES58" s="1" t="s">
        <v>87</v>
      </c>
      <c r="ET58" s="1" t="s">
        <v>469</v>
      </c>
      <c r="EU58" s="1" t="s">
        <v>470</v>
      </c>
      <c r="EV58" s="1" t="s">
        <v>471</v>
      </c>
    </row>
    <row r="59" spans="27:156" ht="12.75" customHeight="1">
      <c r="AA59" s="321">
        <v>2012</v>
      </c>
      <c r="AB59" s="321" t="s">
        <v>412</v>
      </c>
      <c r="AC59" s="322"/>
      <c r="AD59" s="323"/>
      <c r="AE59" s="324">
        <v>9501788.4834800009</v>
      </c>
      <c r="AF59" s="324">
        <v>8847671.2525500003</v>
      </c>
      <c r="AG59" s="324">
        <v>7771491.3755700001</v>
      </c>
      <c r="AH59" s="324">
        <v>7467709.6089899996</v>
      </c>
      <c r="AI59" s="324">
        <v>14883359.131720001</v>
      </c>
      <c r="AJ59" s="324">
        <v>16034548.378110001</v>
      </c>
      <c r="AK59" s="324">
        <v>10986156.171530001</v>
      </c>
      <c r="AL59" s="324">
        <v>12244326.946660001</v>
      </c>
      <c r="AM59" s="324">
        <v>10832253.511050001</v>
      </c>
      <c r="AN59" s="324">
        <v>12489837.46916</v>
      </c>
      <c r="AO59" s="324">
        <v>13778126.815239999</v>
      </c>
      <c r="AP59" s="324">
        <v>13602331.89941</v>
      </c>
      <c r="AQ59" s="325">
        <f>IVA!AE59+IVA!AF59+IVA!AG59</f>
        <v>26120951.1116</v>
      </c>
      <c r="AR59" s="325">
        <f>IVA!AH59+IVA!AI59+IVA!AJ59</f>
        <v>38385617.118820004</v>
      </c>
      <c r="AS59" s="325">
        <f>IVA!AK59+IVA!AL59+IVA!AM59</f>
        <v>34062736.629240006</v>
      </c>
      <c r="AT59" s="325">
        <f>IVA!AN59+IVA!AO59+IVA!AP59</f>
        <v>39870296.183810003</v>
      </c>
      <c r="AU59" s="248">
        <f>IVA!AQ59+IVA!AR59+IVA!AS59+IVA!AT59</f>
        <v>138439601.04347003</v>
      </c>
      <c r="AV59" s="250">
        <f>IVA!AQ59/IVA!CJ21</f>
        <v>1.3931656890292196E-2</v>
      </c>
      <c r="AW59" s="250">
        <f>IVA!AR59/IVA!CK21</f>
        <v>1.6886443775283918E-2</v>
      </c>
      <c r="AX59" s="250">
        <f>IVA!AS59/IVA!CL21</f>
        <v>1.5604283291559462E-2</v>
      </c>
      <c r="AY59" s="250">
        <f>IVA!AT59/IVA!CM21</f>
        <v>1.7141308559134424E-2</v>
      </c>
      <c r="AZ59" s="294">
        <f>IVA!AU59/IVA!CN21</f>
        <v>6.3966669676584015E-2</v>
      </c>
      <c r="BA59" s="295">
        <v>2012</v>
      </c>
      <c r="BB59" s="326" t="s">
        <v>413</v>
      </c>
      <c r="BC59" s="327"/>
      <c r="BD59" s="327"/>
      <c r="BE59" s="327"/>
      <c r="BF59" s="328">
        <v>641889.28359999997</v>
      </c>
      <c r="BG59" s="328">
        <v>610910.54758000001</v>
      </c>
      <c r="BH59" s="328">
        <v>591032.48293000006</v>
      </c>
      <c r="BI59" s="328">
        <v>632126.09935999999</v>
      </c>
      <c r="BJ59" s="328">
        <v>568730.06131000002</v>
      </c>
      <c r="BK59" s="328">
        <v>586723.59941000002</v>
      </c>
      <c r="BL59" s="328">
        <v>623666.41740999999</v>
      </c>
      <c r="BM59" s="328">
        <v>603912.42304999998</v>
      </c>
      <c r="BN59" s="328">
        <v>671507.24419</v>
      </c>
      <c r="BO59" s="328">
        <v>650555.64673000004</v>
      </c>
      <c r="BP59" s="328">
        <v>655033.08273999998</v>
      </c>
      <c r="BQ59" s="329">
        <v>676454.19258999999</v>
      </c>
      <c r="BR59" s="257">
        <f>IVA!BF59+IVA!BG59+IVA!BH59</f>
        <v>1843832.3141100002</v>
      </c>
      <c r="BS59" s="257">
        <f>IVA!BI59+IVA!BJ59+IVA!BK59</f>
        <v>1787579.7600800002</v>
      </c>
      <c r="BT59" s="257">
        <f>IVA!BL59+IVA!BM59+IVA!BN59</f>
        <v>1899086.0846500001</v>
      </c>
      <c r="BU59" s="258">
        <f>IVA!BO59+IVA!BP59+IVA!BQ59</f>
        <v>1982042.9220600002</v>
      </c>
      <c r="BV59" s="259">
        <f>IVA!BR59+IVA!BS59+IVA!BT59+IVA!BU59</f>
        <v>7512541.0809000004</v>
      </c>
      <c r="BW59" s="262">
        <f>IVA!BR59/IVA!CJ21</f>
        <v>9.8341132578462736E-4</v>
      </c>
      <c r="BX59" s="261">
        <f>IVA!BS59/IVA!CK21</f>
        <v>7.863847810232722E-4</v>
      </c>
      <c r="BY59" s="262">
        <f>IVA!BT59/IVA!CL21</f>
        <v>8.6997934377647376E-4</v>
      </c>
      <c r="BZ59" s="262">
        <f>IVA!BU59/IVA!CM21</f>
        <v>8.5213335631740108E-4</v>
      </c>
      <c r="CA59" s="301">
        <f>IVA!BV59/IVA!CN21</f>
        <v>3.4712049885408467E-3</v>
      </c>
      <c r="CH59" s="13"/>
      <c r="CI59" s="53">
        <v>2001</v>
      </c>
      <c r="CJ59" s="284">
        <f>IVA!BR185/IVA!CJ10</f>
        <v>3.3889176433584728E-3</v>
      </c>
      <c r="CK59" s="284">
        <f>IVA!BS185/IVA!CK10</f>
        <v>3.5414648583603661E-3</v>
      </c>
      <c r="CL59" s="284">
        <f>IVA!BT185/IVA!CL10</f>
        <v>3.0240509377823478E-3</v>
      </c>
      <c r="CM59" s="285">
        <f>IVA!BU185/IVA!CM10</f>
        <v>2.7908392251833058E-3</v>
      </c>
      <c r="CN59" s="286">
        <f>IVA!BV185/IVA!CN10</f>
        <v>1.2789649640256169E-2</v>
      </c>
      <c r="CO59" s="63"/>
      <c r="CP59" s="63"/>
      <c r="CQ59" s="13"/>
      <c r="DY59" s="317" t="s">
        <v>433</v>
      </c>
      <c r="DZ59" s="45"/>
      <c r="EA59" s="208">
        <v>2004</v>
      </c>
      <c r="EB59" s="225">
        <v>25296631498</v>
      </c>
      <c r="EC59" s="225">
        <v>2328009440</v>
      </c>
      <c r="ED59" s="225">
        <v>27624640938</v>
      </c>
      <c r="EE59" s="225">
        <v>25740214119.619999</v>
      </c>
      <c r="EF59" s="225">
        <v>25661388898.450001</v>
      </c>
      <c r="EG59" s="226">
        <v>25556802656.34</v>
      </c>
      <c r="EH59" s="227">
        <f>IVA!EF59-IVA!EG59</f>
        <v>104586242.11000061</v>
      </c>
      <c r="EJ59" s="31">
        <v>2007</v>
      </c>
      <c r="EK59" s="32">
        <v>5817.6509999999998</v>
      </c>
      <c r="EL59" s="33">
        <v>5005.4920000000002</v>
      </c>
      <c r="EN59" s="97" t="s">
        <v>173</v>
      </c>
      <c r="EO59" s="1" t="s">
        <v>472</v>
      </c>
      <c r="EP59" s="1" t="s">
        <v>473</v>
      </c>
      <c r="EQ59" s="1" t="s">
        <v>474</v>
      </c>
      <c r="ER59" s="1" t="s">
        <v>475</v>
      </c>
      <c r="ES59" s="1">
        <v>46.936999999999998</v>
      </c>
      <c r="ET59" s="1">
        <v>18.577999999999999</v>
      </c>
      <c r="EU59" s="1">
        <v>9.048</v>
      </c>
      <c r="EV59" s="1">
        <v>19.311</v>
      </c>
      <c r="EZ59" s="54">
        <f>IVA!EO59*12*IVA!EY17/1000</f>
        <v>14423611.315560002</v>
      </c>
    </row>
    <row r="60" spans="27:156" ht="12.75" customHeight="1">
      <c r="AA60" s="321">
        <v>1996</v>
      </c>
      <c r="AB60" s="302" t="s">
        <v>476</v>
      </c>
      <c r="AC60" s="322"/>
      <c r="AD60" s="323"/>
      <c r="AE60" s="313">
        <f>IVA!AE43-580000/12</f>
        <v>478913.66666666669</v>
      </c>
      <c r="AF60" s="313">
        <f>IVA!AF43-580000/12</f>
        <v>529863.66666666663</v>
      </c>
      <c r="AG60" s="313">
        <f>IVA!AG43-580000/12</f>
        <v>437424.66666666669</v>
      </c>
      <c r="AH60" s="313">
        <f>IVA!AH43-580000/12</f>
        <v>428649.66666666669</v>
      </c>
      <c r="AI60" s="313">
        <f>IVA!AI43-580000/12</f>
        <v>641413.66666666663</v>
      </c>
      <c r="AJ60" s="313">
        <f>IVA!AJ43-580000/12</f>
        <v>688362.66666666663</v>
      </c>
      <c r="AK60" s="313">
        <f>IVA!AK43-580000/12</f>
        <v>509523.66666666669</v>
      </c>
      <c r="AL60" s="313">
        <f>IVA!AL43-580000/12</f>
        <v>465071.66666666669</v>
      </c>
      <c r="AM60" s="313">
        <f>IVA!AM43-580000/12</f>
        <v>435895.66666666669</v>
      </c>
      <c r="AN60" s="313">
        <f>IVA!AN43-580000/12</f>
        <v>474043.66666666669</v>
      </c>
      <c r="AO60" s="313">
        <f>IVA!AO43-580000/12</f>
        <v>625895.66666666663</v>
      </c>
      <c r="AP60" s="313">
        <f>IVA!AP43-580000/12</f>
        <v>506567.66666666669</v>
      </c>
      <c r="AQ60" s="153">
        <f>IVA!AE60+IVA!AF60+IVA!AG60</f>
        <v>1446202</v>
      </c>
      <c r="AR60" s="153">
        <f>IVA!AF60+IVA!AG60+IVA!AH60</f>
        <v>1395938</v>
      </c>
      <c r="AS60" s="153">
        <f>IVA!AG60+IVA!AH60+IVA!AI60</f>
        <v>1507488</v>
      </c>
      <c r="AT60" s="153">
        <f>IVA!AH60+IVA!AI60+IVA!AJ60</f>
        <v>1758426</v>
      </c>
      <c r="AU60" s="127">
        <f>IVA!AQ60+IVA!AR60+IVA!AS60+IVA!AT60</f>
        <v>6108054</v>
      </c>
      <c r="AV60" s="250"/>
      <c r="AW60" s="250"/>
      <c r="AX60" s="250"/>
      <c r="AY60" s="250"/>
      <c r="AZ60" s="294"/>
      <c r="BA60" s="264">
        <v>1996</v>
      </c>
      <c r="BB60" s="330" t="s">
        <v>477</v>
      </c>
      <c r="BC60" s="331"/>
      <c r="BD60" s="331"/>
      <c r="BE60" s="331"/>
      <c r="BF60" s="332">
        <v>20240</v>
      </c>
      <c r="BG60" s="332">
        <v>21859</v>
      </c>
      <c r="BH60" s="332">
        <v>22029</v>
      </c>
      <c r="BI60" s="332">
        <v>21950</v>
      </c>
      <c r="BJ60" s="332">
        <v>20943</v>
      </c>
      <c r="BK60" s="332">
        <v>22155</v>
      </c>
      <c r="BL60" s="332">
        <v>20727</v>
      </c>
      <c r="BM60" s="332">
        <v>20449</v>
      </c>
      <c r="BN60" s="332">
        <v>18809</v>
      </c>
      <c r="BO60" s="332">
        <v>20802</v>
      </c>
      <c r="BP60" s="332">
        <v>20382</v>
      </c>
      <c r="BQ60" s="333">
        <v>19164</v>
      </c>
      <c r="BR60" s="173">
        <f>IVA!BF60+IVA!BG60+IVA!BH60</f>
        <v>64128</v>
      </c>
      <c r="BS60" s="173">
        <f>IVA!BI60+IVA!BJ60+IVA!BK60</f>
        <v>65048</v>
      </c>
      <c r="BT60" s="173">
        <f>IVA!BL60+IVA!BM60+IVA!BN60</f>
        <v>59985</v>
      </c>
      <c r="BU60" s="174">
        <f>IVA!BO60+IVA!BP60+IVA!BQ60</f>
        <v>60348</v>
      </c>
      <c r="BV60" s="135">
        <f>IVA!BR60+IVA!BS60+IVA!BT60+IVA!BU60</f>
        <v>249509</v>
      </c>
      <c r="BW60" s="136"/>
      <c r="BX60" s="137"/>
      <c r="BY60" s="136"/>
      <c r="BZ60" s="136"/>
      <c r="CA60" s="271"/>
      <c r="CH60" s="13"/>
      <c r="CI60" s="53">
        <v>2002</v>
      </c>
      <c r="CJ60" s="284">
        <f>IVA!BR186/IVA!CJ11</f>
        <v>2.8263051243591123E-3</v>
      </c>
      <c r="CK60" s="284">
        <f>IVA!BS186/IVA!CK11</f>
        <v>2.4783362204418122E-3</v>
      </c>
      <c r="CL60" s="284">
        <f>IVA!BT186/IVA!CL11</f>
        <v>2.7251930777415214E-3</v>
      </c>
      <c r="CM60" s="285">
        <f>IVA!BU186/IVA!CM11</f>
        <v>2.9035149496489843E-3</v>
      </c>
      <c r="CN60" s="286">
        <f>IVA!BV186/IVA!CN11</f>
        <v>1.0903835514353276E-2</v>
      </c>
      <c r="CO60" s="63"/>
      <c r="CP60" s="63"/>
      <c r="CQ60" s="13"/>
      <c r="DY60" s="213" t="s">
        <v>478</v>
      </c>
      <c r="EA60" s="177"/>
      <c r="EB60" s="228">
        <v>3799941652</v>
      </c>
      <c r="EC60" s="228">
        <v>298237912</v>
      </c>
      <c r="ED60" s="228">
        <v>4098179564</v>
      </c>
      <c r="EE60" s="228">
        <v>3965020940.5799999</v>
      </c>
      <c r="EF60" s="228">
        <v>3901394235.7399998</v>
      </c>
      <c r="EG60" s="229">
        <v>3865862635.29</v>
      </c>
      <c r="EH60" s="230">
        <f>IVA!EF60-IVA!EG60</f>
        <v>35531600.449999809</v>
      </c>
      <c r="EJ60" s="31">
        <v>2008</v>
      </c>
      <c r="EK60" s="32">
        <v>5936.6180000000004</v>
      </c>
      <c r="EL60" s="33">
        <v>5104.63</v>
      </c>
      <c r="EN60" s="97" t="s">
        <v>182</v>
      </c>
      <c r="EO60" s="1" t="s">
        <v>479</v>
      </c>
      <c r="EP60" s="1" t="s">
        <v>480</v>
      </c>
      <c r="EQ60" s="1" t="s">
        <v>481</v>
      </c>
      <c r="ER60" s="1" t="s">
        <v>482</v>
      </c>
      <c r="ES60" s="1">
        <v>69.097999999999999</v>
      </c>
      <c r="ET60" s="1">
        <v>28.847999999999999</v>
      </c>
      <c r="EU60" s="1">
        <v>11.355</v>
      </c>
      <c r="EV60" s="1">
        <v>28.895</v>
      </c>
      <c r="EZ60" s="54">
        <f>IVA!EO60*12*IVA!EY18/1000</f>
        <v>14780325.312000001</v>
      </c>
    </row>
    <row r="61" spans="27:156" ht="12.75" customHeight="1">
      <c r="AA61" s="302">
        <v>1997</v>
      </c>
      <c r="AB61" s="302" t="s">
        <v>476</v>
      </c>
      <c r="AC61" s="311"/>
      <c r="AD61" s="312"/>
      <c r="AE61" s="313">
        <f>IVA!AE44-580000/12</f>
        <v>583409.66666666663</v>
      </c>
      <c r="AF61" s="313">
        <f>IVA!AF44-580000/12</f>
        <v>484381.66666666669</v>
      </c>
      <c r="AG61" s="313">
        <f>IVA!AG44-580000/12</f>
        <v>479482.66666666669</v>
      </c>
      <c r="AH61" s="313">
        <f>IVA!AH44-580000/12</f>
        <v>699294.66666666663</v>
      </c>
      <c r="AI61" s="313">
        <f>IVA!AI44-580000/12</f>
        <v>1240457.6666666667</v>
      </c>
      <c r="AJ61" s="313">
        <f>IVA!AJ44-580000/12</f>
        <v>614387.66666666663</v>
      </c>
      <c r="AK61" s="313">
        <f>IVA!AK44-580000/12</f>
        <v>544640.66666666663</v>
      </c>
      <c r="AL61" s="313">
        <f>IVA!AL44-580000/12</f>
        <v>620649.66666666663</v>
      </c>
      <c r="AM61" s="313">
        <f>IVA!AM44-580000/12</f>
        <v>526567.66666666663</v>
      </c>
      <c r="AN61" s="313">
        <f>IVA!AN44-580000/12</f>
        <v>647742.66666666663</v>
      </c>
      <c r="AO61" s="313">
        <f>IVA!AO44-580000/12</f>
        <v>718091.66666666663</v>
      </c>
      <c r="AP61" s="313">
        <f>IVA!AP44-580000/12</f>
        <v>594673.66666666663</v>
      </c>
      <c r="AQ61" s="153">
        <f>IVA!AE61+IVA!AF61+IVA!AG61</f>
        <v>1547274</v>
      </c>
      <c r="AR61" s="153">
        <f>IVA!AF61+IVA!AG61+IVA!AH61</f>
        <v>1663159</v>
      </c>
      <c r="AS61" s="153">
        <f>IVA!AG61+IVA!AH61+IVA!AI61</f>
        <v>2419235</v>
      </c>
      <c r="AT61" s="153">
        <f>IVA!AH61+IVA!AI61+IVA!AJ61</f>
        <v>2554140</v>
      </c>
      <c r="AU61" s="127">
        <f>IVA!AQ61+IVA!AR61+IVA!AS61+IVA!AT61</f>
        <v>8183808</v>
      </c>
      <c r="AV61" s="128">
        <f>IVA!AQ61/IVA!CJ6</f>
        <v>5.7040256580402566E-3</v>
      </c>
      <c r="AW61" s="128">
        <f>IVA!AR61/IVA!CK6</f>
        <v>5.5462197599522181E-3</v>
      </c>
      <c r="AX61" s="128">
        <f>IVA!AS61/IVA!CL6</f>
        <v>8.1110256613200447E-3</v>
      </c>
      <c r="AY61" s="128">
        <f>IVA!AT61/IVA!CM6</f>
        <v>8.456366536586284E-3</v>
      </c>
      <c r="AZ61" s="269">
        <f>IVA!AU61/IVA!CN6</f>
        <v>2.7944544739857999E-2</v>
      </c>
      <c r="BA61" s="264">
        <v>1997</v>
      </c>
      <c r="BB61" s="330" t="s">
        <v>477</v>
      </c>
      <c r="BC61" s="331"/>
      <c r="BD61" s="331"/>
      <c r="BE61" s="331"/>
      <c r="BF61" s="332">
        <v>20067</v>
      </c>
      <c r="BG61" s="332">
        <v>20516</v>
      </c>
      <c r="BH61" s="332">
        <v>20022</v>
      </c>
      <c r="BI61" s="332">
        <v>21691</v>
      </c>
      <c r="BJ61" s="332">
        <v>22525</v>
      </c>
      <c r="BK61" s="332">
        <v>22532</v>
      </c>
      <c r="BL61" s="332">
        <v>22322</v>
      </c>
      <c r="BM61" s="332">
        <v>21171</v>
      </c>
      <c r="BN61" s="332">
        <v>24045</v>
      </c>
      <c r="BO61" s="332">
        <v>22397</v>
      </c>
      <c r="BP61" s="332">
        <v>21207</v>
      </c>
      <c r="BQ61" s="333">
        <v>20243</v>
      </c>
      <c r="BR61" s="173">
        <f>IVA!BF61+IVA!BG61+IVA!BH61</f>
        <v>60605</v>
      </c>
      <c r="BS61" s="173">
        <f>IVA!BI61+IVA!BJ61+IVA!BK61</f>
        <v>66748</v>
      </c>
      <c r="BT61" s="173">
        <f>IVA!BL61+IVA!BM61+IVA!BN61</f>
        <v>67538</v>
      </c>
      <c r="BU61" s="174">
        <f>IVA!BO61+IVA!BP61+IVA!BQ61</f>
        <v>63847</v>
      </c>
      <c r="BV61" s="135">
        <f>IVA!BR61+IVA!BS61+IVA!BT61+IVA!BU61</f>
        <v>258738</v>
      </c>
      <c r="BW61" s="136"/>
      <c r="BX61" s="137"/>
      <c r="BY61" s="136"/>
      <c r="BZ61" s="136"/>
      <c r="CA61" s="271"/>
      <c r="CH61" s="13"/>
      <c r="CI61" s="53">
        <v>2003</v>
      </c>
      <c r="CJ61" s="284">
        <f>IVA!BR187/IVA!CJ12</f>
        <v>3.0893325288698717E-3</v>
      </c>
      <c r="CK61" s="284">
        <f>IVA!BS187/IVA!CK12</f>
        <v>3.213222055444468E-3</v>
      </c>
      <c r="CL61" s="284">
        <f>IVA!BT187/IVA!CL12</f>
        <v>3.4361393966893627E-3</v>
      </c>
      <c r="CM61" s="285">
        <f>IVA!BU187/IVA!CM12</f>
        <v>3.4677159823638549E-3</v>
      </c>
      <c r="CN61" s="286">
        <f>IVA!BV187/IVA!CN12</f>
        <v>1.3239399832887517E-2</v>
      </c>
      <c r="CO61" s="63"/>
      <c r="CP61" s="63"/>
      <c r="CQ61" s="13"/>
      <c r="DY61" s="213" t="s">
        <v>483</v>
      </c>
      <c r="EA61" s="193"/>
      <c r="EB61" s="228">
        <v>12962000</v>
      </c>
      <c r="EC61" s="228">
        <v>0</v>
      </c>
      <c r="ED61" s="228">
        <v>12962000</v>
      </c>
      <c r="EE61" s="228">
        <v>9470660.5700000003</v>
      </c>
      <c r="EF61" s="228">
        <v>9467669.0700000003</v>
      </c>
      <c r="EG61" s="229">
        <v>8710254.0099999998</v>
      </c>
      <c r="EH61" s="230">
        <f>IVA!EF61-IVA!EG61</f>
        <v>757415.06000000052</v>
      </c>
      <c r="EJ61" s="31">
        <v>2009</v>
      </c>
      <c r="EK61" s="32">
        <v>6052.9120000000003</v>
      </c>
      <c r="EL61" s="33">
        <v>5199.8670000000002</v>
      </c>
      <c r="EN61" s="97" t="s">
        <v>192</v>
      </c>
      <c r="EO61" s="1" t="s">
        <v>484</v>
      </c>
      <c r="EP61" s="1" t="s">
        <v>485</v>
      </c>
      <c r="EQ61" s="1" t="s">
        <v>486</v>
      </c>
      <c r="ER61" s="1" t="s">
        <v>487</v>
      </c>
      <c r="ES61" s="1">
        <v>106.876</v>
      </c>
      <c r="ET61" s="1">
        <v>51.938000000000002</v>
      </c>
      <c r="EU61" s="1">
        <v>15.750999999999999</v>
      </c>
      <c r="EV61" s="1">
        <v>39.186999999999998</v>
      </c>
      <c r="EZ61" s="54">
        <f>IVA!EO61*12*IVA!EY19/1000</f>
        <v>15501733.539239999</v>
      </c>
    </row>
    <row r="62" spans="27:156" ht="12.75" customHeight="1">
      <c r="AA62" s="302">
        <v>1998</v>
      </c>
      <c r="AB62" s="302" t="s">
        <v>476</v>
      </c>
      <c r="AC62" s="311"/>
      <c r="AD62" s="312"/>
      <c r="AE62" s="313">
        <f>IVA!AE45-580000/12</f>
        <v>604249.66666666663</v>
      </c>
      <c r="AF62" s="313">
        <f>IVA!AF45-580000/12</f>
        <v>640892.66666666663</v>
      </c>
      <c r="AG62" s="313">
        <f>IVA!AG45-580000/12</f>
        <v>535844.66666666663</v>
      </c>
      <c r="AH62" s="313">
        <f>IVA!AH45-580000/12</f>
        <v>709732.66666666663</v>
      </c>
      <c r="AI62" s="313">
        <f>IVA!AI45-580000/12</f>
        <v>1340081.6666666667</v>
      </c>
      <c r="AJ62" s="313">
        <f>IVA!AJ45-580000/12</f>
        <v>963953.66666666663</v>
      </c>
      <c r="AK62" s="313">
        <f>IVA!AK45-580000/12</f>
        <v>657156.66666666663</v>
      </c>
      <c r="AL62" s="313">
        <f>IVA!AL45-580000/12</f>
        <v>738083.66666666663</v>
      </c>
      <c r="AM62" s="313">
        <f>IVA!AM45-580000/12</f>
        <v>529109.66666666663</v>
      </c>
      <c r="AN62" s="313">
        <f>IVA!AN45-580000/12</f>
        <v>627021.66666666663</v>
      </c>
      <c r="AO62" s="313">
        <f>IVA!AO45-580000/12</f>
        <v>651647.66666666663</v>
      </c>
      <c r="AP62" s="313">
        <f>IVA!AP45-580000/12</f>
        <v>902111.66666666663</v>
      </c>
      <c r="AQ62" s="153">
        <f>IVA!AE62+IVA!AF62+IVA!AG62</f>
        <v>1780987</v>
      </c>
      <c r="AR62" s="153">
        <f>IVA!AF62+IVA!AG62+IVA!AH62</f>
        <v>1886470</v>
      </c>
      <c r="AS62" s="153">
        <f>IVA!AG62+IVA!AH62+IVA!AI62</f>
        <v>2585659</v>
      </c>
      <c r="AT62" s="153">
        <f>IVA!AH62+IVA!AI62+IVA!AJ62</f>
        <v>3013768</v>
      </c>
      <c r="AU62" s="127">
        <f>IVA!AQ62+IVA!AR62+IVA!AS62+IVA!AT62</f>
        <v>9266884</v>
      </c>
      <c r="AV62" s="128">
        <f>IVA!AQ62/IVA!CJ7</f>
        <v>6.2984927359918518E-3</v>
      </c>
      <c r="AW62" s="128">
        <f>IVA!AR62/IVA!CK7</f>
        <v>6.0438771435206394E-3</v>
      </c>
      <c r="AX62" s="128">
        <f>IVA!AS62/IVA!CL7</f>
        <v>8.4643946675155221E-3</v>
      </c>
      <c r="AY62" s="128">
        <f>IVA!AT62/IVA!CM7</f>
        <v>1.0201454546268371E-2</v>
      </c>
      <c r="AZ62" s="269">
        <f>IVA!AU62/IVA!CN7</f>
        <v>3.0998276909152668E-2</v>
      </c>
      <c r="BA62" s="264">
        <v>1998</v>
      </c>
      <c r="BB62" s="330" t="s">
        <v>477</v>
      </c>
      <c r="BC62" s="331"/>
      <c r="BD62" s="331"/>
      <c r="BE62" s="331"/>
      <c r="BF62" s="332">
        <v>21557</v>
      </c>
      <c r="BG62" s="332">
        <v>23290</v>
      </c>
      <c r="BH62" s="332">
        <v>23083</v>
      </c>
      <c r="BI62" s="332">
        <v>24991</v>
      </c>
      <c r="BJ62" s="332">
        <v>22524</v>
      </c>
      <c r="BK62" s="332">
        <v>22859</v>
      </c>
      <c r="BL62" s="332">
        <v>23803</v>
      </c>
      <c r="BM62" s="332">
        <v>22833</v>
      </c>
      <c r="BN62" s="332">
        <v>21637</v>
      </c>
      <c r="BO62" s="332">
        <v>23634</v>
      </c>
      <c r="BP62" s="332">
        <v>21032</v>
      </c>
      <c r="BQ62" s="333">
        <v>21247</v>
      </c>
      <c r="BR62" s="173">
        <f>IVA!BF62+IVA!BG62+IVA!BH62</f>
        <v>67930</v>
      </c>
      <c r="BS62" s="173">
        <f>IVA!BI62+IVA!BJ62+IVA!BK62</f>
        <v>70374</v>
      </c>
      <c r="BT62" s="173">
        <f>IVA!BL62+IVA!BM62+IVA!BN62</f>
        <v>68273</v>
      </c>
      <c r="BU62" s="174">
        <f>IVA!BO62+IVA!BP62+IVA!BQ62</f>
        <v>65913</v>
      </c>
      <c r="BV62" s="135">
        <f>IVA!BR62+IVA!BS62+IVA!BT62+IVA!BU62</f>
        <v>272490</v>
      </c>
      <c r="BW62" s="136"/>
      <c r="BX62" s="137"/>
      <c r="BY62" s="136"/>
      <c r="BZ62" s="136"/>
      <c r="CA62" s="271"/>
      <c r="CH62" s="13"/>
      <c r="CI62" s="53">
        <v>2004</v>
      </c>
      <c r="CJ62" s="284">
        <f>IVA!BR188/IVA!CJ13</f>
        <v>3.7719006060729652E-3</v>
      </c>
      <c r="CK62" s="284">
        <f>IVA!BS188/IVA!CK13</f>
        <v>4.5621338354102465E-3</v>
      </c>
      <c r="CL62" s="284">
        <f>IVA!BT188/IVA!CL13</f>
        <v>4.0450398511881255E-3</v>
      </c>
      <c r="CM62" s="285">
        <f>IVA!BU188/IVA!CM13</f>
        <v>3.7065273256735756E-3</v>
      </c>
      <c r="CN62" s="286">
        <f>IVA!BV188/IVA!CN13</f>
        <v>1.6131730106346762E-2</v>
      </c>
      <c r="CO62" s="63"/>
      <c r="CP62" s="63"/>
      <c r="CQ62" s="13"/>
      <c r="DY62" s="220" t="s">
        <v>488</v>
      </c>
      <c r="DZ62" s="221"/>
      <c r="EA62" s="204"/>
      <c r="EB62" s="234">
        <v>21483727846</v>
      </c>
      <c r="EC62" s="234">
        <v>2029771528</v>
      </c>
      <c r="ED62" s="234">
        <v>23513499374</v>
      </c>
      <c r="EE62" s="234">
        <v>21765722518.470001</v>
      </c>
      <c r="EF62" s="234">
        <v>21750526993.639999</v>
      </c>
      <c r="EG62" s="235">
        <v>21682229767.040001</v>
      </c>
      <c r="EH62" s="236">
        <f>IVA!EF62-IVA!EG62</f>
        <v>68297226.599998474</v>
      </c>
      <c r="EJ62" s="31">
        <v>2010</v>
      </c>
      <c r="EK62" s="32">
        <v>6167.3819999999996</v>
      </c>
      <c r="EL62" s="33">
        <v>5292.5789999999997</v>
      </c>
      <c r="EN62" s="97" t="s">
        <v>208</v>
      </c>
      <c r="EO62" s="1" t="s">
        <v>489</v>
      </c>
      <c r="EP62" s="1" t="s">
        <v>490</v>
      </c>
      <c r="EQ62" s="1" t="s">
        <v>491</v>
      </c>
      <c r="ER62" s="1" t="s">
        <v>492</v>
      </c>
      <c r="ES62" s="1">
        <v>140.982</v>
      </c>
      <c r="ET62" s="1">
        <v>70.986999999999995</v>
      </c>
      <c r="EU62" s="1">
        <v>20.274999999999999</v>
      </c>
      <c r="EV62" s="1">
        <v>49.72</v>
      </c>
      <c r="EZ62" s="54">
        <f>IVA!EO62*12*IVA!EY20/1000</f>
        <v>18455673.666239999</v>
      </c>
    </row>
    <row r="63" spans="27:156" ht="12.75" customHeight="1">
      <c r="AA63" s="302">
        <v>1999</v>
      </c>
      <c r="AB63" s="302" t="s">
        <v>476</v>
      </c>
      <c r="AC63" s="311"/>
      <c r="AD63" s="312"/>
      <c r="AE63" s="313">
        <f>IVA!AE46-580000/12</f>
        <v>672763.66666666663</v>
      </c>
      <c r="AF63" s="313">
        <f>IVA!AF46-580000/12</f>
        <v>602115.66666666663</v>
      </c>
      <c r="AG63" s="313">
        <f>IVA!AG46-580000/12</f>
        <v>602415.66666666663</v>
      </c>
      <c r="AH63" s="313">
        <f>IVA!AH46-580000/12</f>
        <v>633556.66666666663</v>
      </c>
      <c r="AI63" s="313">
        <f>IVA!AI46-580000/12</f>
        <v>1090117.6666666667</v>
      </c>
      <c r="AJ63" s="313">
        <f>IVA!AJ46-580000/12</f>
        <v>753021.66666666663</v>
      </c>
      <c r="AK63" s="313">
        <f>IVA!AK46-580000/12</f>
        <v>705522.66666666663</v>
      </c>
      <c r="AL63" s="313">
        <f>IVA!AL46-580000/12</f>
        <v>746867.66666666663</v>
      </c>
      <c r="AM63" s="313">
        <f>IVA!AM46-580000/12</f>
        <v>652784.66666666663</v>
      </c>
      <c r="AN63" s="313">
        <f>IVA!AN46-580000/12</f>
        <v>716439.66666666663</v>
      </c>
      <c r="AO63" s="313">
        <f>IVA!AO46-580000/12</f>
        <v>797602.66666666663</v>
      </c>
      <c r="AP63" s="313">
        <f>IVA!AP46-580000/12</f>
        <v>686758.66666666663</v>
      </c>
      <c r="AQ63" s="153">
        <f>IVA!AE63+IVA!AF63+IVA!AG63</f>
        <v>1877295</v>
      </c>
      <c r="AR63" s="153">
        <f>IVA!AF63+IVA!AG63+IVA!AH63</f>
        <v>1838088</v>
      </c>
      <c r="AS63" s="153">
        <f>IVA!AG63+IVA!AH63+IVA!AI63</f>
        <v>2326090</v>
      </c>
      <c r="AT63" s="153">
        <f>IVA!AH63+IVA!AI63+IVA!AJ63</f>
        <v>2476696</v>
      </c>
      <c r="AU63" s="127">
        <f>IVA!AQ63+IVA!AR63+IVA!AS63+IVA!AT63</f>
        <v>8518169</v>
      </c>
      <c r="AV63" s="128">
        <f>IVA!AQ63/IVA!CJ8</f>
        <v>6.9337866487408865E-3</v>
      </c>
      <c r="AW63" s="128">
        <f>IVA!AR63/IVA!CK8</f>
        <v>6.3639127404001771E-3</v>
      </c>
      <c r="AX63" s="128">
        <f>IVA!AS63/IVA!CL8</f>
        <v>8.159227974157586E-3</v>
      </c>
      <c r="AY63" s="128">
        <f>IVA!AT63/IVA!CM8</f>
        <v>8.5571848829104052E-3</v>
      </c>
      <c r="AZ63" s="269">
        <f>IVA!AU63/IVA!CN8</f>
        <v>3.0044011524724006E-2</v>
      </c>
      <c r="BA63" s="264">
        <v>1999</v>
      </c>
      <c r="BB63" s="330" t="s">
        <v>477</v>
      </c>
      <c r="BC63" s="331"/>
      <c r="BD63" s="331"/>
      <c r="BE63" s="331"/>
      <c r="BF63" s="332">
        <v>22564</v>
      </c>
      <c r="BG63" s="332">
        <v>21371</v>
      </c>
      <c r="BH63" s="332">
        <v>23654</v>
      </c>
      <c r="BI63" s="332">
        <v>25959</v>
      </c>
      <c r="BJ63" s="332">
        <v>24124</v>
      </c>
      <c r="BK63" s="332">
        <v>23113</v>
      </c>
      <c r="BL63" s="332">
        <v>23390</v>
      </c>
      <c r="BM63" s="332">
        <v>17592</v>
      </c>
      <c r="BN63" s="332">
        <v>18045</v>
      </c>
      <c r="BO63" s="332">
        <v>17909</v>
      </c>
      <c r="BP63" s="332">
        <v>19597</v>
      </c>
      <c r="BQ63" s="333">
        <v>18001</v>
      </c>
      <c r="BR63" s="173">
        <f>IVA!BF63+IVA!BG63+IVA!BH63</f>
        <v>67589</v>
      </c>
      <c r="BS63" s="173">
        <f>IVA!BI63+IVA!BJ63+IVA!BK63</f>
        <v>73196</v>
      </c>
      <c r="BT63" s="173">
        <f>IVA!BL63+IVA!BM63+IVA!BN63</f>
        <v>59027</v>
      </c>
      <c r="BU63" s="174">
        <f>IVA!BO63+IVA!BP63+IVA!BQ63</f>
        <v>55507</v>
      </c>
      <c r="BV63" s="135">
        <f>IVA!BR63+IVA!BS63+IVA!BT63+IVA!BU63</f>
        <v>255319</v>
      </c>
      <c r="BW63" s="136"/>
      <c r="BX63" s="137"/>
      <c r="BY63" s="136"/>
      <c r="BZ63" s="136"/>
      <c r="CA63" s="271"/>
      <c r="CH63" s="13"/>
      <c r="CI63" s="53">
        <v>2005</v>
      </c>
      <c r="CJ63" s="284">
        <f>IVA!BR189/IVA!CJ14</f>
        <v>4.0898763600982439E-3</v>
      </c>
      <c r="CK63" s="284">
        <f>IVA!BS189/IVA!CK14</f>
        <v>4.3219055332508576E-3</v>
      </c>
      <c r="CL63" s="284">
        <f>IVA!BT189/IVA!CL14</f>
        <v>4.0101675360429629E-3</v>
      </c>
      <c r="CM63" s="285">
        <f>IVA!BU189/IVA!CM14</f>
        <v>3.9666813769599204E-3</v>
      </c>
      <c r="CN63" s="286">
        <f>IVA!BV189/IVA!CN14</f>
        <v>1.6385899009352695E-2</v>
      </c>
      <c r="CO63" s="63"/>
      <c r="CP63" s="63"/>
      <c r="CQ63" s="13"/>
      <c r="DY63" s="317" t="s">
        <v>433</v>
      </c>
      <c r="DZ63" s="45"/>
      <c r="EA63" s="208">
        <v>2005</v>
      </c>
      <c r="EB63" s="225">
        <v>29050197000</v>
      </c>
      <c r="EC63" s="225">
        <v>2181579371</v>
      </c>
      <c r="ED63" s="225">
        <v>31231776371</v>
      </c>
      <c r="EE63" s="225">
        <v>29150811322.400002</v>
      </c>
      <c r="EF63" s="225">
        <v>29135431516.669998</v>
      </c>
      <c r="EG63" s="226">
        <v>28782464265.549999</v>
      </c>
      <c r="EH63" s="227">
        <f>IVA!EF63-IVA!EG63</f>
        <v>352967251.11999893</v>
      </c>
      <c r="EJ63" s="31">
        <v>2011</v>
      </c>
      <c r="EK63" s="32">
        <v>6303.9269999999997</v>
      </c>
      <c r="EL63" s="33">
        <v>5409.9620000000004</v>
      </c>
      <c r="EN63" s="97" t="s">
        <v>224</v>
      </c>
      <c r="EO63" s="1" t="s">
        <v>493</v>
      </c>
      <c r="EP63" s="1" t="s">
        <v>494</v>
      </c>
      <c r="EQ63" s="1" t="s">
        <v>495</v>
      </c>
      <c r="ER63" s="1" t="s">
        <v>496</v>
      </c>
      <c r="ES63" s="1">
        <v>177.14599999999999</v>
      </c>
      <c r="ET63" s="1">
        <v>93.677999999999997</v>
      </c>
      <c r="EU63" s="1">
        <v>24.259</v>
      </c>
      <c r="EV63" s="1">
        <v>59.209000000000003</v>
      </c>
      <c r="EZ63" s="54">
        <f>IVA!EO63*12*IVA!EY21/1000</f>
        <v>21039531.504480001</v>
      </c>
    </row>
    <row r="64" spans="27:156" ht="12.75" customHeight="1">
      <c r="AA64" s="302">
        <v>2000</v>
      </c>
      <c r="AB64" s="302" t="s">
        <v>476</v>
      </c>
      <c r="AC64" s="311"/>
      <c r="AD64" s="312"/>
      <c r="AE64" s="313">
        <f>IVA!AE47-580000/12</f>
        <v>691249.9369666666</v>
      </c>
      <c r="AF64" s="313">
        <f>IVA!AF47-580000/12</f>
        <v>658416.12606666668</v>
      </c>
      <c r="AG64" s="313">
        <f>IVA!AG47-580000/12</f>
        <v>647235.32644666662</v>
      </c>
      <c r="AH64" s="313">
        <f>IVA!AH47-580000/12</f>
        <v>725675.87824666663</v>
      </c>
      <c r="AI64" s="313">
        <f>IVA!AI47-580000/12</f>
        <v>1140872.4803666668</v>
      </c>
      <c r="AJ64" s="313">
        <f>IVA!AJ47-580000/12</f>
        <v>1313228.8891866668</v>
      </c>
      <c r="AK64" s="313">
        <f>IVA!AK47-580000/12</f>
        <v>753961.46706666658</v>
      </c>
      <c r="AL64" s="313">
        <f>IVA!AL47-580000/12</f>
        <v>852023.34606666665</v>
      </c>
      <c r="AM64" s="313">
        <f>IVA!AM47-580000/12</f>
        <v>683638.28466666664</v>
      </c>
      <c r="AN64" s="313">
        <f>IVA!AN47-580000/12</f>
        <v>812171.56276666664</v>
      </c>
      <c r="AO64" s="313">
        <f>IVA!AO47-580000/12</f>
        <v>769252.90872666659</v>
      </c>
      <c r="AP64" s="313">
        <f>IVA!AP47-580000/12</f>
        <v>827418.49792666663</v>
      </c>
      <c r="AQ64" s="153">
        <f>IVA!AE64+IVA!AF64+IVA!AG64</f>
        <v>1996901.3894799999</v>
      </c>
      <c r="AR64" s="153">
        <f>IVA!AF64+IVA!AG64+IVA!AH64</f>
        <v>2031327.33076</v>
      </c>
      <c r="AS64" s="153">
        <f>IVA!AG64+IVA!AH64+IVA!AI64</f>
        <v>2513783.68506</v>
      </c>
      <c r="AT64" s="153">
        <f>IVA!AH64+IVA!AI64+IVA!AJ64</f>
        <v>3179777.2478</v>
      </c>
      <c r="AU64" s="127">
        <f>IVA!AQ64+IVA!AR64+IVA!AS64+IVA!AT64</f>
        <v>9721789.6530999988</v>
      </c>
      <c r="AV64" s="128">
        <f>IVA!AQ64/IVA!CJ9</f>
        <v>7.3837888416086132E-3</v>
      </c>
      <c r="AW64" s="128">
        <f>IVA!AR64/IVA!CK9</f>
        <v>6.9614638302231855E-3</v>
      </c>
      <c r="AX64" s="128">
        <f>IVA!AS64/IVA!CL9</f>
        <v>8.7437279540295114E-3</v>
      </c>
      <c r="AY64" s="128">
        <f>IVA!AT64/IVA!CM9</f>
        <v>1.1076313875075327E-2</v>
      </c>
      <c r="AZ64" s="269">
        <f>IVA!AU64/IVA!CN9</f>
        <v>3.4207113799926782E-2</v>
      </c>
      <c r="BA64" s="264">
        <v>2000</v>
      </c>
      <c r="BB64" s="330" t="s">
        <v>477</v>
      </c>
      <c r="BC64" s="331"/>
      <c r="BD64" s="331"/>
      <c r="BE64" s="331"/>
      <c r="BF64" s="332">
        <v>20217</v>
      </c>
      <c r="BG64" s="332">
        <v>16082</v>
      </c>
      <c r="BH64" s="332">
        <v>19348</v>
      </c>
      <c r="BI64" s="332">
        <v>18857</v>
      </c>
      <c r="BJ64" s="332">
        <v>17747</v>
      </c>
      <c r="BK64" s="332">
        <v>19203</v>
      </c>
      <c r="BL64" s="332">
        <v>19988</v>
      </c>
      <c r="BM64" s="332">
        <v>13435</v>
      </c>
      <c r="BN64" s="332">
        <v>13542</v>
      </c>
      <c r="BO64" s="332">
        <v>12054</v>
      </c>
      <c r="BP64" s="332">
        <v>12216</v>
      </c>
      <c r="BQ64" s="333">
        <v>11417</v>
      </c>
      <c r="BR64" s="173">
        <f>IVA!BF64+IVA!BG64+IVA!BH64</f>
        <v>55647</v>
      </c>
      <c r="BS64" s="173">
        <f>IVA!BI64+IVA!BJ64+IVA!BK64</f>
        <v>55807</v>
      </c>
      <c r="BT64" s="173">
        <f>IVA!BL64+IVA!BM64+IVA!BN64</f>
        <v>46965</v>
      </c>
      <c r="BU64" s="174">
        <f>IVA!BO64+IVA!BP64+IVA!BQ64</f>
        <v>35687</v>
      </c>
      <c r="BV64" s="135">
        <f>IVA!BR64+IVA!BS64+IVA!BT64+IVA!BU64</f>
        <v>194106</v>
      </c>
      <c r="BW64" s="136"/>
      <c r="BX64" s="137"/>
      <c r="BY64" s="136"/>
      <c r="BZ64" s="136"/>
      <c r="CA64" s="271"/>
      <c r="CH64" s="13"/>
      <c r="CI64" s="53">
        <v>2006</v>
      </c>
      <c r="CJ64" s="284">
        <f>IVA!BR190/IVA!CJ15</f>
        <v>4.1236936320933025E-3</v>
      </c>
      <c r="CK64" s="284">
        <f>IVA!BS190/IVA!CK15</f>
        <v>4.0812203906032849E-3</v>
      </c>
      <c r="CL64" s="284">
        <f>IVA!BT190/IVA!CL15</f>
        <v>4.0535281449970992E-3</v>
      </c>
      <c r="CM64" s="285">
        <f>IVA!BU190/IVA!CM15</f>
        <v>4.2267529084685932E-3</v>
      </c>
      <c r="CN64" s="286">
        <f>IVA!BV190/IVA!CN15</f>
        <v>1.6489863095216595E-2</v>
      </c>
      <c r="CO64" s="63"/>
      <c r="CP64" s="63"/>
      <c r="CQ64" s="13"/>
      <c r="DY64" s="213" t="s">
        <v>497</v>
      </c>
      <c r="EA64" s="177"/>
      <c r="EB64" s="228">
        <v>3769146000</v>
      </c>
      <c r="EC64" s="228">
        <v>46448681</v>
      </c>
      <c r="ED64" s="228">
        <v>3815594681</v>
      </c>
      <c r="EE64" s="228">
        <v>3577708151.6900001</v>
      </c>
      <c r="EF64" s="228">
        <v>3571935569.1199999</v>
      </c>
      <c r="EG64" s="229">
        <v>3518727708.5799999</v>
      </c>
      <c r="EH64" s="230">
        <f>IVA!EF64-IVA!EG64</f>
        <v>53207860.539999962</v>
      </c>
      <c r="EJ64" s="31">
        <v>2012</v>
      </c>
      <c r="EK64" s="32">
        <v>6440.9449999999997</v>
      </c>
      <c r="EL64" s="33">
        <v>5526.6540000000005</v>
      </c>
      <c r="EN64" s="97" t="s">
        <v>240</v>
      </c>
      <c r="EO64" s="1" t="s">
        <v>498</v>
      </c>
      <c r="EP64" s="1" t="s">
        <v>499</v>
      </c>
      <c r="EQ64" s="1" t="s">
        <v>500</v>
      </c>
      <c r="ER64" s="1" t="s">
        <v>501</v>
      </c>
      <c r="ES64" s="1">
        <v>227.083</v>
      </c>
      <c r="ET64" s="1">
        <v>127.691</v>
      </c>
      <c r="EU64" s="1">
        <v>29.116</v>
      </c>
      <c r="EV64" s="1">
        <v>70.275999999999996</v>
      </c>
      <c r="EZ64" s="54">
        <f>IVA!EO64*12*IVA!EY22/1000</f>
        <v>28690072.484999996</v>
      </c>
    </row>
    <row r="65" spans="27:156" ht="12.75" customHeight="1">
      <c r="AA65" s="302">
        <v>2001</v>
      </c>
      <c r="AB65" s="302" t="s">
        <v>476</v>
      </c>
      <c r="AC65" s="311"/>
      <c r="AD65" s="312"/>
      <c r="AE65" s="313">
        <f>IVA!AE48-580000/12</f>
        <v>758114.61869666667</v>
      </c>
      <c r="AF65" s="313">
        <f>IVA!AF48-580000/12</f>
        <v>710833.06493666663</v>
      </c>
      <c r="AG65" s="313">
        <f>IVA!AG48-580000/12</f>
        <v>686657.30568666663</v>
      </c>
      <c r="AH65" s="313">
        <f>IVA!AH48-580000/12</f>
        <v>569497.44649666664</v>
      </c>
      <c r="AI65" s="313">
        <f>IVA!AI48-580000/12</f>
        <v>1500512.0105166668</v>
      </c>
      <c r="AJ65" s="313">
        <f>IVA!AJ48-580000/12</f>
        <v>1266181.5610866668</v>
      </c>
      <c r="AK65" s="313">
        <f>IVA!AK48-580000/12</f>
        <v>699019.02330666664</v>
      </c>
      <c r="AL65" s="313">
        <f>IVA!AL48-580000/12</f>
        <v>736664.19060666661</v>
      </c>
      <c r="AM65" s="313">
        <f>IVA!AM48-580000/12</f>
        <v>641748.91833666665</v>
      </c>
      <c r="AN65" s="313">
        <f>IVA!AN48-580000/12</f>
        <v>679286.10747666657</v>
      </c>
      <c r="AO65" s="313">
        <f>IVA!AO48-580000/12</f>
        <v>670243.39992666664</v>
      </c>
      <c r="AP65" s="313">
        <f>IVA!AP48-580000/12</f>
        <v>592522.06923666666</v>
      </c>
      <c r="AQ65" s="153">
        <f>IVA!AE65+IVA!AF65+IVA!AG65</f>
        <v>2155604.9893199997</v>
      </c>
      <c r="AR65" s="153">
        <f>IVA!AF65+IVA!AG65+IVA!AH65</f>
        <v>1966987.81712</v>
      </c>
      <c r="AS65" s="153">
        <f>IVA!AG65+IVA!AH65+IVA!AI65</f>
        <v>2756666.7626999998</v>
      </c>
      <c r="AT65" s="153">
        <f>IVA!AH65+IVA!AI65+IVA!AJ65</f>
        <v>3336191.0181</v>
      </c>
      <c r="AU65" s="127">
        <f>IVA!AQ65+IVA!AR65+IVA!AS65+IVA!AT65</f>
        <v>10215450.587239999</v>
      </c>
      <c r="AV65" s="128">
        <f>IVA!AQ65/IVA!CJ10</f>
        <v>8.1859142650124745E-3</v>
      </c>
      <c r="AW65" s="128">
        <f>IVA!AR65/IVA!CK10</f>
        <v>6.8292005005123535E-3</v>
      </c>
      <c r="AX65" s="128">
        <f>IVA!AS65/IVA!CL10</f>
        <v>1.0158436566460314E-2</v>
      </c>
      <c r="AY65" s="128">
        <f>IVA!AT65/IVA!CM10</f>
        <v>1.3235547283952017E-2</v>
      </c>
      <c r="AZ65" s="269">
        <f>IVA!AU65/IVA!CN10</f>
        <v>3.8018517724160039E-2</v>
      </c>
      <c r="BA65" s="264">
        <v>2001</v>
      </c>
      <c r="BB65" s="330" t="s">
        <v>477</v>
      </c>
      <c r="BC65" s="331"/>
      <c r="BD65" s="331"/>
      <c r="BE65" s="331"/>
      <c r="BF65" s="332">
        <v>12989</v>
      </c>
      <c r="BG65" s="332">
        <v>11912</v>
      </c>
      <c r="BH65" s="332">
        <v>10778</v>
      </c>
      <c r="BI65" s="332">
        <v>13256</v>
      </c>
      <c r="BJ65" s="332">
        <v>11847</v>
      </c>
      <c r="BK65" s="332">
        <v>13096</v>
      </c>
      <c r="BL65" s="332">
        <v>10611</v>
      </c>
      <c r="BM65" s="332">
        <v>6997</v>
      </c>
      <c r="BN65" s="332">
        <v>6934</v>
      </c>
      <c r="BO65" s="332">
        <v>6154</v>
      </c>
      <c r="BP65" s="332">
        <v>5577</v>
      </c>
      <c r="BQ65" s="333">
        <v>5612</v>
      </c>
      <c r="BR65" s="173">
        <f>IVA!BF65+IVA!BG65+IVA!BH65</f>
        <v>35679</v>
      </c>
      <c r="BS65" s="173">
        <f>IVA!BI65+IVA!BJ65+IVA!BK65</f>
        <v>38199</v>
      </c>
      <c r="BT65" s="173">
        <f>IVA!BL65+IVA!BM65+IVA!BN65</f>
        <v>24542</v>
      </c>
      <c r="BU65" s="174">
        <f>IVA!BO65+IVA!BP65+IVA!BQ65</f>
        <v>17343</v>
      </c>
      <c r="BV65" s="135">
        <f>IVA!BR65+IVA!BS65+IVA!BT65+IVA!BU65</f>
        <v>115763</v>
      </c>
      <c r="BW65" s="136"/>
      <c r="BX65" s="137"/>
      <c r="BY65" s="136"/>
      <c r="BZ65" s="136"/>
      <c r="CA65" s="271"/>
      <c r="CH65" s="13"/>
      <c r="CI65" s="53">
        <v>2007</v>
      </c>
      <c r="CJ65" s="284">
        <f>IVA!BR191/IVA!CJ16</f>
        <v>4.3062531678827254E-3</v>
      </c>
      <c r="CK65" s="284">
        <f>IVA!BS191/IVA!CK16</f>
        <v>4.2566509221671619E-3</v>
      </c>
      <c r="CL65" s="284">
        <f>IVA!BT191/IVA!CL16</f>
        <v>4.4359513503619127E-3</v>
      </c>
      <c r="CM65" s="285">
        <f>IVA!BU191/IVA!CM16</f>
        <v>4.3137893214657058E-3</v>
      </c>
      <c r="CN65" s="286">
        <f>IVA!BV191/IVA!CN16</f>
        <v>1.7314524573333351E-2</v>
      </c>
      <c r="CO65" s="63"/>
      <c r="CP65" s="63"/>
      <c r="CQ65" s="13"/>
      <c r="CV65" s="334">
        <v>7918742.0560799995</v>
      </c>
      <c r="DY65" s="213" t="s">
        <v>502</v>
      </c>
      <c r="EA65" s="193"/>
      <c r="EB65" s="228">
        <v>13243000</v>
      </c>
      <c r="EC65" s="228">
        <v>0</v>
      </c>
      <c r="ED65" s="228">
        <v>13243000</v>
      </c>
      <c r="EE65" s="228">
        <v>11209237.720000001</v>
      </c>
      <c r="EF65" s="228">
        <v>11185261.529999999</v>
      </c>
      <c r="EG65" s="229">
        <v>9710324.7799999993</v>
      </c>
      <c r="EH65" s="230">
        <f>IVA!EF65-IVA!EG65</f>
        <v>1474936.75</v>
      </c>
      <c r="EJ65" s="31">
        <v>2013</v>
      </c>
      <c r="EK65" s="32">
        <v>6576.5739999999996</v>
      </c>
      <c r="EL65" s="33">
        <v>5641.7830000000004</v>
      </c>
      <c r="EN65" s="97" t="s">
        <v>255</v>
      </c>
      <c r="EO65" s="1" t="s">
        <v>503</v>
      </c>
      <c r="EP65" s="1" t="s">
        <v>504</v>
      </c>
      <c r="EQ65" s="1" t="s">
        <v>505</v>
      </c>
      <c r="ER65" s="1" t="s">
        <v>506</v>
      </c>
      <c r="ES65" s="1">
        <v>343.40199999999999</v>
      </c>
      <c r="ET65" s="1">
        <v>229.3</v>
      </c>
      <c r="EU65" s="1">
        <v>33.655999999999999</v>
      </c>
      <c r="EV65" s="1">
        <v>80.445999999999998</v>
      </c>
      <c r="EZ65" s="54">
        <f>IVA!EO65*12*IVA!EY23/1000</f>
        <v>45144507.156480007</v>
      </c>
    </row>
    <row r="66" spans="27:156" ht="12.75" customHeight="1">
      <c r="AA66" s="302">
        <v>2002</v>
      </c>
      <c r="AB66" s="302" t="s">
        <v>476</v>
      </c>
      <c r="AC66" s="311"/>
      <c r="AD66" s="312"/>
      <c r="AE66" s="313">
        <f>IVA!AE49-580000/12</f>
        <v>574335.40414666664</v>
      </c>
      <c r="AF66" s="313">
        <f>IVA!AF49-580000/12</f>
        <v>420395.83706666669</v>
      </c>
      <c r="AG66" s="313">
        <f>IVA!AG49-580000/12</f>
        <v>431986.96642666671</v>
      </c>
      <c r="AH66" s="313">
        <f>IVA!AH49-580000/12</f>
        <v>384686.37528666668</v>
      </c>
      <c r="AI66" s="313">
        <f>IVA!AI49-580000/12</f>
        <v>844760.39740666666</v>
      </c>
      <c r="AJ66" s="313">
        <f>IVA!AJ49-580000/12</f>
        <v>784443.98831666668</v>
      </c>
      <c r="AK66" s="313">
        <f>IVA!AK49-580000/12</f>
        <v>715472.97812666663</v>
      </c>
      <c r="AL66" s="313">
        <f>IVA!AL49-580000/12</f>
        <v>795807.68098666659</v>
      </c>
      <c r="AM66" s="313">
        <f>IVA!AM49-580000/12</f>
        <v>634817.74864666665</v>
      </c>
      <c r="AN66" s="313">
        <f>IVA!AN49-580000/12</f>
        <v>800484.2624466666</v>
      </c>
      <c r="AO66" s="313">
        <f>IVA!AO49-580000/12</f>
        <v>1062249.0606466667</v>
      </c>
      <c r="AP66" s="313">
        <f>IVA!AP49-580000/12</f>
        <v>889898.14163666661</v>
      </c>
      <c r="AQ66" s="153">
        <f>IVA!AE66+IVA!AF66+IVA!AG66</f>
        <v>1426718.2076400002</v>
      </c>
      <c r="AR66" s="153">
        <f>IVA!AF66+IVA!AG66+IVA!AH66</f>
        <v>1237069.1787800002</v>
      </c>
      <c r="AS66" s="153">
        <f>IVA!AG66+IVA!AH66+IVA!AI66</f>
        <v>1661433.73912</v>
      </c>
      <c r="AT66" s="153">
        <f>IVA!AH66+IVA!AI66+IVA!AJ66</f>
        <v>2013890.76101</v>
      </c>
      <c r="AU66" s="127">
        <f>IVA!AQ66+IVA!AR66+IVA!AS66+IVA!AT66</f>
        <v>6339111.8865499999</v>
      </c>
      <c r="AV66" s="128">
        <f>IVA!AQ66/IVA!CJ11</f>
        <v>6.0184605712550153E-3</v>
      </c>
      <c r="AW66" s="128">
        <f>IVA!AR66/IVA!CK11</f>
        <v>3.6490833338283322E-3</v>
      </c>
      <c r="AX66" s="128">
        <f>IVA!AS66/IVA!CL11</f>
        <v>4.9742597163436398E-3</v>
      </c>
      <c r="AY66" s="128">
        <f>IVA!AT66/IVA!CM11</f>
        <v>5.9188660574688284E-3</v>
      </c>
      <c r="AZ66" s="269">
        <f>IVA!AU66/IVA!CN11</f>
        <v>2.0279957032017206E-2</v>
      </c>
      <c r="BA66" s="264">
        <v>2002</v>
      </c>
      <c r="BB66" s="330" t="s">
        <v>477</v>
      </c>
      <c r="BC66" s="331"/>
      <c r="BD66" s="331"/>
      <c r="BE66" s="331"/>
      <c r="BF66" s="332">
        <v>4879</v>
      </c>
      <c r="BG66" s="332">
        <v>6633</v>
      </c>
      <c r="BH66" s="332">
        <v>5370</v>
      </c>
      <c r="BI66" s="332">
        <v>5158</v>
      </c>
      <c r="BJ66" s="332">
        <v>8341</v>
      </c>
      <c r="BK66" s="332">
        <v>7671</v>
      </c>
      <c r="BL66" s="332">
        <v>7787</v>
      </c>
      <c r="BM66" s="332">
        <v>1402</v>
      </c>
      <c r="BN66" s="332">
        <v>1106</v>
      </c>
      <c r="BO66" s="332">
        <v>878</v>
      </c>
      <c r="BP66" s="332">
        <v>751</v>
      </c>
      <c r="BQ66" s="333">
        <v>1140</v>
      </c>
      <c r="BR66" s="173">
        <f>IVA!BF66+IVA!BG66+IVA!BH66</f>
        <v>16882</v>
      </c>
      <c r="BS66" s="173">
        <f>IVA!BI66+IVA!BJ66+IVA!BK66</f>
        <v>21170</v>
      </c>
      <c r="BT66" s="173">
        <f>IVA!BL66+IVA!BM66+IVA!BN66</f>
        <v>10295</v>
      </c>
      <c r="BU66" s="174">
        <f>IVA!BO66+IVA!BP66+IVA!BQ66</f>
        <v>2769</v>
      </c>
      <c r="BV66" s="135">
        <f>IVA!BR66+IVA!BS66+IVA!BT66+IVA!BU66</f>
        <v>51116</v>
      </c>
      <c r="BW66" s="136"/>
      <c r="BX66" s="137"/>
      <c r="BY66" s="136"/>
      <c r="BZ66" s="136"/>
      <c r="CA66" s="271"/>
      <c r="CH66" s="13"/>
      <c r="CI66" s="53">
        <v>2008</v>
      </c>
      <c r="CJ66" s="284">
        <f>IVA!BR192/IVA!CJ17</f>
        <v>4.4375835242790856E-3</v>
      </c>
      <c r="CK66" s="284">
        <f>IVA!BS192/IVA!CK17</f>
        <v>4.1291681033251305E-3</v>
      </c>
      <c r="CL66" s="284">
        <f>IVA!BT192/IVA!CL17</f>
        <v>4.4124319768750987E-3</v>
      </c>
      <c r="CM66" s="285">
        <f>IVA!BU192/IVA!CM17</f>
        <v>4.2353587160962377E-3</v>
      </c>
      <c r="CN66" s="286">
        <f>IVA!BV192/IVA!CN17</f>
        <v>1.7182651690223875E-2</v>
      </c>
      <c r="CO66" s="63"/>
      <c r="CP66" s="63"/>
      <c r="CQ66" s="13"/>
      <c r="DY66" s="220" t="s">
        <v>507</v>
      </c>
      <c r="DZ66" s="221"/>
      <c r="EA66" s="204"/>
      <c r="EB66" s="234">
        <v>25267808000</v>
      </c>
      <c r="EC66" s="234">
        <v>2135130690</v>
      </c>
      <c r="ED66" s="234">
        <v>27402938690</v>
      </c>
      <c r="EE66" s="234">
        <v>25561893932.990002</v>
      </c>
      <c r="EF66" s="234">
        <v>25552310686.02</v>
      </c>
      <c r="EG66" s="235">
        <v>25254026232.189999</v>
      </c>
      <c r="EH66" s="236">
        <f>IVA!EF66-IVA!EG66</f>
        <v>298284453.83000183</v>
      </c>
      <c r="EJ66" s="31">
        <v>2014</v>
      </c>
      <c r="EK66" s="32">
        <v>6707.9549999999999</v>
      </c>
      <c r="EL66" s="33">
        <v>5753.8209999999999</v>
      </c>
      <c r="EN66" s="97" t="s">
        <v>508</v>
      </c>
      <c r="EO66" s="1" t="s">
        <v>509</v>
      </c>
      <c r="EP66" s="1" t="s">
        <v>510</v>
      </c>
      <c r="EQ66" s="1" t="s">
        <v>511</v>
      </c>
      <c r="ER66" s="1" t="s">
        <v>512</v>
      </c>
      <c r="ES66" s="1">
        <v>327.18700000000001</v>
      </c>
      <c r="ET66" s="1">
        <v>234.01300000000001</v>
      </c>
      <c r="EU66" s="1">
        <v>29.835000000000001</v>
      </c>
      <c r="EV66" s="1">
        <v>63.338999999999999</v>
      </c>
      <c r="EZ66" s="54">
        <f>IVA!EO66*12*IVA!EY24/1000</f>
        <v>54737000.952480003</v>
      </c>
    </row>
    <row r="67" spans="27:156" ht="12.75" customHeight="1">
      <c r="AA67" s="302">
        <v>2003</v>
      </c>
      <c r="AB67" s="302" t="s">
        <v>476</v>
      </c>
      <c r="AC67" s="311"/>
      <c r="AD67" s="312"/>
      <c r="AE67" s="313">
        <f>IVA!AE50-580000/12</f>
        <v>1046828.4031566667</v>
      </c>
      <c r="AF67" s="313">
        <f>IVA!AF50-580000/12</f>
        <v>755027.61509666662</v>
      </c>
      <c r="AG67" s="313">
        <f>IVA!AG50-580000/12</f>
        <v>734948.29003666667</v>
      </c>
      <c r="AH67" s="313">
        <f>IVA!AH50-580000/12</f>
        <v>913165.27709666663</v>
      </c>
      <c r="AI67" s="313">
        <f>IVA!AI50-580000/12</f>
        <v>2115644.9488566667</v>
      </c>
      <c r="AJ67" s="313">
        <f>IVA!AJ50-580000/12</f>
        <v>1599058.6757366667</v>
      </c>
      <c r="AK67" s="313">
        <f>IVA!AK50-580000/12</f>
        <v>1135582.3082366667</v>
      </c>
      <c r="AL67" s="313">
        <f>IVA!AL50-580000/12</f>
        <v>1261960.0145666667</v>
      </c>
      <c r="AM67" s="313">
        <f>IVA!AM50-580000/12</f>
        <v>970314.17151666665</v>
      </c>
      <c r="AN67" s="313">
        <f>IVA!AN50-580000/12</f>
        <v>1045861.5586066666</v>
      </c>
      <c r="AO67" s="313">
        <f>IVA!AO50-580000/12</f>
        <v>1329245.0507066667</v>
      </c>
      <c r="AP67" s="313">
        <f>IVA!AP50-580000/12</f>
        <v>1263100.3070366667</v>
      </c>
      <c r="AQ67" s="153">
        <f>IVA!AE67+IVA!AF67+IVA!AG67</f>
        <v>2536804.3082900001</v>
      </c>
      <c r="AR67" s="153">
        <f>IVA!AF67+IVA!AG67+IVA!AH67</f>
        <v>2403141.1822299999</v>
      </c>
      <c r="AS67" s="153">
        <f>IVA!AG67+IVA!AH67+IVA!AI67</f>
        <v>3763758.5159900002</v>
      </c>
      <c r="AT67" s="153">
        <f>IVA!AH67+IVA!AI67+IVA!AJ67</f>
        <v>4627868.9016899997</v>
      </c>
      <c r="AU67" s="127">
        <f>IVA!AQ67+IVA!AR67+IVA!AS67+IVA!AT67</f>
        <v>13331572.908199999</v>
      </c>
      <c r="AV67" s="128">
        <f>IVA!AQ67/IVA!CJ12</f>
        <v>7.7492326790830944E-3</v>
      </c>
      <c r="AW67" s="128">
        <f>IVA!AR67/IVA!CK12</f>
        <v>6.0211169240020597E-3</v>
      </c>
      <c r="AX67" s="128">
        <f>IVA!AS67/IVA!CL12</f>
        <v>9.9600041743373117E-3</v>
      </c>
      <c r="AY67" s="128">
        <f>IVA!AT67/IVA!CM12</f>
        <v>1.1590837151322381E-2</v>
      </c>
      <c r="AZ67" s="269">
        <f>IVA!AU67/IVA!CN12</f>
        <v>3.5464860089325888E-2</v>
      </c>
      <c r="BA67" s="264">
        <v>2003</v>
      </c>
      <c r="BB67" s="330" t="s">
        <v>477</v>
      </c>
      <c r="BC67" s="331"/>
      <c r="BD67" s="331"/>
      <c r="BE67" s="331"/>
      <c r="BF67" s="332">
        <v>633</v>
      </c>
      <c r="BG67" s="332">
        <v>494</v>
      </c>
      <c r="BH67" s="332">
        <v>449</v>
      </c>
      <c r="BI67" s="332">
        <v>1624</v>
      </c>
      <c r="BJ67" s="332">
        <v>1057</v>
      </c>
      <c r="BK67" s="332">
        <v>694</v>
      </c>
      <c r="BL67" s="332">
        <v>737</v>
      </c>
      <c r="BM67" s="332">
        <v>798</v>
      </c>
      <c r="BN67" s="332">
        <v>704</v>
      </c>
      <c r="BO67" s="332">
        <v>698</v>
      </c>
      <c r="BP67" s="332">
        <v>622</v>
      </c>
      <c r="BQ67" s="333">
        <v>526</v>
      </c>
      <c r="BR67" s="173">
        <f>IVA!BF67+IVA!BG67+IVA!BH67</f>
        <v>1576</v>
      </c>
      <c r="BS67" s="173">
        <f>IVA!BI67+IVA!BJ67+IVA!BK67</f>
        <v>3375</v>
      </c>
      <c r="BT67" s="173">
        <f>IVA!BL67+IVA!BM67+IVA!BN67</f>
        <v>2239</v>
      </c>
      <c r="BU67" s="174">
        <f>IVA!BO67+IVA!BP67+IVA!BQ67</f>
        <v>1846</v>
      </c>
      <c r="BV67" s="135">
        <f>IVA!BR67+IVA!BS67+IVA!BT67+IVA!BU67</f>
        <v>9036</v>
      </c>
      <c r="BW67" s="136"/>
      <c r="BX67" s="137"/>
      <c r="BY67" s="136"/>
      <c r="BZ67" s="136"/>
      <c r="CA67" s="271"/>
      <c r="CH67" s="13"/>
      <c r="CI67" s="53">
        <v>2009</v>
      </c>
      <c r="CJ67" s="284">
        <f>IVA!BR193/IVA!CJ18</f>
        <v>4.2933602103856945E-3</v>
      </c>
      <c r="CK67" s="284">
        <f>IVA!BS193/IVA!CK18</f>
        <v>4.0435156535643989E-3</v>
      </c>
      <c r="CL67" s="284">
        <f>IVA!BT193/IVA!CL18</f>
        <v>4.1963708608216913E-3</v>
      </c>
      <c r="CM67" s="285">
        <f>IVA!BU193/IVA!CM18</f>
        <v>4.1832031921817106E-3</v>
      </c>
      <c r="CN67" s="286">
        <f>IVA!BV193/IVA!CN18</f>
        <v>1.6695964954058583E-2</v>
      </c>
      <c r="CO67" s="63"/>
      <c r="CP67" s="63"/>
      <c r="CQ67" s="13"/>
      <c r="DY67" s="175" t="s">
        <v>513</v>
      </c>
      <c r="DZ67" s="45"/>
      <c r="EA67" s="208">
        <v>2006</v>
      </c>
      <c r="EB67" s="225">
        <v>35058485345</v>
      </c>
      <c r="EC67" s="225">
        <v>2193365734</v>
      </c>
      <c r="ED67" s="225">
        <v>37251851079</v>
      </c>
      <c r="EE67" s="225">
        <v>35792108827.900002</v>
      </c>
      <c r="EF67" s="225">
        <v>35772672615.019997</v>
      </c>
      <c r="EG67" s="226">
        <v>35168437216.370003</v>
      </c>
      <c r="EH67" s="227">
        <f>IVA!EF67-IVA!EG67</f>
        <v>604235398.6499939</v>
      </c>
      <c r="EJ67" s="31">
        <v>2015</v>
      </c>
      <c r="EK67" s="32">
        <v>6833.7529999999997</v>
      </c>
      <c r="EL67" s="33">
        <v>5862.223</v>
      </c>
      <c r="EN67" s="97" t="s">
        <v>287</v>
      </c>
      <c r="EO67" s="1" t="s">
        <v>514</v>
      </c>
      <c r="EP67" s="1" t="s">
        <v>515</v>
      </c>
      <c r="EQ67" s="1" t="s">
        <v>516</v>
      </c>
      <c r="ER67" s="1" t="s">
        <v>517</v>
      </c>
      <c r="ES67" s="1">
        <v>356.19099999999997</v>
      </c>
      <c r="ET67" s="1">
        <v>245.69399999999999</v>
      </c>
      <c r="EU67" s="1">
        <v>30.332000000000001</v>
      </c>
      <c r="EV67" s="1">
        <v>80.165000000000006</v>
      </c>
      <c r="EZ67" s="54">
        <f>IVA!EO67*12*IVA!EY25/1000</f>
        <v>71370089.273520008</v>
      </c>
    </row>
    <row r="68" spans="27:156" ht="12.75" customHeight="1">
      <c r="AA68" s="302">
        <v>2004</v>
      </c>
      <c r="AB68" s="302" t="s">
        <v>476</v>
      </c>
      <c r="AC68" s="311"/>
      <c r="AD68" s="312"/>
      <c r="AE68" s="313">
        <f>IVA!AE51-580000/12</f>
        <v>1232895.9096466668</v>
      </c>
      <c r="AF68" s="313">
        <f>IVA!AF51-580000/12</f>
        <v>1010419.2192466665</v>
      </c>
      <c r="AG68" s="313">
        <f>IVA!AG51-580000/12</f>
        <v>990909.65205666667</v>
      </c>
      <c r="AH68" s="313">
        <f>IVA!AH51-580000/12</f>
        <v>1127231.8481266669</v>
      </c>
      <c r="AI68" s="313">
        <f>IVA!AI51-580000/12</f>
        <v>5384144.4014266673</v>
      </c>
      <c r="AJ68" s="313">
        <f>IVA!AJ51-580000/12</f>
        <v>2864597.1624166663</v>
      </c>
      <c r="AK68" s="313">
        <f>IVA!AK51-580000/12</f>
        <v>1590427.8175766668</v>
      </c>
      <c r="AL68" s="313">
        <f>IVA!AL51-580000/12</f>
        <v>1689453.3916566668</v>
      </c>
      <c r="AM68" s="313">
        <f>IVA!AM51-580000/12</f>
        <v>1451379.2625766667</v>
      </c>
      <c r="AN68" s="313">
        <f>IVA!AN51-580000/12</f>
        <v>1644037.8895766668</v>
      </c>
      <c r="AO68" s="313">
        <f>IVA!AO51-580000/12</f>
        <v>1687791.6741666668</v>
      </c>
      <c r="AP68" s="313">
        <f>IVA!AP51-580000/12</f>
        <v>1035805.8730266666</v>
      </c>
      <c r="AQ68" s="153">
        <f>IVA!AE68+IVA!AF68+IVA!AG68</f>
        <v>3234224.78095</v>
      </c>
      <c r="AR68" s="153">
        <f>IVA!AF68+IVA!AG68+IVA!AH68</f>
        <v>3128560.7194300001</v>
      </c>
      <c r="AS68" s="153">
        <f>IVA!AG68+IVA!AH68+IVA!AI68</f>
        <v>7502285.901610001</v>
      </c>
      <c r="AT68" s="153">
        <f>IVA!AH68+IVA!AI68+IVA!AJ68</f>
        <v>9375973.4119700007</v>
      </c>
      <c r="AU68" s="127">
        <f>IVA!AQ68+IVA!AR68+IVA!AS68+IVA!AT68</f>
        <v>23241044.813960001</v>
      </c>
      <c r="AV68" s="128">
        <f>IVA!AQ68/IVA!CJ13</f>
        <v>8.2334134748496112E-3</v>
      </c>
      <c r="AW68" s="128">
        <f>IVA!AR68/IVA!CK13</f>
        <v>6.5973733137289908E-3</v>
      </c>
      <c r="AX68" s="128">
        <f>IVA!AS68/IVA!CL13</f>
        <v>1.6595052822927142E-2</v>
      </c>
      <c r="AY68" s="128">
        <f>IVA!AT68/IVA!CM13</f>
        <v>1.9886953797869342E-2</v>
      </c>
      <c r="AZ68" s="269">
        <f>IVA!AU68/IVA!CN13</f>
        <v>5.1918655525067699E-2</v>
      </c>
      <c r="BA68" s="335">
        <v>2004</v>
      </c>
      <c r="BB68" s="336" t="s">
        <v>477</v>
      </c>
      <c r="BC68" s="337"/>
      <c r="BD68" s="337"/>
      <c r="BE68" s="337"/>
      <c r="BF68" s="332">
        <v>647</v>
      </c>
      <c r="BG68" s="332">
        <v>617</v>
      </c>
      <c r="BH68" s="332">
        <v>604</v>
      </c>
      <c r="BI68" s="332">
        <v>560</v>
      </c>
      <c r="BJ68" s="332">
        <v>4027</v>
      </c>
      <c r="BK68" s="332">
        <v>547</v>
      </c>
      <c r="BL68" s="332">
        <v>1464</v>
      </c>
      <c r="BM68" s="332">
        <v>699</v>
      </c>
      <c r="BN68" s="332">
        <v>655</v>
      </c>
      <c r="BO68" s="332">
        <v>1276</v>
      </c>
      <c r="BP68" s="332">
        <v>538</v>
      </c>
      <c r="BQ68" s="333">
        <v>566</v>
      </c>
      <c r="BR68" s="257">
        <f>IVA!BF68+IVA!BG68+IVA!BH68</f>
        <v>1868</v>
      </c>
      <c r="BS68" s="257">
        <f>IVA!BI68+IVA!BJ68+IVA!BK68</f>
        <v>5134</v>
      </c>
      <c r="BT68" s="257">
        <f>IVA!BL68+IVA!BM68+IVA!BN68</f>
        <v>2818</v>
      </c>
      <c r="BU68" s="258">
        <f>IVA!BO68+IVA!BP68+IVA!BQ68</f>
        <v>2380</v>
      </c>
      <c r="BV68" s="259">
        <f>IVA!BR68+IVA!BS68+IVA!BT68+IVA!BU68</f>
        <v>12200</v>
      </c>
      <c r="BW68" s="338"/>
      <c r="BX68" s="339"/>
      <c r="BY68" s="338"/>
      <c r="BZ68" s="338"/>
      <c r="CA68" s="340"/>
      <c r="CH68" s="13"/>
      <c r="CI68" s="53">
        <v>2010</v>
      </c>
      <c r="CJ68" s="284">
        <f>IVA!BR194/IVA!CJ19</f>
        <v>4.4065534286266998E-3</v>
      </c>
      <c r="CK68" s="284">
        <f>IVA!BS194/IVA!CK19</f>
        <v>4.5107640338392695E-3</v>
      </c>
      <c r="CL68" s="284">
        <f>IVA!BT194/IVA!CL19</f>
        <v>4.517795960233135E-3</v>
      </c>
      <c r="CM68" s="285">
        <f>IVA!BU194/IVA!CM19</f>
        <v>4.4434923283088413E-3</v>
      </c>
      <c r="CN68" s="286">
        <f>IVA!BV194/IVA!CN19</f>
        <v>1.7888629839185766E-2</v>
      </c>
      <c r="CO68" s="63"/>
      <c r="CP68" s="63"/>
      <c r="CQ68" s="13"/>
      <c r="DY68" s="213" t="s">
        <v>518</v>
      </c>
      <c r="EA68" s="177"/>
      <c r="EB68" s="228">
        <v>3360223229</v>
      </c>
      <c r="EC68" s="228">
        <v>-156318433</v>
      </c>
      <c r="ED68" s="228">
        <v>3203904796</v>
      </c>
      <c r="EE68" s="228">
        <v>3132438897.2399998</v>
      </c>
      <c r="EF68" s="228">
        <v>3128549200.4200001</v>
      </c>
      <c r="EG68" s="229">
        <v>3097376752.9699998</v>
      </c>
      <c r="EH68" s="230">
        <f>IVA!EF68-IVA!EG68</f>
        <v>31172447.450000286</v>
      </c>
      <c r="EJ68" s="31">
        <v>2016</v>
      </c>
      <c r="EK68" s="32">
        <v>6985.8940000000002</v>
      </c>
      <c r="EL68" s="33">
        <v>6000.933</v>
      </c>
      <c r="EN68" s="97" t="s">
        <v>304</v>
      </c>
      <c r="EO68" s="1" t="s">
        <v>519</v>
      </c>
      <c r="EP68" s="1" t="s">
        <v>520</v>
      </c>
      <c r="EQ68" s="1" t="s">
        <v>521</v>
      </c>
      <c r="ER68" s="1" t="s">
        <v>522</v>
      </c>
      <c r="ES68" s="1">
        <v>345.839</v>
      </c>
      <c r="ET68" s="1">
        <v>238.29499999999999</v>
      </c>
      <c r="EU68" s="1">
        <v>28.024999999999999</v>
      </c>
      <c r="EV68" s="1">
        <v>79.519000000000005</v>
      </c>
      <c r="EZ68" s="54">
        <f>IVA!EO68*12*IVA!EY26/1000</f>
        <v>93500660.072160006</v>
      </c>
    </row>
    <row r="69" spans="27:156" ht="12.75" customHeight="1">
      <c r="AA69" s="302">
        <v>2005</v>
      </c>
      <c r="AB69" s="302" t="s">
        <v>476</v>
      </c>
      <c r="AC69" s="311"/>
      <c r="AD69" s="312"/>
      <c r="AE69" s="313">
        <f>IVA!AE52-580000/12</f>
        <v>1680128.8860066668</v>
      </c>
      <c r="AF69" s="313">
        <f>IVA!AF52-580000/12</f>
        <v>1807349.9071566667</v>
      </c>
      <c r="AG69" s="313">
        <f>IVA!AG52-580000/12</f>
        <v>1684438.4083966666</v>
      </c>
      <c r="AH69" s="313">
        <f>IVA!AH52-580000/12</f>
        <v>1907888.1145066668</v>
      </c>
      <c r="AI69" s="313">
        <f>IVA!AI52-580000/12</f>
        <v>3660743.6296566664</v>
      </c>
      <c r="AJ69" s="313">
        <f>IVA!AJ52-580000/12</f>
        <v>3556777.1208066666</v>
      </c>
      <c r="AK69" s="313">
        <f>IVA!AK52-580000/12</f>
        <v>2032894.0469066668</v>
      </c>
      <c r="AL69" s="313">
        <f>IVA!AL52-580000/12</f>
        <v>2145423.1627366664</v>
      </c>
      <c r="AM69" s="313">
        <f>IVA!AM52-580000/12</f>
        <v>2026780.4174666668</v>
      </c>
      <c r="AN69" s="313">
        <f>IVA!AN52-580000/12</f>
        <v>2181831.9534866665</v>
      </c>
      <c r="AO69" s="313">
        <f>IVA!AO52-580000/12</f>
        <v>2211683.9750166666</v>
      </c>
      <c r="AP69" s="313">
        <f>IVA!AP52-580000/12</f>
        <v>2569459.4303966663</v>
      </c>
      <c r="AQ69" s="153">
        <f>IVA!AE69+IVA!AF69+IVA!AG69</f>
        <v>5171917.20156</v>
      </c>
      <c r="AR69" s="153">
        <f>IVA!AF69+IVA!AG69+IVA!AH69</f>
        <v>5399676.4300600002</v>
      </c>
      <c r="AS69" s="153">
        <f>IVA!AG69+IVA!AH69+IVA!AI69</f>
        <v>7253070.1525599994</v>
      </c>
      <c r="AT69" s="153">
        <f>IVA!AH69+IVA!AI69+IVA!AJ69</f>
        <v>9125408.8649700005</v>
      </c>
      <c r="AU69" s="127">
        <f>IVA!AQ69+IVA!AR69+IVA!AS69+IVA!AT69</f>
        <v>26950072.649149999</v>
      </c>
      <c r="AV69" s="128">
        <f>IVA!AQ69/IVA!CJ14</f>
        <v>1.1322952775525216E-2</v>
      </c>
      <c r="AW69" s="128">
        <f>IVA!AR69/IVA!CK14</f>
        <v>9.7747299025930327E-3</v>
      </c>
      <c r="AX69" s="128">
        <f>IVA!AS69/IVA!CL14</f>
        <v>1.3327259767411111E-2</v>
      </c>
      <c r="AY69" s="128">
        <f>IVA!AT69/IVA!CM14</f>
        <v>1.5888204977444489E-2</v>
      </c>
      <c r="AZ69" s="269">
        <f>IVA!AU69/IVA!CN14</f>
        <v>5.0663866944683479E-2</v>
      </c>
      <c r="BA69" s="264">
        <v>1996</v>
      </c>
      <c r="BB69" s="341" t="s">
        <v>523</v>
      </c>
      <c r="BC69" s="342"/>
      <c r="BD69" s="342"/>
      <c r="BE69" s="342"/>
      <c r="BF69" s="343">
        <v>0</v>
      </c>
      <c r="BG69" s="343">
        <v>0</v>
      </c>
      <c r="BH69" s="343">
        <v>0</v>
      </c>
      <c r="BI69" s="343">
        <v>0</v>
      </c>
      <c r="BJ69" s="343">
        <v>0</v>
      </c>
      <c r="BK69" s="343">
        <v>0</v>
      </c>
      <c r="BL69" s="343">
        <v>0</v>
      </c>
      <c r="BM69" s="343">
        <v>0</v>
      </c>
      <c r="BN69" s="343">
        <v>0</v>
      </c>
      <c r="BO69" s="343">
        <v>0</v>
      </c>
      <c r="BP69" s="343">
        <v>0</v>
      </c>
      <c r="BQ69" s="344">
        <v>0</v>
      </c>
      <c r="BR69" s="173">
        <f>IVA!BF69+IVA!BG69+IVA!BH69</f>
        <v>0</v>
      </c>
      <c r="BS69" s="173">
        <f>IVA!BI69+IVA!BJ69+IVA!BK69</f>
        <v>0</v>
      </c>
      <c r="BT69" s="173">
        <f>IVA!BL69+IVA!BM69+IVA!BN69</f>
        <v>0</v>
      </c>
      <c r="BU69" s="174">
        <f>IVA!BO69+IVA!BP69+IVA!BQ69</f>
        <v>0</v>
      </c>
      <c r="BV69" s="135">
        <f>IVA!BR69+IVA!BS69+IVA!BT69+IVA!BU69</f>
        <v>0</v>
      </c>
      <c r="BW69" s="136"/>
      <c r="BX69" s="137"/>
      <c r="BY69" s="136"/>
      <c r="BZ69" s="136"/>
      <c r="CA69" s="271"/>
      <c r="CH69" s="13"/>
      <c r="CI69" s="53">
        <v>2011</v>
      </c>
      <c r="CJ69" s="284">
        <f>IVA!BR195/IVA!CJ20</f>
        <v>4.6667378810890036E-3</v>
      </c>
      <c r="CK69" s="284">
        <f>IVA!BS195/IVA!CK20</f>
        <v>4.5737416559041167E-3</v>
      </c>
      <c r="CL69" s="284">
        <f>IVA!BT195/IVA!CL20</f>
        <v>4.7891589490777469E-3</v>
      </c>
      <c r="CM69" s="285">
        <f>IVA!BU195/IVA!CM20</f>
        <v>4.7328159542679646E-3</v>
      </c>
      <c r="CN69" s="286">
        <f>IVA!BV195/IVA!CN20</f>
        <v>1.8761423963218355E-2</v>
      </c>
      <c r="CO69" s="63"/>
      <c r="CP69" s="63"/>
      <c r="CQ69" s="13"/>
      <c r="DY69" s="213" t="s">
        <v>524</v>
      </c>
      <c r="EA69" s="193"/>
      <c r="EB69" s="228">
        <v>13881000</v>
      </c>
      <c r="EC69" s="228">
        <v>9204199</v>
      </c>
      <c r="ED69" s="228">
        <v>23085199</v>
      </c>
      <c r="EE69" s="228">
        <v>22122400.109999999</v>
      </c>
      <c r="EF69" s="228">
        <v>19669143.91</v>
      </c>
      <c r="EG69" s="229">
        <v>16221339.439999999</v>
      </c>
      <c r="EH69" s="230">
        <f>IVA!EF69-IVA!EG69</f>
        <v>3447804.4700000007</v>
      </c>
      <c r="EJ69" s="31">
        <v>2017</v>
      </c>
      <c r="EK69" s="32">
        <v>7133.6379999999999</v>
      </c>
      <c r="EL69" s="33">
        <v>6136.9189999999999</v>
      </c>
      <c r="EN69" s="97" t="s">
        <v>321</v>
      </c>
      <c r="EO69" s="1" t="s">
        <v>525</v>
      </c>
      <c r="EP69" s="1" t="s">
        <v>526</v>
      </c>
      <c r="EQ69" s="1" t="s">
        <v>527</v>
      </c>
      <c r="ER69" s="1" t="s">
        <v>528</v>
      </c>
      <c r="ES69" s="1">
        <v>338.53500000000003</v>
      </c>
      <c r="ET69" s="1">
        <v>230.44200000000001</v>
      </c>
      <c r="EU69" s="1">
        <v>26.7</v>
      </c>
      <c r="EV69" s="1">
        <v>81.393000000000001</v>
      </c>
      <c r="EZ69" s="54">
        <f>IVA!EO69*12*IVA!EY27/1000</f>
        <v>130429955.2896</v>
      </c>
    </row>
    <row r="70" spans="27:156" ht="12.75" customHeight="1">
      <c r="AA70" s="302">
        <v>2006</v>
      </c>
      <c r="AB70" s="302" t="s">
        <v>476</v>
      </c>
      <c r="AC70" s="311"/>
      <c r="AD70" s="312"/>
      <c r="AE70" s="313">
        <f>IVA!AE53-580000/12</f>
        <v>2358941.2553766663</v>
      </c>
      <c r="AF70" s="313">
        <f>IVA!AF53-580000/12</f>
        <v>2252957.2687566667</v>
      </c>
      <c r="AG70" s="313">
        <f>IVA!AG53-580000/12</f>
        <v>1939100.8401366668</v>
      </c>
      <c r="AH70" s="313">
        <f>IVA!AH53-580000/12</f>
        <v>1336463.6946766668</v>
      </c>
      <c r="AI70" s="313">
        <f>IVA!AI53-580000/12</f>
        <v>4173639.5793866669</v>
      </c>
      <c r="AJ70" s="313">
        <f>IVA!AJ53-580000/12</f>
        <v>4424661.8476266665</v>
      </c>
      <c r="AK70" s="313">
        <f>IVA!AK53-580000/12</f>
        <v>2576220.3886366664</v>
      </c>
      <c r="AL70" s="313">
        <f>IVA!AL53-580000/12</f>
        <v>2814390.7109166663</v>
      </c>
      <c r="AM70" s="313">
        <f>IVA!AM53-580000/12</f>
        <v>2512315.2522566663</v>
      </c>
      <c r="AN70" s="313">
        <f>IVA!AN53-580000/12</f>
        <v>2712962.3360166666</v>
      </c>
      <c r="AO70" s="313">
        <f>IVA!AO53-580000/12</f>
        <v>3115039.0186866666</v>
      </c>
      <c r="AP70" s="313">
        <f>IVA!AP53-580000/12</f>
        <v>2818399.8841166664</v>
      </c>
      <c r="AQ70" s="153">
        <f>IVA!AE70+IVA!AF70+IVA!AG70</f>
        <v>6550999.3642699998</v>
      </c>
      <c r="AR70" s="153">
        <f>IVA!AF70+IVA!AG70+IVA!AH70</f>
        <v>5528521.8035700005</v>
      </c>
      <c r="AS70" s="153">
        <f>IVA!AG70+IVA!AH70+IVA!AI70</f>
        <v>7449204.1141999997</v>
      </c>
      <c r="AT70" s="153">
        <f>IVA!AH70+IVA!AI70+IVA!AJ70</f>
        <v>9934765.1216900013</v>
      </c>
      <c r="AU70" s="127">
        <f>IVA!AQ70+IVA!AR70+IVA!AS70+IVA!AT70</f>
        <v>29463490.403730001</v>
      </c>
      <c r="AV70" s="128">
        <f>IVA!AQ70/IVA!CJ15</f>
        <v>1.1533571418483294E-2</v>
      </c>
      <c r="AW70" s="128">
        <f>IVA!AR70/IVA!CK15</f>
        <v>8.1508141641245136E-3</v>
      </c>
      <c r="AX70" s="128">
        <f>IVA!AS70/IVA!CL15</f>
        <v>1.1148211619364665E-2</v>
      </c>
      <c r="AY70" s="128">
        <f>IVA!AT70/IVA!CM15</f>
        <v>1.4126210730687155E-2</v>
      </c>
      <c r="AZ70" s="269">
        <f>IVA!AU70/IVA!CN15</f>
        <v>4.5020989072855531E-2</v>
      </c>
      <c r="BA70" s="264">
        <v>1997</v>
      </c>
      <c r="BB70" s="341" t="s">
        <v>523</v>
      </c>
      <c r="BC70" s="342"/>
      <c r="BD70" s="342"/>
      <c r="BE70" s="342"/>
      <c r="BF70" s="343">
        <v>0</v>
      </c>
      <c r="BG70" s="343">
        <v>367</v>
      </c>
      <c r="BH70" s="343">
        <v>0</v>
      </c>
      <c r="BI70" s="343">
        <v>890</v>
      </c>
      <c r="BJ70" s="343">
        <v>275</v>
      </c>
      <c r="BK70" s="343">
        <v>181</v>
      </c>
      <c r="BL70" s="343">
        <v>12</v>
      </c>
      <c r="BM70" s="343">
        <v>7341</v>
      </c>
      <c r="BN70" s="343">
        <v>10508</v>
      </c>
      <c r="BO70" s="343">
        <v>2666</v>
      </c>
      <c r="BP70" s="343">
        <v>27361</v>
      </c>
      <c r="BQ70" s="344">
        <v>55420</v>
      </c>
      <c r="BR70" s="173">
        <f>IVA!BF70+IVA!BG70+IVA!BH70</f>
        <v>367</v>
      </c>
      <c r="BS70" s="173">
        <f>IVA!BI70+IVA!BJ70+IVA!BK70</f>
        <v>1346</v>
      </c>
      <c r="BT70" s="173">
        <f>IVA!BL70+IVA!BM70+IVA!BN70</f>
        <v>17861</v>
      </c>
      <c r="BU70" s="174">
        <f>IVA!BO70+IVA!BP70+IVA!BQ70</f>
        <v>85447</v>
      </c>
      <c r="BV70" s="135">
        <f>IVA!BR70+IVA!BS70+IVA!BT70+IVA!BU70</f>
        <v>105021</v>
      </c>
      <c r="BW70" s="136"/>
      <c r="BX70" s="137"/>
      <c r="BY70" s="136"/>
      <c r="BZ70" s="136"/>
      <c r="CA70" s="271"/>
      <c r="CH70" s="13"/>
      <c r="CI70" s="231">
        <v>2012</v>
      </c>
      <c r="CJ70" s="314">
        <f>IVA!BR196/IVA!CJ21</f>
        <v>4.8903526905234203E-3</v>
      </c>
      <c r="CK70" s="314">
        <f>IVA!BS196/IVA!CK21</f>
        <v>4.7084227543961361E-3</v>
      </c>
      <c r="CL70" s="314">
        <f>IVA!BT196/IVA!CL21</f>
        <v>5.0008743370057087E-3</v>
      </c>
      <c r="CM70" s="315">
        <f>IVA!BU196/IVA!CM21</f>
        <v>5.2217940559074827E-3</v>
      </c>
      <c r="CN70" s="316">
        <f>IVA!BV196/IVA!CN21</f>
        <v>1.9838009462486057E-2</v>
      </c>
      <c r="CO70" s="63"/>
      <c r="CP70" s="63"/>
      <c r="CQ70" s="13"/>
      <c r="DY70" s="220" t="s">
        <v>529</v>
      </c>
      <c r="DZ70" s="221"/>
      <c r="EA70" s="204"/>
      <c r="EB70" s="234">
        <v>31684381116</v>
      </c>
      <c r="EC70" s="234">
        <v>2340479968</v>
      </c>
      <c r="ED70" s="234">
        <v>34024861084</v>
      </c>
      <c r="EE70" s="234">
        <v>32637547530.549999</v>
      </c>
      <c r="EF70" s="234">
        <v>32624454270.689999</v>
      </c>
      <c r="EG70" s="235">
        <v>32054839123.959999</v>
      </c>
      <c r="EH70" s="236">
        <f>IVA!EF70-IVA!EG70</f>
        <v>569615146.72999954</v>
      </c>
      <c r="EJ70" s="31">
        <v>2018</v>
      </c>
      <c r="EK70" s="32">
        <v>7276.9250000000002</v>
      </c>
      <c r="EL70" s="33">
        <v>6269.75</v>
      </c>
      <c r="EN70" s="114" t="s">
        <v>336</v>
      </c>
      <c r="EO70" s="1" t="s">
        <v>530</v>
      </c>
      <c r="EP70" s="1" t="s">
        <v>531</v>
      </c>
      <c r="EQ70" s="1" t="s">
        <v>532</v>
      </c>
      <c r="ER70" s="1" t="s">
        <v>533</v>
      </c>
      <c r="ES70" s="1">
        <v>336.21600000000001</v>
      </c>
      <c r="ET70" s="1">
        <v>227.32</v>
      </c>
      <c r="EU70" s="1">
        <v>26.126999999999999</v>
      </c>
      <c r="EV70" s="1">
        <v>82.769000000000005</v>
      </c>
      <c r="EZ70" s="54">
        <f>IVA!EO70*12*IVA!EY28/1000</f>
        <v>154802543.26680002</v>
      </c>
    </row>
    <row r="71" spans="27:156" ht="12.75" customHeight="1">
      <c r="AA71" s="302">
        <v>2007</v>
      </c>
      <c r="AB71" s="302" t="s">
        <v>476</v>
      </c>
      <c r="AC71" s="311"/>
      <c r="AD71" s="312"/>
      <c r="AE71" s="313">
        <f>IVA!AE54-580000/12</f>
        <v>2952758.5271566664</v>
      </c>
      <c r="AF71" s="313">
        <f>IVA!AF54-580000/12</f>
        <v>2636452.9375566663</v>
      </c>
      <c r="AG71" s="313">
        <f>IVA!AG54-580000/12</f>
        <v>2492372.5432366664</v>
      </c>
      <c r="AH71" s="313">
        <f>IVA!AH54-580000/12</f>
        <v>2083548.5023366667</v>
      </c>
      <c r="AI71" s="313">
        <f>IVA!AI54-580000/12</f>
        <v>5273949.5954466667</v>
      </c>
      <c r="AJ71" s="313">
        <f>IVA!AJ54-580000/12</f>
        <v>5404408.5027266666</v>
      </c>
      <c r="AK71" s="313">
        <f>IVA!AK54-580000/12</f>
        <v>3346911.6318066665</v>
      </c>
      <c r="AL71" s="313">
        <f>IVA!AL54-580000/12</f>
        <v>3770310.8602066664</v>
      </c>
      <c r="AM71" s="313">
        <f>IVA!AM54-580000/12</f>
        <v>3498758.7750366665</v>
      </c>
      <c r="AN71" s="313">
        <f>IVA!AN54-580000/12</f>
        <v>3289488.5790766664</v>
      </c>
      <c r="AO71" s="313">
        <f>IVA!AO54-580000/12</f>
        <v>3659678.7102566664</v>
      </c>
      <c r="AP71" s="313">
        <f>IVA!AP54-580000/12</f>
        <v>3866266.2619966664</v>
      </c>
      <c r="AQ71" s="153">
        <f>IVA!AE71+IVA!AF71+IVA!AG71</f>
        <v>8081584.0079499995</v>
      </c>
      <c r="AR71" s="153">
        <f>IVA!AF71+IVA!AG71+IVA!AH71</f>
        <v>7212373.9831299996</v>
      </c>
      <c r="AS71" s="153">
        <f>IVA!AG71+IVA!AH71+IVA!AI71</f>
        <v>9849870.64102</v>
      </c>
      <c r="AT71" s="153">
        <f>IVA!AH71+IVA!AI71+IVA!AJ71</f>
        <v>12761906.600510001</v>
      </c>
      <c r="AU71" s="127">
        <f>IVA!AQ71+IVA!AR71+IVA!AS71+IVA!AT71</f>
        <v>37905735.232610002</v>
      </c>
      <c r="AV71" s="128">
        <f>IVA!AQ71/IVA!CJ16</f>
        <v>1.1865139781462884E-2</v>
      </c>
      <c r="AW71" s="128">
        <f>IVA!AR71/IVA!CK16</f>
        <v>8.6362779807065207E-3</v>
      </c>
      <c r="AX71" s="128">
        <f>IVA!AS71/IVA!CL16</f>
        <v>1.1903699187782415E-2</v>
      </c>
      <c r="AY71" s="128">
        <f>IVA!AT71/IVA!CM16</f>
        <v>1.4084203083475251E-2</v>
      </c>
      <c r="AZ71" s="269">
        <f>IVA!AU71/IVA!CN16</f>
        <v>4.6655749043676156E-2</v>
      </c>
      <c r="BA71" s="264">
        <v>1998</v>
      </c>
      <c r="BB71" s="341" t="s">
        <v>523</v>
      </c>
      <c r="BC71" s="342"/>
      <c r="BD71" s="342"/>
      <c r="BE71" s="342"/>
      <c r="BF71" s="343">
        <v>34102</v>
      </c>
      <c r="BG71" s="343">
        <v>5532</v>
      </c>
      <c r="BH71" s="343">
        <v>10516</v>
      </c>
      <c r="BI71" s="343">
        <v>17736</v>
      </c>
      <c r="BJ71" s="343">
        <v>11122</v>
      </c>
      <c r="BK71" s="343">
        <v>21058</v>
      </c>
      <c r="BL71" s="343">
        <v>15107</v>
      </c>
      <c r="BM71" s="343">
        <v>26181</v>
      </c>
      <c r="BN71" s="343">
        <v>11836</v>
      </c>
      <c r="BO71" s="343">
        <v>13671</v>
      </c>
      <c r="BP71" s="343">
        <v>9453</v>
      </c>
      <c r="BQ71" s="344">
        <v>11008</v>
      </c>
      <c r="BR71" s="173">
        <f>IVA!BF71+IVA!BG71+IVA!BH71</f>
        <v>50150</v>
      </c>
      <c r="BS71" s="173">
        <f>IVA!BI71+IVA!BJ71+IVA!BK71</f>
        <v>49916</v>
      </c>
      <c r="BT71" s="173">
        <f>IVA!BL71+IVA!BM71+IVA!BN71</f>
        <v>53124</v>
      </c>
      <c r="BU71" s="174">
        <f>IVA!BO71+IVA!BP71+IVA!BQ71</f>
        <v>34132</v>
      </c>
      <c r="BV71" s="135">
        <f>IVA!BR71+IVA!BS71+IVA!BT71+IVA!BU71</f>
        <v>187322</v>
      </c>
      <c r="BW71" s="136"/>
      <c r="BX71" s="137"/>
      <c r="BY71" s="136"/>
      <c r="BZ71" s="136"/>
      <c r="CA71" s="271"/>
      <c r="CH71" s="13"/>
      <c r="CI71" s="237"/>
      <c r="CJ71" s="26"/>
      <c r="CK71" s="26"/>
      <c r="CL71" s="26"/>
      <c r="CM71" s="26"/>
      <c r="CN71" s="26"/>
      <c r="CO71" s="26"/>
      <c r="CP71" s="26"/>
      <c r="CQ71" s="27"/>
      <c r="DY71" s="175" t="s">
        <v>163</v>
      </c>
      <c r="DZ71" s="45"/>
      <c r="EA71" s="208">
        <v>2007</v>
      </c>
      <c r="EB71" s="225">
        <v>44912827678</v>
      </c>
      <c r="EC71" s="225">
        <v>11688744912</v>
      </c>
      <c r="ED71" s="225">
        <v>56601572590</v>
      </c>
      <c r="EE71" s="225">
        <v>54107285330</v>
      </c>
      <c r="EF71" s="225">
        <v>54087684233.589996</v>
      </c>
      <c r="EG71" s="226">
        <v>53137548753.089996</v>
      </c>
      <c r="EH71" s="227">
        <f>IVA!EF71-IVA!EG71</f>
        <v>950135480.5</v>
      </c>
      <c r="EJ71" s="31">
        <v>2019</v>
      </c>
      <c r="EK71" s="32">
        <v>7415.4480000000003</v>
      </c>
      <c r="EL71" s="33">
        <v>6398.3760000000002</v>
      </c>
    </row>
    <row r="72" spans="27:156" ht="12.75" customHeight="1">
      <c r="AA72" s="302">
        <v>2008</v>
      </c>
      <c r="AB72" s="302" t="s">
        <v>476</v>
      </c>
      <c r="AC72" s="311"/>
      <c r="AD72" s="312"/>
      <c r="AE72" s="313">
        <f>IVA!AE55-580000/12</f>
        <v>3892043.1117066666</v>
      </c>
      <c r="AF72" s="313">
        <f>IVA!AF55-580000/12</f>
        <v>3755130.3848566664</v>
      </c>
      <c r="AG72" s="313">
        <f>IVA!AG55-580000/12</f>
        <v>3000681.5862966664</v>
      </c>
      <c r="AH72" s="313">
        <f>IVA!AH55-580000/12</f>
        <v>2975922.6202366664</v>
      </c>
      <c r="AI72" s="313">
        <f>IVA!AI55-580000/12</f>
        <v>5227403.7435766673</v>
      </c>
      <c r="AJ72" s="313">
        <f>IVA!AJ55-580000/12</f>
        <v>6623232.0135366665</v>
      </c>
      <c r="AK72" s="313">
        <f>IVA!AK55-580000/12</f>
        <v>4780591.5920566674</v>
      </c>
      <c r="AL72" s="313">
        <f>IVA!AL55-580000/12</f>
        <v>4923799.6728266673</v>
      </c>
      <c r="AM72" s="313">
        <f>IVA!AM55-580000/12</f>
        <v>4349359.2672166666</v>
      </c>
      <c r="AN72" s="313">
        <f>IVA!AN55-580000/12</f>
        <v>4634135.418316667</v>
      </c>
      <c r="AO72" s="313">
        <f>IVA!AO55-580000/12</f>
        <v>4129147.0947166667</v>
      </c>
      <c r="AP72" s="313">
        <f>IVA!AP55-580000/12</f>
        <v>4774553.9158666674</v>
      </c>
      <c r="AQ72" s="153">
        <f>IVA!AE72+IVA!AF72+IVA!AG72</f>
        <v>10647855.08286</v>
      </c>
      <c r="AR72" s="153">
        <f>IVA!AF72+IVA!AG72+IVA!AH72</f>
        <v>9731734.5913899988</v>
      </c>
      <c r="AS72" s="153">
        <f>IVA!AG72+IVA!AH72+IVA!AI72</f>
        <v>11204007.95011</v>
      </c>
      <c r="AT72" s="153">
        <f>IVA!AH72+IVA!AI72+IVA!AJ72</f>
        <v>14826558.377349999</v>
      </c>
      <c r="AU72" s="127">
        <f>IVA!AQ72+IVA!AR72+IVA!AS72+IVA!AT72</f>
        <v>46410156.001709998</v>
      </c>
      <c r="AV72" s="128">
        <f>IVA!AQ72/IVA!CJ17</f>
        <v>1.1995650371669692E-2</v>
      </c>
      <c r="AW72" s="128">
        <f>IVA!AR72/IVA!CK17</f>
        <v>8.7836070932124123E-3</v>
      </c>
      <c r="AX72" s="128">
        <f>IVA!AS72/IVA!CL17</f>
        <v>1.0594297710361118E-2</v>
      </c>
      <c r="AY72" s="128">
        <f>IVA!AT72/IVA!CM17</f>
        <v>1.3755086783974366E-2</v>
      </c>
      <c r="AZ72" s="269">
        <f>IVA!AU72/IVA!CN17</f>
        <v>4.4938074555423438E-2</v>
      </c>
      <c r="BA72" s="264">
        <v>1999</v>
      </c>
      <c r="BB72" s="341" t="s">
        <v>523</v>
      </c>
      <c r="BC72" s="342"/>
      <c r="BD72" s="342"/>
      <c r="BE72" s="342"/>
      <c r="BF72" s="343">
        <v>12527</v>
      </c>
      <c r="BG72" s="343">
        <v>8457</v>
      </c>
      <c r="BH72" s="343">
        <v>8698</v>
      </c>
      <c r="BI72" s="343">
        <v>10980</v>
      </c>
      <c r="BJ72" s="343">
        <v>8360</v>
      </c>
      <c r="BK72" s="343">
        <v>6572</v>
      </c>
      <c r="BL72" s="343">
        <v>12412</v>
      </c>
      <c r="BM72" s="343">
        <v>13665</v>
      </c>
      <c r="BN72" s="343">
        <v>4782</v>
      </c>
      <c r="BO72" s="343">
        <v>5790</v>
      </c>
      <c r="BP72" s="343">
        <v>5922</v>
      </c>
      <c r="BQ72" s="344">
        <v>1588</v>
      </c>
      <c r="BR72" s="173">
        <f>IVA!BF72+IVA!BG72+IVA!BH72</f>
        <v>29682</v>
      </c>
      <c r="BS72" s="173">
        <f>IVA!BI72+IVA!BJ72+IVA!BK72</f>
        <v>25912</v>
      </c>
      <c r="BT72" s="173">
        <f>IVA!BL72+IVA!BM72+IVA!BN72</f>
        <v>30859</v>
      </c>
      <c r="BU72" s="174">
        <f>IVA!BO72+IVA!BP72+IVA!BQ72</f>
        <v>13300</v>
      </c>
      <c r="BV72" s="135">
        <f>IVA!BR72+IVA!BS72+IVA!BT72+IVA!BU72</f>
        <v>99753</v>
      </c>
      <c r="BW72" s="136"/>
      <c r="BX72" s="137"/>
      <c r="BY72" s="136"/>
      <c r="BZ72" s="136"/>
      <c r="CA72" s="271"/>
      <c r="CH72" s="13"/>
      <c r="CI72" s="237"/>
      <c r="CJ72" s="26"/>
      <c r="CK72" s="26"/>
      <c r="CL72" s="26"/>
      <c r="CM72" s="26"/>
      <c r="CN72" s="26"/>
      <c r="CO72" s="26"/>
      <c r="CP72" s="26"/>
      <c r="CQ72" s="27"/>
      <c r="DY72" s="213" t="s">
        <v>534</v>
      </c>
      <c r="EA72" s="177"/>
      <c r="EB72" s="228">
        <v>2976011822</v>
      </c>
      <c r="EC72" s="228">
        <v>-89784654</v>
      </c>
      <c r="ED72" s="228">
        <v>2886227168</v>
      </c>
      <c r="EE72" s="228">
        <v>2613499142.8400002</v>
      </c>
      <c r="EF72" s="228">
        <v>2612100664.46</v>
      </c>
      <c r="EG72" s="229">
        <v>2543093926.3800001</v>
      </c>
      <c r="EH72" s="230">
        <f>IVA!EF72-IVA!EG72</f>
        <v>69006738.079999924</v>
      </c>
      <c r="EJ72" s="31">
        <v>2020</v>
      </c>
      <c r="EK72" s="32">
        <v>7548.93</v>
      </c>
      <c r="EL72" s="33">
        <v>6522.08</v>
      </c>
    </row>
    <row r="73" spans="27:156" ht="12.75" customHeight="1">
      <c r="AA73" s="302">
        <v>2009</v>
      </c>
      <c r="AB73" s="302" t="s">
        <v>476</v>
      </c>
      <c r="AC73" s="311"/>
      <c r="AD73" s="312"/>
      <c r="AE73" s="313">
        <f>IVA!AE56-580000/12</f>
        <v>3901757.6666666665</v>
      </c>
      <c r="AF73" s="313">
        <f>IVA!AF56-580000/12</f>
        <v>3706218.6666666665</v>
      </c>
      <c r="AG73" s="313">
        <f>IVA!AG56-580000/12</f>
        <v>3326290.6666666665</v>
      </c>
      <c r="AH73" s="313">
        <f>IVA!AH56-580000/12</f>
        <v>3064952.6666666665</v>
      </c>
      <c r="AI73" s="313">
        <f>IVA!AI56-580000/12</f>
        <v>6469906.666666667</v>
      </c>
      <c r="AJ73" s="313">
        <f>IVA!AJ56-580000/12</f>
        <v>6226553.666666667</v>
      </c>
      <c r="AK73" s="313">
        <f>IVA!AK56-580000/12</f>
        <v>4376059.666666667</v>
      </c>
      <c r="AL73" s="313">
        <f>IVA!AL56-580000/12</f>
        <v>4617956.666666667</v>
      </c>
      <c r="AM73" s="313">
        <f>IVA!AM56-580000/12</f>
        <v>4216524.666666667</v>
      </c>
      <c r="AN73" s="313">
        <f>IVA!AN56-580000/12</f>
        <v>4853788.666666667</v>
      </c>
      <c r="AO73" s="313">
        <f>IVA!AO56-580000/12</f>
        <v>4933319.666666667</v>
      </c>
      <c r="AP73" s="313">
        <f>IVA!AP56-580000/12</f>
        <v>5278926.666666667</v>
      </c>
      <c r="AQ73" s="153">
        <f>IVA!AE73+IVA!AF73+IVA!AG73</f>
        <v>10934267</v>
      </c>
      <c r="AR73" s="153">
        <f>IVA!AF73+IVA!AG73+IVA!AH73</f>
        <v>10097462</v>
      </c>
      <c r="AS73" s="153">
        <f>IVA!AG73+IVA!AH73+IVA!AI73</f>
        <v>12861150</v>
      </c>
      <c r="AT73" s="153">
        <f>IVA!AH73+IVA!AI73+IVA!AJ73</f>
        <v>15761413</v>
      </c>
      <c r="AU73" s="127">
        <f>IVA!AQ73+IVA!AR73+IVA!AS73+IVA!AT73</f>
        <v>49654292</v>
      </c>
      <c r="AV73" s="128">
        <f>IVA!AQ73/IVA!CJ18</f>
        <v>1.1011767821930748E-2</v>
      </c>
      <c r="AW73" s="128">
        <f>IVA!AR73/IVA!CK18</f>
        <v>8.4471263282686112E-3</v>
      </c>
      <c r="AX73" s="128">
        <f>IVA!AS73/IVA!CL18</f>
        <v>1.1003769710080817E-2</v>
      </c>
      <c r="AY73" s="128">
        <f>IVA!AT73/IVA!CM18</f>
        <v>1.2869571920863469E-2</v>
      </c>
      <c r="AZ73" s="269">
        <f>IVA!AU73/IVA!CN18</f>
        <v>4.3348841615237423E-2</v>
      </c>
      <c r="BA73" s="264">
        <v>2000</v>
      </c>
      <c r="BB73" s="341" t="s">
        <v>523</v>
      </c>
      <c r="BC73" s="342"/>
      <c r="BD73" s="342"/>
      <c r="BE73" s="342"/>
      <c r="BF73" s="343">
        <v>486</v>
      </c>
      <c r="BG73" s="343">
        <v>1521</v>
      </c>
      <c r="BH73" s="343">
        <v>1775</v>
      </c>
      <c r="BI73" s="343">
        <v>1437</v>
      </c>
      <c r="BJ73" s="343">
        <v>1587</v>
      </c>
      <c r="BK73" s="343">
        <v>1646</v>
      </c>
      <c r="BL73" s="343">
        <v>1767</v>
      </c>
      <c r="BM73" s="343">
        <v>1277</v>
      </c>
      <c r="BN73" s="343">
        <v>1050</v>
      </c>
      <c r="BO73" s="343">
        <v>1056</v>
      </c>
      <c r="BP73" s="343">
        <v>992</v>
      </c>
      <c r="BQ73" s="344">
        <v>1010</v>
      </c>
      <c r="BR73" s="173">
        <f>IVA!BF73+IVA!BG73+IVA!BH73</f>
        <v>3782</v>
      </c>
      <c r="BS73" s="173">
        <f>IVA!BI73+IVA!BJ73+IVA!BK73</f>
        <v>4670</v>
      </c>
      <c r="BT73" s="173">
        <f>IVA!BL73+IVA!BM73+IVA!BN73</f>
        <v>4094</v>
      </c>
      <c r="BU73" s="174">
        <f>IVA!BO73+IVA!BP73+IVA!BQ73</f>
        <v>3058</v>
      </c>
      <c r="BV73" s="135">
        <f>IVA!BR73+IVA!BS73+IVA!BT73+IVA!BU73</f>
        <v>15604</v>
      </c>
      <c r="BW73" s="136"/>
      <c r="BX73" s="137"/>
      <c r="BY73" s="136"/>
      <c r="BZ73" s="136"/>
      <c r="CA73" s="271"/>
      <c r="CH73" s="13"/>
      <c r="CI73" s="25" t="s">
        <v>535</v>
      </c>
      <c r="CJ73" s="26"/>
      <c r="CK73" s="26"/>
      <c r="CL73" s="26"/>
      <c r="CM73" s="26"/>
      <c r="CN73" s="26"/>
      <c r="CO73" s="26"/>
      <c r="CP73" s="26"/>
      <c r="CQ73" s="27"/>
      <c r="DY73" s="213" t="s">
        <v>536</v>
      </c>
      <c r="EA73" s="193"/>
      <c r="EB73" s="228">
        <v>28280156</v>
      </c>
      <c r="EC73" s="228">
        <v>86408</v>
      </c>
      <c r="ED73" s="228">
        <v>28366564</v>
      </c>
      <c r="EE73" s="228">
        <v>24769994.43</v>
      </c>
      <c r="EF73" s="228">
        <v>23886728.57</v>
      </c>
      <c r="EG73" s="229">
        <v>20901479.23</v>
      </c>
      <c r="EH73" s="230">
        <f>IVA!EF73-IVA!EG73</f>
        <v>2985249.34</v>
      </c>
      <c r="EJ73" s="31">
        <v>2021</v>
      </c>
      <c r="EK73" s="32">
        <v>7703.1819999999998</v>
      </c>
      <c r="EL73" s="33">
        <v>6668.8720000000003</v>
      </c>
      <c r="EN73" s="120" t="s">
        <v>103</v>
      </c>
      <c r="EO73" s="180">
        <f>IVA!DK42*1000/IVA!EY11/12</f>
        <v>4503342.5545636602</v>
      </c>
    </row>
    <row r="74" spans="27:156" ht="12.75" customHeight="1">
      <c r="AA74" s="302">
        <v>2010</v>
      </c>
      <c r="AB74" s="302" t="s">
        <v>476</v>
      </c>
      <c r="AC74" s="311"/>
      <c r="AD74" s="312"/>
      <c r="AE74" s="313">
        <f>IVA!AE57-580000/12</f>
        <v>4919032.666666667</v>
      </c>
      <c r="AF74" s="313">
        <f>IVA!AF57-580000/12</f>
        <v>4640142.666666667</v>
      </c>
      <c r="AG74" s="313">
        <f>IVA!AG57-580000/12</f>
        <v>4260524.666666667</v>
      </c>
      <c r="AH74" s="313">
        <f>IVA!AH57-580000/12</f>
        <v>4191981.6666666665</v>
      </c>
      <c r="AI74" s="313">
        <f>IVA!AI57-580000/12</f>
        <v>11426511.666666666</v>
      </c>
      <c r="AJ74" s="313">
        <f>IVA!AJ57-580000/12</f>
        <v>9121648.666666666</v>
      </c>
      <c r="AK74" s="313">
        <f>IVA!AK57-580000/12</f>
        <v>6203909.666666667</v>
      </c>
      <c r="AL74" s="313">
        <f>IVA!AL57-580000/12</f>
        <v>5977443.666666667</v>
      </c>
      <c r="AM74" s="313">
        <f>IVA!AM57-580000/12</f>
        <v>5695233.666666667</v>
      </c>
      <c r="AN74" s="313">
        <f>IVA!AN57-580000/12</f>
        <v>6116713.666666667</v>
      </c>
      <c r="AO74" s="313">
        <f>IVA!AO57-580000/12</f>
        <v>6344754.666666667</v>
      </c>
      <c r="AP74" s="313">
        <f>IVA!AP57-580000/12</f>
        <v>7173730.666666667</v>
      </c>
      <c r="AQ74" s="153">
        <f>IVA!AE74+IVA!AF74+IVA!AG74</f>
        <v>13819700</v>
      </c>
      <c r="AR74" s="153">
        <f>IVA!AF74+IVA!AG74+IVA!AH74</f>
        <v>13092649</v>
      </c>
      <c r="AS74" s="153">
        <f>IVA!AG74+IVA!AH74+IVA!AI74</f>
        <v>19879018</v>
      </c>
      <c r="AT74" s="153">
        <f>IVA!AH74+IVA!AI74+IVA!AJ74</f>
        <v>24740142</v>
      </c>
      <c r="AU74" s="127">
        <f>IVA!AQ74+IVA!AR74+IVA!AS74+IVA!AT74</f>
        <v>71531509</v>
      </c>
      <c r="AV74" s="128">
        <f>IVA!AQ74/IVA!CJ19</f>
        <v>1.1351992515079503E-2</v>
      </c>
      <c r="AW74" s="128">
        <f>IVA!AR74/IVA!CK19</f>
        <v>8.6804836137452969E-3</v>
      </c>
      <c r="AX74" s="128">
        <f>IVA!AS74/IVA!CL19</f>
        <v>1.3561365457006758E-2</v>
      </c>
      <c r="AY74" s="128">
        <f>IVA!AT74/IVA!CM19</f>
        <v>1.5667258112227491E-2</v>
      </c>
      <c r="AZ74" s="269">
        <f>IVA!AU74/IVA!CN19</f>
        <v>4.9583226916990616E-2</v>
      </c>
      <c r="BA74" s="264">
        <v>2001</v>
      </c>
      <c r="BB74" s="341" t="s">
        <v>523</v>
      </c>
      <c r="BC74" s="342"/>
      <c r="BD74" s="342"/>
      <c r="BE74" s="342"/>
      <c r="BF74" s="343">
        <v>1731</v>
      </c>
      <c r="BG74" s="343">
        <v>485</v>
      </c>
      <c r="BH74" s="343">
        <v>1312</v>
      </c>
      <c r="BI74" s="343">
        <v>3561</v>
      </c>
      <c r="BJ74" s="343">
        <v>1767</v>
      </c>
      <c r="BK74" s="343">
        <v>754</v>
      </c>
      <c r="BL74" s="343">
        <v>70</v>
      </c>
      <c r="BM74" s="343">
        <v>0</v>
      </c>
      <c r="BN74" s="343">
        <v>0</v>
      </c>
      <c r="BO74" s="343">
        <v>0</v>
      </c>
      <c r="BP74" s="343">
        <v>0</v>
      </c>
      <c r="BQ74" s="344">
        <v>1</v>
      </c>
      <c r="BR74" s="173">
        <f>IVA!BF74+IVA!BG74+IVA!BH74</f>
        <v>3528</v>
      </c>
      <c r="BS74" s="173">
        <f>IVA!BI74+IVA!BJ74+IVA!BK74</f>
        <v>6082</v>
      </c>
      <c r="BT74" s="173">
        <f>IVA!BL74+IVA!BM74+IVA!BN74</f>
        <v>70</v>
      </c>
      <c r="BU74" s="174">
        <f>IVA!BO74+IVA!BP74+IVA!BQ74</f>
        <v>1</v>
      </c>
      <c r="BV74" s="135">
        <f>IVA!BR74+IVA!BS74+IVA!BT74+IVA!BU74</f>
        <v>9681</v>
      </c>
      <c r="BW74" s="136"/>
      <c r="BX74" s="137"/>
      <c r="BY74" s="136"/>
      <c r="BZ74" s="136"/>
      <c r="CA74" s="271"/>
      <c r="CH74" s="13"/>
      <c r="CI74" s="237"/>
      <c r="CJ74" s="26"/>
      <c r="CK74" s="26"/>
      <c r="CL74" s="26"/>
      <c r="CM74" s="26"/>
      <c r="CN74" s="26"/>
      <c r="CO74" s="26"/>
      <c r="CP74" s="26"/>
      <c r="CQ74" s="27"/>
      <c r="DY74" s="220" t="s">
        <v>537</v>
      </c>
      <c r="DZ74" s="221"/>
      <c r="EA74" s="204"/>
      <c r="EB74" s="234">
        <v>41908535700</v>
      </c>
      <c r="EC74" s="234">
        <v>11778443158</v>
      </c>
      <c r="ED74" s="234">
        <v>53686978858</v>
      </c>
      <c r="EE74" s="234">
        <v>51469016192.730003</v>
      </c>
      <c r="EF74" s="234">
        <v>51451696840.559998</v>
      </c>
      <c r="EG74" s="235">
        <v>50573553347.480003</v>
      </c>
      <c r="EH74" s="236">
        <f>IVA!EF74-IVA!EG74</f>
        <v>878143493.0799942</v>
      </c>
      <c r="EJ74" s="31">
        <v>2022</v>
      </c>
      <c r="EK74" s="32">
        <v>7853.62</v>
      </c>
      <c r="EL74" s="33">
        <v>6811.4279999999999</v>
      </c>
      <c r="EN74" s="120" t="s">
        <v>123</v>
      </c>
    </row>
    <row r="75" spans="27:156" ht="12.75" customHeight="1">
      <c r="AA75" s="302">
        <v>2011</v>
      </c>
      <c r="AB75" s="302" t="s">
        <v>476</v>
      </c>
      <c r="AC75" s="311"/>
      <c r="AD75" s="312"/>
      <c r="AE75" s="313">
        <f>IVA!AE58-580000/12</f>
        <v>7062466.666666667</v>
      </c>
      <c r="AF75" s="313">
        <f>IVA!AF58-580000/12</f>
        <v>6819374.666666667</v>
      </c>
      <c r="AG75" s="313">
        <f>IVA!AG58-580000/12</f>
        <v>5922457.666666667</v>
      </c>
      <c r="AH75" s="313">
        <f>IVA!AH58-580000/12</f>
        <v>6646880.666666667</v>
      </c>
      <c r="AI75" s="313">
        <f>IVA!AI58-580000/12</f>
        <v>13992014.666666666</v>
      </c>
      <c r="AJ75" s="313">
        <f>IVA!AJ58-580000/12</f>
        <v>13309975.666666666</v>
      </c>
      <c r="AK75" s="313">
        <f>IVA!AK58-580000/12</f>
        <v>8624397.666666666</v>
      </c>
      <c r="AL75" s="313">
        <f>IVA!AL58-580000/12</f>
        <v>9050214.666666666</v>
      </c>
      <c r="AM75" s="313">
        <f>IVA!AM58-580000/12</f>
        <v>8614132.666666666</v>
      </c>
      <c r="AN75" s="313">
        <f>IVA!AN58-580000/12</f>
        <v>8874397.666666666</v>
      </c>
      <c r="AO75" s="313">
        <f>IVA!AO58-580000/12</f>
        <v>9146575.666666666</v>
      </c>
      <c r="AP75" s="313">
        <f>IVA!AP58-580000/12</f>
        <v>9954990.666666666</v>
      </c>
      <c r="AQ75" s="153">
        <f>IVA!AE75+IVA!AF75+IVA!AG75</f>
        <v>19804299</v>
      </c>
      <c r="AR75" s="153">
        <f>IVA!AF75+IVA!AG75+IVA!AH75</f>
        <v>19388713</v>
      </c>
      <c r="AS75" s="153">
        <f>IVA!AG75+IVA!AH75+IVA!AI75</f>
        <v>26561353</v>
      </c>
      <c r="AT75" s="153">
        <f>IVA!AH75+IVA!AI75+IVA!AJ75</f>
        <v>33948871</v>
      </c>
      <c r="AU75" s="127">
        <f>IVA!AQ75+IVA!AR75+IVA!AS75+IVA!AT75</f>
        <v>99703236</v>
      </c>
      <c r="AV75" s="128">
        <f>IVA!AQ75/IVA!CJ20</f>
        <v>1.2633676750149913E-2</v>
      </c>
      <c r="AW75" s="128">
        <f>IVA!AR75/IVA!CK20</f>
        <v>9.8109729838527938E-3</v>
      </c>
      <c r="AX75" s="128">
        <f>IVA!AS75/IVA!CL20</f>
        <v>1.4239027852870218E-2</v>
      </c>
      <c r="AY75" s="128">
        <f>IVA!AT75/IVA!CM20</f>
        <v>1.7330666260921151E-2</v>
      </c>
      <c r="AZ75" s="269">
        <f>IVA!AU75/IVA!CN20</f>
        <v>5.4127056412502622E-2</v>
      </c>
      <c r="BA75" s="264">
        <v>2002</v>
      </c>
      <c r="BB75" s="341" t="s">
        <v>523</v>
      </c>
      <c r="BC75" s="342"/>
      <c r="BD75" s="342"/>
      <c r="BE75" s="342"/>
      <c r="BF75" s="343">
        <v>0</v>
      </c>
      <c r="BG75" s="343">
        <v>0</v>
      </c>
      <c r="BH75" s="343">
        <v>0</v>
      </c>
      <c r="BI75" s="343">
        <v>0</v>
      </c>
      <c r="BJ75" s="343">
        <v>0</v>
      </c>
      <c r="BK75" s="343">
        <v>0</v>
      </c>
      <c r="BL75" s="343">
        <v>0</v>
      </c>
      <c r="BM75" s="343">
        <v>0</v>
      </c>
      <c r="BN75" s="343">
        <v>0</v>
      </c>
      <c r="BO75" s="343">
        <v>0</v>
      </c>
      <c r="BP75" s="343">
        <v>0</v>
      </c>
      <c r="BQ75" s="344">
        <v>0</v>
      </c>
      <c r="BR75" s="173">
        <f>IVA!BF75+IVA!BG75+IVA!BH75</f>
        <v>0</v>
      </c>
      <c r="BS75" s="173">
        <f>IVA!BI75+IVA!BJ75+IVA!BK75</f>
        <v>0</v>
      </c>
      <c r="BT75" s="173">
        <f>IVA!BL75+IVA!BM75+IVA!BN75</f>
        <v>0</v>
      </c>
      <c r="BU75" s="174">
        <f>IVA!BO75+IVA!BP75+IVA!BQ75</f>
        <v>0</v>
      </c>
      <c r="BV75" s="135">
        <f>IVA!BR75+IVA!BS75+IVA!BT75+IVA!BU75</f>
        <v>0</v>
      </c>
      <c r="BW75" s="136"/>
      <c r="BX75" s="137"/>
      <c r="BY75" s="136"/>
      <c r="BZ75" s="136"/>
      <c r="CA75" s="271"/>
      <c r="CH75" s="13"/>
      <c r="CI75" s="237"/>
      <c r="CJ75" s="26"/>
      <c r="CK75" s="26"/>
      <c r="CL75" s="26"/>
      <c r="CM75" s="26"/>
      <c r="CN75" s="26"/>
      <c r="CO75" s="26"/>
      <c r="CP75" s="26"/>
      <c r="CQ75" s="27"/>
      <c r="DY75" s="175" t="s">
        <v>163</v>
      </c>
      <c r="DZ75" s="45"/>
      <c r="EA75" s="208">
        <v>2008</v>
      </c>
      <c r="EB75" s="225">
        <v>63254660794</v>
      </c>
      <c r="EC75" s="225">
        <v>10752752776</v>
      </c>
      <c r="ED75" s="225">
        <v>74007413570</v>
      </c>
      <c r="EE75" s="225">
        <v>69784536330.270004</v>
      </c>
      <c r="EF75" s="225">
        <v>69763581899.929993</v>
      </c>
      <c r="EG75" s="226">
        <v>69460320629.449997</v>
      </c>
      <c r="EH75" s="227">
        <f>IVA!EF75-IVA!EG75</f>
        <v>303261270.47999573</v>
      </c>
      <c r="EJ75" s="31">
        <v>2023</v>
      </c>
      <c r="EK75" s="32">
        <v>8000.9040000000005</v>
      </c>
      <c r="EL75" s="33">
        <v>6950.5529999999999</v>
      </c>
      <c r="EN75" s="120" t="s">
        <v>138</v>
      </c>
    </row>
    <row r="76" spans="27:156" ht="12.75" customHeight="1">
      <c r="AA76" s="321">
        <v>2012</v>
      </c>
      <c r="AB76" s="321" t="s">
        <v>476</v>
      </c>
      <c r="AC76" s="322"/>
      <c r="AD76" s="323"/>
      <c r="AE76" s="324">
        <f>IVA!AE59-580000/12</f>
        <v>9453455.1501466669</v>
      </c>
      <c r="AF76" s="324">
        <f>IVA!AF59-580000/12</f>
        <v>8799337.9192166664</v>
      </c>
      <c r="AG76" s="324">
        <f>IVA!AG59-580000/12</f>
        <v>7723158.0422366671</v>
      </c>
      <c r="AH76" s="324">
        <f>IVA!AH59-580000/12</f>
        <v>7419376.2756566666</v>
      </c>
      <c r="AI76" s="324">
        <f>IVA!AI59-580000/12</f>
        <v>14835025.798386667</v>
      </c>
      <c r="AJ76" s="324">
        <f>IVA!AJ59-580000/12</f>
        <v>15986215.044776667</v>
      </c>
      <c r="AK76" s="324">
        <f>IVA!AK59-580000/12</f>
        <v>10937822.838196667</v>
      </c>
      <c r="AL76" s="324">
        <f>IVA!AL59-580000/12</f>
        <v>12195993.613326667</v>
      </c>
      <c r="AM76" s="324">
        <f>IVA!AM59-580000/12</f>
        <v>10783920.177716667</v>
      </c>
      <c r="AN76" s="324">
        <f>IVA!AN59-580000/12</f>
        <v>12441504.135826666</v>
      </c>
      <c r="AO76" s="324">
        <f>IVA!AO59-580000/12</f>
        <v>13729793.481906665</v>
      </c>
      <c r="AP76" s="324">
        <f>IVA!AP59-580000/12</f>
        <v>13553998.566076666</v>
      </c>
      <c r="AQ76" s="325">
        <f>IVA!AE76+IVA!AF76+IVA!AG76</f>
        <v>25975951.1116</v>
      </c>
      <c r="AR76" s="325">
        <f>IVA!AF76+IVA!AG76+IVA!AH76</f>
        <v>23941872.23711</v>
      </c>
      <c r="AS76" s="325">
        <f>IVA!AG76+IVA!AH76+IVA!AI76</f>
        <v>29977560.116280001</v>
      </c>
      <c r="AT76" s="325">
        <f>IVA!AH76+IVA!AI76+IVA!AJ76</f>
        <v>38240617.118819997</v>
      </c>
      <c r="AU76" s="248">
        <f>IVA!AQ76+IVA!AR76+IVA!AS76+IVA!AT76</f>
        <v>118136000.58381</v>
      </c>
      <c r="AV76" s="249">
        <f>IVA!AQ76/IVA!CJ21</f>
        <v>1.3854320875977034E-2</v>
      </c>
      <c r="AW76" s="250">
        <f>IVA!AR76/IVA!CK21</f>
        <v>1.0532410568144E-2</v>
      </c>
      <c r="AX76" s="250">
        <f>IVA!AS76/IVA!CL21</f>
        <v>1.3732846703885759E-2</v>
      </c>
      <c r="AY76" s="250">
        <f>IVA!AT76/IVA!CM21</f>
        <v>1.6440665865722511E-2</v>
      </c>
      <c r="AZ76" s="294">
        <f>IVA!AU76/IVA!CN21</f>
        <v>5.4585295459530302E-2</v>
      </c>
      <c r="BA76" s="264">
        <v>2003</v>
      </c>
      <c r="BB76" s="341" t="s">
        <v>523</v>
      </c>
      <c r="BC76" s="342"/>
      <c r="BD76" s="342"/>
      <c r="BE76" s="342"/>
      <c r="BF76" s="343">
        <v>0</v>
      </c>
      <c r="BG76" s="343">
        <v>8</v>
      </c>
      <c r="BH76" s="343">
        <v>0</v>
      </c>
      <c r="BI76" s="343">
        <v>2</v>
      </c>
      <c r="BJ76" s="343">
        <v>8</v>
      </c>
      <c r="BK76" s="343">
        <v>0</v>
      </c>
      <c r="BL76" s="343">
        <v>0</v>
      </c>
      <c r="BM76" s="343">
        <v>0</v>
      </c>
      <c r="BN76" s="343">
        <v>0</v>
      </c>
      <c r="BO76" s="343">
        <v>0</v>
      </c>
      <c r="BP76" s="343">
        <v>1</v>
      </c>
      <c r="BQ76" s="344">
        <v>0</v>
      </c>
      <c r="BR76" s="173">
        <f>IVA!BF76+IVA!BG76+IVA!BH76</f>
        <v>8</v>
      </c>
      <c r="BS76" s="173">
        <f>IVA!BI76+IVA!BJ76+IVA!BK76</f>
        <v>10</v>
      </c>
      <c r="BT76" s="173">
        <f>IVA!BL76+IVA!BM76+IVA!BN76</f>
        <v>0</v>
      </c>
      <c r="BU76" s="174">
        <f>IVA!BO76+IVA!BP76+IVA!BQ76</f>
        <v>1</v>
      </c>
      <c r="BV76" s="135">
        <f>IVA!BR76+IVA!BS76+IVA!BT76+IVA!BU76</f>
        <v>19</v>
      </c>
      <c r="BW76" s="136"/>
      <c r="BX76" s="137"/>
      <c r="BY76" s="136"/>
      <c r="BZ76" s="136"/>
      <c r="CA76" s="271"/>
      <c r="CH76" s="13"/>
      <c r="CI76" s="233"/>
      <c r="CJ76" s="76"/>
      <c r="CK76" s="77"/>
      <c r="CL76" s="77"/>
      <c r="CM76" s="77"/>
      <c r="CN76" s="77"/>
      <c r="CO76" s="63"/>
      <c r="CP76" s="63"/>
      <c r="CQ76" s="13"/>
      <c r="DY76" s="213" t="s">
        <v>538</v>
      </c>
      <c r="EA76" s="177"/>
      <c r="EB76" s="228">
        <v>2713353989</v>
      </c>
      <c r="EC76" s="228">
        <v>36858075</v>
      </c>
      <c r="ED76" s="228">
        <v>2750212064</v>
      </c>
      <c r="EE76" s="228">
        <v>2526963301.1199999</v>
      </c>
      <c r="EF76" s="228">
        <v>2523966751.2199998</v>
      </c>
      <c r="EG76" s="229">
        <v>2398135616.0900002</v>
      </c>
      <c r="EH76" s="230">
        <f>IVA!EF76-IVA!EG76</f>
        <v>125831135.12999964</v>
      </c>
      <c r="EJ76" s="31">
        <v>2024</v>
      </c>
      <c r="EK76" s="32">
        <v>8145.6980000000003</v>
      </c>
      <c r="EL76" s="33">
        <v>7087.2190000000001</v>
      </c>
      <c r="EN76" s="120" t="s">
        <v>146</v>
      </c>
    </row>
    <row r="77" spans="27:156" ht="12.75" customHeight="1">
      <c r="AA77" s="302">
        <v>1996</v>
      </c>
      <c r="AB77" s="302" t="s">
        <v>539</v>
      </c>
      <c r="AC77" s="311"/>
      <c r="AD77" s="312"/>
      <c r="AE77" s="305">
        <f>IVA!AE60*0.2+120000</f>
        <v>215782.73333333334</v>
      </c>
      <c r="AF77" s="305">
        <f>IVA!AF60*0.2+120000</f>
        <v>225972.73333333334</v>
      </c>
      <c r="AG77" s="305">
        <f>IVA!AG60*0.2+120000</f>
        <v>207484.93333333335</v>
      </c>
      <c r="AH77" s="305">
        <f>IVA!AH60*0.2+120000</f>
        <v>205729.93333333335</v>
      </c>
      <c r="AI77" s="305">
        <f>IVA!AI60*0.2+120000</f>
        <v>248282.73333333334</v>
      </c>
      <c r="AJ77" s="305">
        <f>IVA!AJ60*0.2+120000</f>
        <v>257672.53333333333</v>
      </c>
      <c r="AK77" s="305">
        <f>IVA!AK60*0.2+120000</f>
        <v>221904.73333333334</v>
      </c>
      <c r="AL77" s="305">
        <f>IVA!AL60*0.2+120000</f>
        <v>213014.33333333334</v>
      </c>
      <c r="AM77" s="305">
        <f>IVA!AM60*0.2+120000</f>
        <v>207179.13333333336</v>
      </c>
      <c r="AN77" s="305">
        <f>IVA!AN60*0.2+120000</f>
        <v>214808.73333333334</v>
      </c>
      <c r="AO77" s="305">
        <f>IVA!AO60*0.2+120000</f>
        <v>245179.13333333333</v>
      </c>
      <c r="AP77" s="305">
        <f>IVA!AP60*0.2+120000</f>
        <v>221313.53333333333</v>
      </c>
      <c r="AQ77" s="126">
        <f>IVA!AE77+IVA!AF77+IVA!AG77</f>
        <v>649240.4</v>
      </c>
      <c r="AR77" s="126">
        <f>IVA!AH77+IVA!AI77+IVA!AJ77</f>
        <v>711685.2</v>
      </c>
      <c r="AS77" s="126">
        <f>IVA!AK77+IVA!AL77+IVA!AM77</f>
        <v>642098.19999999995</v>
      </c>
      <c r="AT77" s="126">
        <f>IVA!AN77+IVA!AO77+IVA!AP77</f>
        <v>681301.4</v>
      </c>
      <c r="AU77" s="127">
        <f>IVA!AQ77+IVA!AR77+IVA!AS77+IVA!AT77</f>
        <v>2684325.2000000002</v>
      </c>
      <c r="AV77" s="249"/>
      <c r="AW77" s="250"/>
      <c r="AX77" s="250"/>
      <c r="AY77" s="250"/>
      <c r="AZ77" s="294"/>
      <c r="BA77" s="345">
        <v>2004</v>
      </c>
      <c r="BB77" s="346" t="s">
        <v>523</v>
      </c>
      <c r="BC77" s="347"/>
      <c r="BD77" s="347"/>
      <c r="BE77" s="347"/>
      <c r="BF77" s="343">
        <v>6</v>
      </c>
      <c r="BG77" s="343">
        <v>0</v>
      </c>
      <c r="BH77" s="343">
        <v>1</v>
      </c>
      <c r="BI77" s="343">
        <v>12</v>
      </c>
      <c r="BJ77" s="343">
        <v>0</v>
      </c>
      <c r="BK77" s="343">
        <v>0</v>
      </c>
      <c r="BL77" s="343">
        <v>0</v>
      </c>
      <c r="BM77" s="343">
        <v>16</v>
      </c>
      <c r="BN77" s="343">
        <v>0</v>
      </c>
      <c r="BO77" s="343">
        <v>0</v>
      </c>
      <c r="BP77" s="343">
        <v>0</v>
      </c>
      <c r="BQ77" s="344">
        <v>167</v>
      </c>
      <c r="BR77" s="257">
        <f>IVA!BF77+IVA!BG77+IVA!BH77</f>
        <v>7</v>
      </c>
      <c r="BS77" s="257">
        <f>IVA!BI77+IVA!BJ77+IVA!BK77</f>
        <v>12</v>
      </c>
      <c r="BT77" s="257">
        <f>IVA!BL77+IVA!BM77+IVA!BN77</f>
        <v>16</v>
      </c>
      <c r="BU77" s="258">
        <f>IVA!BO77+IVA!BP77+IVA!BQ77</f>
        <v>167</v>
      </c>
      <c r="BV77" s="259">
        <f>IVA!BR77+IVA!BS77+IVA!BT77+IVA!BU77</f>
        <v>202</v>
      </c>
      <c r="BW77" s="348"/>
      <c r="BX77" s="349"/>
      <c r="BY77" s="348"/>
      <c r="BZ77" s="348"/>
      <c r="CA77" s="350"/>
      <c r="CH77" s="13"/>
      <c r="CI77" s="233"/>
      <c r="CJ77" s="91" t="s">
        <v>58</v>
      </c>
      <c r="CK77" s="92" t="s">
        <v>59</v>
      </c>
      <c r="CL77" s="92" t="s">
        <v>60</v>
      </c>
      <c r="CM77" s="92" t="s">
        <v>61</v>
      </c>
      <c r="CN77" s="92" t="s">
        <v>62</v>
      </c>
      <c r="CO77" s="63"/>
      <c r="CP77" s="63"/>
      <c r="CQ77" s="13"/>
      <c r="DY77" s="213" t="s">
        <v>540</v>
      </c>
      <c r="EA77" s="193"/>
      <c r="EB77" s="228">
        <v>32315000</v>
      </c>
      <c r="EC77" s="228">
        <v>5570455</v>
      </c>
      <c r="ED77" s="228">
        <v>37885455</v>
      </c>
      <c r="EE77" s="228">
        <v>33833043.990000002</v>
      </c>
      <c r="EF77" s="228">
        <v>33833043.990000002</v>
      </c>
      <c r="EG77" s="229">
        <v>26469298.649999999</v>
      </c>
      <c r="EH77" s="230">
        <f>IVA!EF77-IVA!EG77</f>
        <v>7363745.3400000036</v>
      </c>
      <c r="EJ77" s="31">
        <v>2025</v>
      </c>
      <c r="EK77" s="32">
        <v>8289.1139999999996</v>
      </c>
      <c r="EL77" s="33">
        <v>7222.5739999999996</v>
      </c>
      <c r="EN77" s="120" t="s">
        <v>155</v>
      </c>
    </row>
    <row r="78" spans="27:156" ht="12.75" customHeight="1">
      <c r="AA78" s="302">
        <v>1997</v>
      </c>
      <c r="AB78" s="302" t="s">
        <v>539</v>
      </c>
      <c r="AC78" s="311"/>
      <c r="AD78" s="312"/>
      <c r="AE78" s="305">
        <f>IVA!AE61*0.2+120000</f>
        <v>236681.93333333335</v>
      </c>
      <c r="AF78" s="305">
        <f>IVA!AF61*0.2+120000</f>
        <v>216876.33333333334</v>
      </c>
      <c r="AG78" s="305">
        <f>IVA!AG61*0.2+120000</f>
        <v>215896.53333333333</v>
      </c>
      <c r="AH78" s="305">
        <f>IVA!AH61*0.2+120000</f>
        <v>259858.93333333332</v>
      </c>
      <c r="AI78" s="305">
        <f>IVA!AI61*0.2+120000</f>
        <v>368091.53333333333</v>
      </c>
      <c r="AJ78" s="305">
        <f>IVA!AJ61*0.2+120000</f>
        <v>242877.53333333333</v>
      </c>
      <c r="AK78" s="305">
        <f>IVA!AK61*0.2+120000</f>
        <v>228928.13333333333</v>
      </c>
      <c r="AL78" s="305">
        <f>IVA!AL61*0.2+120000</f>
        <v>244129.93333333335</v>
      </c>
      <c r="AM78" s="305">
        <f>IVA!AM61*0.2+120000</f>
        <v>225313.53333333333</v>
      </c>
      <c r="AN78" s="305">
        <f>IVA!AN61*0.2+120000</f>
        <v>249548.53333333333</v>
      </c>
      <c r="AO78" s="305">
        <f>IVA!AO61*0.2+120000</f>
        <v>263618.33333333337</v>
      </c>
      <c r="AP78" s="305">
        <f>IVA!AP61*0.2+120000</f>
        <v>238934.73333333334</v>
      </c>
      <c r="AQ78" s="126">
        <f>IVA!AE78+IVA!AF78+IVA!AG78</f>
        <v>669454.80000000005</v>
      </c>
      <c r="AR78" s="126">
        <f>IVA!AH78+IVA!AI78+IVA!AJ78</f>
        <v>870828</v>
      </c>
      <c r="AS78" s="126">
        <f>IVA!AK78+IVA!AL78+IVA!AM78</f>
        <v>698371.6</v>
      </c>
      <c r="AT78" s="126">
        <f>IVA!AN78+IVA!AO78+IVA!AP78</f>
        <v>752101.60000000009</v>
      </c>
      <c r="AU78" s="127">
        <f>IVA!AQ78+IVA!AR78+IVA!AS78+IVA!AT78</f>
        <v>2990756</v>
      </c>
      <c r="AV78" s="128">
        <f>IVA!AQ78/IVA!CJ6</f>
        <v>2.4679451448794518E-3</v>
      </c>
      <c r="AW78" s="128">
        <f>IVA!AR78/IVA!CK6</f>
        <v>2.9039938220697301E-3</v>
      </c>
      <c r="AX78" s="128">
        <f>IVA!AS78/IVA!CL6</f>
        <v>2.3414467667411958E-3</v>
      </c>
      <c r="AY78" s="128">
        <f>IVA!AT78/IVA!CM6</f>
        <v>2.4900932612750295E-3</v>
      </c>
      <c r="AZ78" s="269">
        <f>IVA!AU78/IVA!CN6</f>
        <v>1.0212277077858956E-2</v>
      </c>
      <c r="BA78" s="264">
        <v>1996</v>
      </c>
      <c r="BB78" s="351" t="s">
        <v>541</v>
      </c>
      <c r="BC78" s="352"/>
      <c r="BD78" s="352"/>
      <c r="BE78" s="352"/>
      <c r="BF78" s="353">
        <v>58487</v>
      </c>
      <c r="BG78" s="353">
        <v>4856</v>
      </c>
      <c r="BH78" s="353">
        <v>52165</v>
      </c>
      <c r="BI78" s="353">
        <v>52786</v>
      </c>
      <c r="BJ78" s="353">
        <v>34051</v>
      </c>
      <c r="BK78" s="353">
        <v>23584</v>
      </c>
      <c r="BL78" s="353">
        <v>1299</v>
      </c>
      <c r="BM78" s="353">
        <v>1159</v>
      </c>
      <c r="BN78" s="353">
        <v>15876</v>
      </c>
      <c r="BO78" s="353">
        <v>12125</v>
      </c>
      <c r="BP78" s="353">
        <v>12383</v>
      </c>
      <c r="BQ78" s="354">
        <v>12727</v>
      </c>
      <c r="BR78" s="173">
        <f>IVA!BF78+IVA!BG78+IVA!BH78</f>
        <v>115508</v>
      </c>
      <c r="BS78" s="173">
        <f>IVA!BI78+IVA!BJ78+IVA!BK78</f>
        <v>110421</v>
      </c>
      <c r="BT78" s="173">
        <f>IVA!BL78+IVA!BM78+IVA!BN78</f>
        <v>18334</v>
      </c>
      <c r="BU78" s="174">
        <f>IVA!BO78+IVA!BP78+IVA!BQ78</f>
        <v>37235</v>
      </c>
      <c r="BV78" s="135">
        <f>IVA!BR78+IVA!BS78+IVA!BT78+IVA!BU78</f>
        <v>281498</v>
      </c>
      <c r="BW78" s="262"/>
      <c r="BX78" s="261"/>
      <c r="BY78" s="262"/>
      <c r="BZ78" s="262"/>
      <c r="CA78" s="301"/>
      <c r="CH78" s="13"/>
      <c r="CI78" s="233"/>
      <c r="CJ78" s="279"/>
      <c r="CK78" s="279"/>
      <c r="CL78" s="279"/>
      <c r="CM78" s="279"/>
      <c r="CN78" s="279"/>
      <c r="CO78" s="63"/>
      <c r="CP78" s="63"/>
      <c r="CQ78" s="13"/>
      <c r="DY78" s="220" t="s">
        <v>542</v>
      </c>
      <c r="DZ78" s="221"/>
      <c r="EA78" s="204"/>
      <c r="EB78" s="234">
        <v>60508991805</v>
      </c>
      <c r="EC78" s="234">
        <v>10710324246</v>
      </c>
      <c r="ED78" s="234">
        <v>71219316051</v>
      </c>
      <c r="EE78" s="234">
        <v>67223739985.160004</v>
      </c>
      <c r="EF78" s="234">
        <v>67205782104.720001</v>
      </c>
      <c r="EG78" s="235">
        <v>67035715714.709999</v>
      </c>
      <c r="EH78" s="236">
        <f>IVA!EF78-IVA!EG78</f>
        <v>170066390.01000214</v>
      </c>
      <c r="EJ78" s="31">
        <v>2026</v>
      </c>
      <c r="EK78" s="32">
        <v>8453.8610000000008</v>
      </c>
      <c r="EL78" s="33">
        <v>7381.116</v>
      </c>
      <c r="EN78" s="120" t="s">
        <v>164</v>
      </c>
    </row>
    <row r="79" spans="27:156" ht="12.75" customHeight="1">
      <c r="AA79" s="302">
        <v>1998</v>
      </c>
      <c r="AB79" s="302" t="s">
        <v>539</v>
      </c>
      <c r="AC79" s="311"/>
      <c r="AD79" s="312"/>
      <c r="AE79" s="305">
        <f>IVA!AE62*0.2+120000</f>
        <v>240849.93333333335</v>
      </c>
      <c r="AF79" s="305">
        <f>IVA!AF62*0.2+120000</f>
        <v>248178.53333333333</v>
      </c>
      <c r="AG79" s="305">
        <f>IVA!AG62*0.2+120000</f>
        <v>227168.93333333335</v>
      </c>
      <c r="AH79" s="305">
        <f>IVA!AH62*0.2+120000</f>
        <v>261946.53333333333</v>
      </c>
      <c r="AI79" s="305">
        <f>IVA!AI62*0.2+120000</f>
        <v>388016.33333333337</v>
      </c>
      <c r="AJ79" s="305">
        <f>IVA!AJ62*0.2+120000</f>
        <v>312790.73333333334</v>
      </c>
      <c r="AK79" s="305">
        <f>IVA!AK62*0.2+120000</f>
        <v>251431.33333333334</v>
      </c>
      <c r="AL79" s="305">
        <f>IVA!AL62*0.2+120000</f>
        <v>267616.73333333334</v>
      </c>
      <c r="AM79" s="305">
        <f>IVA!AM62*0.2+120000</f>
        <v>225821.93333333335</v>
      </c>
      <c r="AN79" s="305">
        <f>IVA!AN62*0.2+120000</f>
        <v>245404.33333333331</v>
      </c>
      <c r="AO79" s="305">
        <f>IVA!AO62*0.2+120000</f>
        <v>250329.53333333333</v>
      </c>
      <c r="AP79" s="305">
        <f>IVA!AP62*0.2+120000</f>
        <v>300422.33333333337</v>
      </c>
      <c r="AQ79" s="126">
        <f>IVA!AE79+IVA!AF79+IVA!AG79</f>
        <v>716197.4</v>
      </c>
      <c r="AR79" s="126">
        <f>IVA!AH79+IVA!AI79+IVA!AJ79</f>
        <v>962753.60000000009</v>
      </c>
      <c r="AS79" s="126">
        <f>IVA!AK79+IVA!AL79+IVA!AM79</f>
        <v>744870</v>
      </c>
      <c r="AT79" s="126">
        <f>IVA!AN79+IVA!AO79+IVA!AP79</f>
        <v>796156.2</v>
      </c>
      <c r="AU79" s="127">
        <f>IVA!AQ79+IVA!AR79+IVA!AS79+IVA!AT79</f>
        <v>3219977.2</v>
      </c>
      <c r="AV79" s="128">
        <f>IVA!AQ79/IVA!CJ7</f>
        <v>2.5328450580696269E-3</v>
      </c>
      <c r="AW79" s="128">
        <f>IVA!AR79/IVA!CK7</f>
        <v>3.0844723095952826E-3</v>
      </c>
      <c r="AX79" s="128">
        <f>IVA!AS79/IVA!CL7</f>
        <v>2.4384010637103679E-3</v>
      </c>
      <c r="AY79" s="128">
        <f>IVA!AT79/IVA!CM7</f>
        <v>2.6949490757184197E-3</v>
      </c>
      <c r="AZ79" s="269">
        <f>IVA!AU79/IVA!CN7</f>
        <v>1.0771014818655123E-2</v>
      </c>
      <c r="BA79" s="270">
        <v>1997</v>
      </c>
      <c r="BB79" s="351" t="s">
        <v>541</v>
      </c>
      <c r="BC79" s="352"/>
      <c r="BD79" s="352"/>
      <c r="BE79" s="352"/>
      <c r="BF79" s="353">
        <v>23780</v>
      </c>
      <c r="BG79" s="353">
        <v>19569</v>
      </c>
      <c r="BH79" s="353">
        <v>18950</v>
      </c>
      <c r="BI79" s="353">
        <v>22080</v>
      </c>
      <c r="BJ79" s="353">
        <v>21080</v>
      </c>
      <c r="BK79" s="353">
        <v>19921</v>
      </c>
      <c r="BL79" s="353">
        <v>20442</v>
      </c>
      <c r="BM79" s="353">
        <v>15175</v>
      </c>
      <c r="BN79" s="353">
        <v>19066</v>
      </c>
      <c r="BO79" s="353">
        <v>16436</v>
      </c>
      <c r="BP79" s="353">
        <v>16608</v>
      </c>
      <c r="BQ79" s="354">
        <v>15716</v>
      </c>
      <c r="BR79" s="173">
        <f>IVA!BF79+IVA!BG79+IVA!BH79</f>
        <v>62299</v>
      </c>
      <c r="BS79" s="173">
        <f>IVA!BI79+IVA!BJ79+IVA!BK79</f>
        <v>63081</v>
      </c>
      <c r="BT79" s="173">
        <f>IVA!BL79+IVA!BM79+IVA!BN79</f>
        <v>54683</v>
      </c>
      <c r="BU79" s="174">
        <f>IVA!BO79+IVA!BP79+IVA!BQ79</f>
        <v>48760</v>
      </c>
      <c r="BV79" s="135">
        <f>IVA!BR79+IVA!BS79+IVA!BT79+IVA!BU79</f>
        <v>228823</v>
      </c>
      <c r="BW79" s="136">
        <f>IVA!BR79/IVA!CJ6</f>
        <v>2.2966526579665266E-4</v>
      </c>
      <c r="BX79" s="137">
        <f>IVA!BS79/IVA!CK6</f>
        <v>2.1035937554830648E-4</v>
      </c>
      <c r="BY79" s="136">
        <f>IVA!BT79/IVA!CL6</f>
        <v>1.8333697066963894E-4</v>
      </c>
      <c r="BZ79" s="136">
        <f>IVA!BU79/IVA!CM6</f>
        <v>1.6143689552019355E-4</v>
      </c>
      <c r="CA79" s="271">
        <f>IVA!BV79/IVA!CN6</f>
        <v>7.8134220169981102E-4</v>
      </c>
      <c r="CH79" s="13"/>
      <c r="CI79" s="53">
        <v>1997</v>
      </c>
      <c r="CJ79" s="280">
        <f>IVA!CJ55+IVA!CJ31</f>
        <v>2.2842519089018583E-2</v>
      </c>
      <c r="CK79" s="280">
        <f>IVA!CK55+IVA!CK31</f>
        <v>1.9978003283999693E-2</v>
      </c>
      <c r="CL79" s="280">
        <f>IVA!CL55+IVA!CL31</f>
        <v>2.1586417465336207E-2</v>
      </c>
      <c r="CM79" s="281">
        <f>IVA!CM55+IVA!CM31</f>
        <v>2.0901064795933625E-2</v>
      </c>
      <c r="CN79" s="282">
        <f>IVA!CN55+IVA!CN31</f>
        <v>8.5155331384211094E-2</v>
      </c>
      <c r="CO79" s="63"/>
      <c r="CP79" s="63"/>
      <c r="CQ79" s="13"/>
      <c r="DY79" s="175" t="s">
        <v>163</v>
      </c>
      <c r="DZ79" s="45"/>
      <c r="EA79" s="208">
        <v>2009</v>
      </c>
      <c r="EB79" s="225">
        <v>89560647452</v>
      </c>
      <c r="EC79" s="225">
        <v>8215994381</v>
      </c>
      <c r="ED79" s="225">
        <v>97776641833</v>
      </c>
      <c r="EE79" s="225">
        <v>91778417770.279999</v>
      </c>
      <c r="EF79" s="225">
        <v>91592373043.970001</v>
      </c>
      <c r="EG79" s="226">
        <v>90656263398.279999</v>
      </c>
      <c r="EH79" s="227">
        <f>IVA!EF79-IVA!EG79</f>
        <v>936109645.69000244</v>
      </c>
      <c r="EJ79" s="31">
        <v>2027</v>
      </c>
      <c r="EK79" s="32">
        <v>8618.4150000000009</v>
      </c>
      <c r="EL79" s="33">
        <v>7538.8310000000001</v>
      </c>
      <c r="EN79" s="120" t="s">
        <v>173</v>
      </c>
    </row>
    <row r="80" spans="27:156" ht="12.75" customHeight="1">
      <c r="AA80" s="302">
        <v>1999</v>
      </c>
      <c r="AB80" s="302" t="s">
        <v>539</v>
      </c>
      <c r="AC80" s="311"/>
      <c r="AD80" s="312"/>
      <c r="AE80" s="305">
        <f>IVA!AE63*0.2+120000</f>
        <v>254552.73333333334</v>
      </c>
      <c r="AF80" s="305">
        <f>IVA!AF63*0.2+120000</f>
        <v>240423.13333333333</v>
      </c>
      <c r="AG80" s="305">
        <f>IVA!AG63*0.2+120000</f>
        <v>240483.13333333333</v>
      </c>
      <c r="AH80" s="305">
        <f>IVA!AH63*0.2+120000</f>
        <v>246711.33333333331</v>
      </c>
      <c r="AI80" s="305">
        <f>IVA!AI63*0.2+120000</f>
        <v>338023.53333333333</v>
      </c>
      <c r="AJ80" s="305">
        <f>IVA!AJ63*0.2+120000</f>
        <v>270604.33333333337</v>
      </c>
      <c r="AK80" s="305">
        <f>IVA!AK63*0.2+120000</f>
        <v>261104.53333333333</v>
      </c>
      <c r="AL80" s="305">
        <f>IVA!AL63*0.2+120000</f>
        <v>269373.53333333333</v>
      </c>
      <c r="AM80" s="305">
        <f>IVA!AM63*0.2+120000</f>
        <v>250556.93333333335</v>
      </c>
      <c r="AN80" s="305">
        <f>IVA!AN63*0.2+120000</f>
        <v>263287.93333333335</v>
      </c>
      <c r="AO80" s="305">
        <f>IVA!AO63*0.2+120000</f>
        <v>279520.53333333333</v>
      </c>
      <c r="AP80" s="305">
        <f>IVA!AP63*0.2+120000</f>
        <v>257351.73333333334</v>
      </c>
      <c r="AQ80" s="126">
        <f>IVA!AE80+IVA!AF80+IVA!AG80</f>
        <v>735459</v>
      </c>
      <c r="AR80" s="126">
        <f>IVA!AH80+IVA!AI80+IVA!AJ80</f>
        <v>855339.20000000007</v>
      </c>
      <c r="AS80" s="126">
        <f>IVA!AK80+IVA!AL80+IVA!AM80</f>
        <v>781035</v>
      </c>
      <c r="AT80" s="126">
        <f>IVA!AN80+IVA!AO80+IVA!AP80</f>
        <v>800160.2</v>
      </c>
      <c r="AU80" s="127">
        <f>IVA!AQ80+IVA!AR80+IVA!AS80+IVA!AT80</f>
        <v>3171993.4000000004</v>
      </c>
      <c r="AV80" s="128">
        <f>IVA!AQ80/IVA!CJ8</f>
        <v>2.716416863037681E-3</v>
      </c>
      <c r="AW80" s="128">
        <f>IVA!AR80/IVA!CK8</f>
        <v>2.9613946841738239E-3</v>
      </c>
      <c r="AX80" s="128">
        <f>IVA!AS80/IVA!CL8</f>
        <v>2.7396371682936469E-3</v>
      </c>
      <c r="AY80" s="128">
        <f>IVA!AT80/IVA!CM8</f>
        <v>2.7646181716878314E-3</v>
      </c>
      <c r="AZ80" s="269">
        <f>IVA!AU80/IVA!CN8</f>
        <v>1.1187780644637187E-2</v>
      </c>
      <c r="BA80" s="264">
        <v>1998</v>
      </c>
      <c r="BB80" s="351" t="s">
        <v>541</v>
      </c>
      <c r="BC80" s="352"/>
      <c r="BD80" s="352"/>
      <c r="BE80" s="352"/>
      <c r="BF80" s="353">
        <v>16425</v>
      </c>
      <c r="BG80" s="353">
        <v>10297</v>
      </c>
      <c r="BH80" s="353">
        <v>16841</v>
      </c>
      <c r="BI80" s="353">
        <v>14872</v>
      </c>
      <c r="BJ80" s="353">
        <v>14450</v>
      </c>
      <c r="BK80" s="353">
        <v>16321</v>
      </c>
      <c r="BL80" s="353">
        <v>15914</v>
      </c>
      <c r="BM80" s="353">
        <v>16013</v>
      </c>
      <c r="BN80" s="353">
        <v>14260</v>
      </c>
      <c r="BO80" s="353">
        <v>12559</v>
      </c>
      <c r="BP80" s="353">
        <v>12774</v>
      </c>
      <c r="BQ80" s="354">
        <v>13680</v>
      </c>
      <c r="BR80" s="173">
        <f>IVA!BF80+IVA!BG80+IVA!BH80</f>
        <v>43563</v>
      </c>
      <c r="BS80" s="173">
        <f>IVA!BI80+IVA!BJ80+IVA!BK80</f>
        <v>45643</v>
      </c>
      <c r="BT80" s="173">
        <f>IVA!BL80+IVA!BM80+IVA!BN80</f>
        <v>46187</v>
      </c>
      <c r="BU80" s="174">
        <f>IVA!BO80+IVA!BP80+IVA!BQ80</f>
        <v>39013</v>
      </c>
      <c r="BV80" s="135">
        <f>IVA!BR80+IVA!BS80+IVA!BT80+IVA!BU80</f>
        <v>174406</v>
      </c>
      <c r="BW80" s="136">
        <f>IVA!BR80/IVA!CJ7</f>
        <v>1.540613373696793E-4</v>
      </c>
      <c r="BX80" s="137">
        <f>IVA!BS80/IVA!CK7</f>
        <v>1.4623115366886965E-4</v>
      </c>
      <c r="BY80" s="136">
        <f>IVA!BT80/IVA!CL7</f>
        <v>1.5119743032957533E-4</v>
      </c>
      <c r="BZ80" s="136">
        <f>IVA!BU80/IVA!CM7</f>
        <v>1.3205706153014032E-4</v>
      </c>
      <c r="CA80" s="271">
        <f>IVA!BV80/IVA!CN7</f>
        <v>5.8339841985911129E-4</v>
      </c>
      <c r="CH80" s="13"/>
      <c r="CI80" s="53">
        <v>1998</v>
      </c>
      <c r="CJ80" s="284">
        <f>IVA!CJ56+IVA!CJ32</f>
        <v>2.24527925040999E-2</v>
      </c>
      <c r="CK80" s="284">
        <f>IVA!CK56+IVA!CK32</f>
        <v>2.0524584511043741E-2</v>
      </c>
      <c r="CL80" s="284">
        <f>IVA!CL56+IVA!CL32</f>
        <v>2.1786237180047546E-2</v>
      </c>
      <c r="CM80" s="285">
        <f>IVA!CM56+IVA!CM32</f>
        <v>2.1203317236753384E-2</v>
      </c>
      <c r="CN80" s="286">
        <f>IVA!CN56+IVA!CN32</f>
        <v>8.5882071575203903E-2</v>
      </c>
      <c r="CO80" s="63"/>
      <c r="CP80" s="63"/>
      <c r="CQ80" s="13"/>
      <c r="DY80" s="213" t="s">
        <v>543</v>
      </c>
      <c r="EA80" s="177"/>
      <c r="EB80" s="228">
        <v>2694586389</v>
      </c>
      <c r="EC80" s="228">
        <v>307957163</v>
      </c>
      <c r="ED80" s="228">
        <v>3002543552</v>
      </c>
      <c r="EE80" s="228">
        <v>2872748327.9400001</v>
      </c>
      <c r="EF80" s="228">
        <v>2871726010.04</v>
      </c>
      <c r="EG80" s="229">
        <v>2818642677.5</v>
      </c>
      <c r="EH80" s="230">
        <f>IVA!EF80-IVA!EG80</f>
        <v>53083332.539999962</v>
      </c>
      <c r="EJ80" s="31">
        <v>2028</v>
      </c>
      <c r="EK80" s="32">
        <v>8783.2389999999996</v>
      </c>
      <c r="EL80" s="33">
        <v>7694.95</v>
      </c>
      <c r="EN80" s="102" t="s">
        <v>196</v>
      </c>
    </row>
    <row r="81" spans="27:144" ht="12.75" customHeight="1">
      <c r="AA81" s="302">
        <v>2000</v>
      </c>
      <c r="AB81" s="302" t="s">
        <v>539</v>
      </c>
      <c r="AC81" s="311"/>
      <c r="AD81" s="312"/>
      <c r="AE81" s="305">
        <f>IVA!AE64*0.2+120000</f>
        <v>258249.98739333331</v>
      </c>
      <c r="AF81" s="305">
        <f>IVA!AF64*0.2+120000</f>
        <v>251683.22521333335</v>
      </c>
      <c r="AG81" s="305">
        <f>IVA!AG64*0.2+120000</f>
        <v>249447.06528933335</v>
      </c>
      <c r="AH81" s="305">
        <f>IVA!AH64*0.2+120000</f>
        <v>265135.17564933334</v>
      </c>
      <c r="AI81" s="305">
        <f>IVA!AI64*0.2+120000</f>
        <v>348174.49607333337</v>
      </c>
      <c r="AJ81" s="305">
        <f>IVA!AJ64*0.2+120000</f>
        <v>382645.77783733339</v>
      </c>
      <c r="AK81" s="305">
        <f>IVA!AK64*0.2+120000</f>
        <v>270792.29341333336</v>
      </c>
      <c r="AL81" s="305">
        <f>IVA!AL64*0.2+120000</f>
        <v>290404.66921333334</v>
      </c>
      <c r="AM81" s="305">
        <f>IVA!AM64*0.2+120000</f>
        <v>256727.65693333335</v>
      </c>
      <c r="AN81" s="305">
        <f>IVA!AN64*0.2+120000</f>
        <v>282434.31255333335</v>
      </c>
      <c r="AO81" s="305">
        <f>IVA!AO64*0.2+120000</f>
        <v>273850.58174533333</v>
      </c>
      <c r="AP81" s="305">
        <f>IVA!AP64*0.2+120000</f>
        <v>285483.69958533335</v>
      </c>
      <c r="AQ81" s="126">
        <f>IVA!AE81+IVA!AF81+IVA!AG81</f>
        <v>759380.27789600007</v>
      </c>
      <c r="AR81" s="126">
        <f>IVA!AH81+IVA!AI81+IVA!AJ81</f>
        <v>995955.4495600001</v>
      </c>
      <c r="AS81" s="126">
        <f>IVA!AK81+IVA!AL81+IVA!AM81</f>
        <v>817924.61956000014</v>
      </c>
      <c r="AT81" s="126">
        <f>IVA!AN81+IVA!AO81+IVA!AP81</f>
        <v>841768.59388399997</v>
      </c>
      <c r="AU81" s="127">
        <f>IVA!AQ81+IVA!AR81+IVA!AS81+IVA!AT81</f>
        <v>3415028.9409000003</v>
      </c>
      <c r="AV81" s="128">
        <f>IVA!AQ81/IVA!CJ9</f>
        <v>2.8079021087397023E-3</v>
      </c>
      <c r="AW81" s="128">
        <f>IVA!AR81/IVA!CK9</f>
        <v>3.4131908401151614E-3</v>
      </c>
      <c r="AX81" s="128">
        <f>IVA!AS81/IVA!CL9</f>
        <v>2.8449983197997505E-3</v>
      </c>
      <c r="AY81" s="128">
        <f>IVA!AT81/IVA!CM9</f>
        <v>2.9321843731320496E-3</v>
      </c>
      <c r="AZ81" s="269">
        <f>IVA!AU81/IVA!CN9</f>
        <v>1.2016129517280776E-2</v>
      </c>
      <c r="BA81" s="264">
        <v>1999</v>
      </c>
      <c r="BB81" s="351" t="s">
        <v>541</v>
      </c>
      <c r="BC81" s="352"/>
      <c r="BD81" s="352"/>
      <c r="BE81" s="352"/>
      <c r="BF81" s="353">
        <v>15128</v>
      </c>
      <c r="BG81" s="353">
        <v>9897</v>
      </c>
      <c r="BH81" s="353">
        <v>11520</v>
      </c>
      <c r="BI81" s="353">
        <v>12684</v>
      </c>
      <c r="BJ81" s="353">
        <v>10940</v>
      </c>
      <c r="BK81" s="353">
        <v>10707</v>
      </c>
      <c r="BL81" s="353">
        <v>12579</v>
      </c>
      <c r="BM81" s="353">
        <v>11494</v>
      </c>
      <c r="BN81" s="353">
        <v>11806</v>
      </c>
      <c r="BO81" s="353">
        <v>12080</v>
      </c>
      <c r="BP81" s="353">
        <v>13577</v>
      </c>
      <c r="BQ81" s="354">
        <v>14700</v>
      </c>
      <c r="BR81" s="173">
        <f>IVA!BF81+IVA!BG81+IVA!BH81</f>
        <v>36545</v>
      </c>
      <c r="BS81" s="173">
        <f>IVA!BI81+IVA!BJ81+IVA!BK81</f>
        <v>34331</v>
      </c>
      <c r="BT81" s="173">
        <f>IVA!BL81+IVA!BM81+IVA!BN81</f>
        <v>35879</v>
      </c>
      <c r="BU81" s="174">
        <f>IVA!BO81+IVA!BP81+IVA!BQ81</f>
        <v>40357</v>
      </c>
      <c r="BV81" s="135">
        <f>IVA!BR81+IVA!BS81+IVA!BT81+IVA!BU81</f>
        <v>147112</v>
      </c>
      <c r="BW81" s="136">
        <f>IVA!BR81/IVA!CJ8</f>
        <v>1.3497891012240255E-4</v>
      </c>
      <c r="BX81" s="137">
        <f>IVA!BS81/IVA!CK8</f>
        <v>1.1886236583377862E-4</v>
      </c>
      <c r="BY81" s="136">
        <f>IVA!BT81/IVA!CL8</f>
        <v>1.258528004010163E-4</v>
      </c>
      <c r="BZ81" s="136">
        <f>IVA!BU81/IVA!CM8</f>
        <v>1.3943669724488398E-4</v>
      </c>
      <c r="CA81" s="271">
        <f>IVA!BV81/IVA!CN8</f>
        <v>5.1887144096638587E-4</v>
      </c>
      <c r="CH81" s="13"/>
      <c r="CI81" s="53">
        <v>1999</v>
      </c>
      <c r="CJ81" s="284">
        <f>IVA!CJ57+IVA!CJ33</f>
        <v>2.3798566645505708E-2</v>
      </c>
      <c r="CK81" s="284">
        <f>IVA!CK57+IVA!CK33</f>
        <v>2.0409538385829238E-2</v>
      </c>
      <c r="CL81" s="284">
        <f>IVA!CL57+IVA!CL33</f>
        <v>2.1787528143990539E-2</v>
      </c>
      <c r="CM81" s="285">
        <f>IVA!CM57+IVA!CM33</f>
        <v>1.9812741322248185E-2</v>
      </c>
      <c r="CN81" s="286">
        <f>IVA!CN57+IVA!CN33</f>
        <v>8.5650789264009569E-2</v>
      </c>
      <c r="CO81" s="63"/>
      <c r="CP81" s="63"/>
      <c r="CQ81" s="13"/>
      <c r="DY81" s="213" t="s">
        <v>544</v>
      </c>
      <c r="EA81" s="193"/>
      <c r="EB81" s="228">
        <v>66339000</v>
      </c>
      <c r="EC81" s="228">
        <v>2659777</v>
      </c>
      <c r="ED81" s="228">
        <v>68998777</v>
      </c>
      <c r="EE81" s="228">
        <v>40194815.549999997</v>
      </c>
      <c r="EF81" s="228">
        <v>40165945.549999997</v>
      </c>
      <c r="EG81" s="229">
        <v>34187845.990000002</v>
      </c>
      <c r="EH81" s="230">
        <f>IVA!EF81-IVA!EG81</f>
        <v>5978099.5599999949</v>
      </c>
      <c r="EJ81" s="31">
        <v>2029</v>
      </c>
      <c r="EK81" s="32">
        <v>8949.1</v>
      </c>
      <c r="EL81" s="33">
        <v>7848.4070000000002</v>
      </c>
      <c r="EN81" s="120" t="s">
        <v>192</v>
      </c>
    </row>
    <row r="82" spans="27:144" ht="12.75" customHeight="1">
      <c r="AA82" s="302">
        <v>2001</v>
      </c>
      <c r="AB82" s="302" t="s">
        <v>539</v>
      </c>
      <c r="AC82" s="311"/>
      <c r="AD82" s="312"/>
      <c r="AE82" s="305">
        <f>IVA!AE65*0.2+120000</f>
        <v>271622.92373933335</v>
      </c>
      <c r="AF82" s="305">
        <f>IVA!AF65*0.2+120000</f>
        <v>262166.61298733333</v>
      </c>
      <c r="AG82" s="305">
        <f>IVA!AG65*0.2+120000</f>
        <v>257331.46113733333</v>
      </c>
      <c r="AH82" s="305">
        <f>IVA!AH65*0.2+120000</f>
        <v>233899.48929933333</v>
      </c>
      <c r="AI82" s="305">
        <f>IVA!AI65*0.2+120000</f>
        <v>420102.40210333338</v>
      </c>
      <c r="AJ82" s="305">
        <f>IVA!AJ65*0.2+120000</f>
        <v>373236.31221733335</v>
      </c>
      <c r="AK82" s="305">
        <f>IVA!AK65*0.2+120000</f>
        <v>259803.80466133333</v>
      </c>
      <c r="AL82" s="305">
        <f>IVA!AL65*0.2+120000</f>
        <v>267332.83812133333</v>
      </c>
      <c r="AM82" s="305">
        <f>IVA!AM65*0.2+120000</f>
        <v>248349.78366733334</v>
      </c>
      <c r="AN82" s="305">
        <f>IVA!AN65*0.2+120000</f>
        <v>255857.22149533333</v>
      </c>
      <c r="AO82" s="305">
        <f>IVA!AO65*0.2+120000</f>
        <v>254048.67998533332</v>
      </c>
      <c r="AP82" s="305">
        <f>IVA!AP65*0.2+120000</f>
        <v>238504.41384733334</v>
      </c>
      <c r="AQ82" s="126">
        <f>IVA!AE82+IVA!AF82+IVA!AG82</f>
        <v>791120.99786399992</v>
      </c>
      <c r="AR82" s="126">
        <f>IVA!AH82+IVA!AI82+IVA!AJ82</f>
        <v>1027238.20362</v>
      </c>
      <c r="AS82" s="126">
        <f>IVA!AK82+IVA!AL82+IVA!AM82</f>
        <v>775486.42645000003</v>
      </c>
      <c r="AT82" s="126">
        <f>IVA!AN82+IVA!AO82+IVA!AP82</f>
        <v>748410.315328</v>
      </c>
      <c r="AU82" s="127">
        <f>IVA!AQ82+IVA!AR82+IVA!AS82+IVA!AT82</f>
        <v>3342255.9432620001</v>
      </c>
      <c r="AV82" s="128">
        <f>IVA!AQ82/IVA!CJ10</f>
        <v>3.0042835741481253E-3</v>
      </c>
      <c r="AW82" s="128">
        <f>IVA!AR82/IVA!CK10</f>
        <v>3.5664764129442182E-3</v>
      </c>
      <c r="AX82" s="128">
        <f>IVA!AS82/IVA!CL10</f>
        <v>2.8577011112970088E-3</v>
      </c>
      <c r="AY82" s="128">
        <f>IVA!AT82/IVA!CM10</f>
        <v>2.9691405745593518E-3</v>
      </c>
      <c r="AZ82" s="269">
        <f>IVA!AU82/IVA!CN10</f>
        <v>1.243876770118239E-2</v>
      </c>
      <c r="BA82" s="264">
        <v>2000</v>
      </c>
      <c r="BB82" s="351" t="s">
        <v>541</v>
      </c>
      <c r="BC82" s="352"/>
      <c r="BD82" s="352"/>
      <c r="BE82" s="352"/>
      <c r="BF82" s="353">
        <v>15567.83505</v>
      </c>
      <c r="BG82" s="353">
        <v>27589.548050000001</v>
      </c>
      <c r="BH82" s="353">
        <v>32170.562040000001</v>
      </c>
      <c r="BI82" s="353">
        <v>29235.725999999999</v>
      </c>
      <c r="BJ82" s="353">
        <v>23850.172699999999</v>
      </c>
      <c r="BK82" s="353">
        <v>23720.28558</v>
      </c>
      <c r="BL82" s="353">
        <v>28862.461500000001</v>
      </c>
      <c r="BM82" s="353">
        <v>26999.7961</v>
      </c>
      <c r="BN82" s="353">
        <v>22716.082299999998</v>
      </c>
      <c r="BO82" s="353">
        <v>23737.314600000002</v>
      </c>
      <c r="BP82" s="353">
        <v>24973.2428</v>
      </c>
      <c r="BQ82" s="354">
        <v>29797.390490000002</v>
      </c>
      <c r="BR82" s="173">
        <f>IVA!BF82+IVA!BG82+IVA!BH82</f>
        <v>75327.945139999996</v>
      </c>
      <c r="BS82" s="173">
        <f>IVA!BI82+IVA!BJ82+IVA!BK82</f>
        <v>76806.184280000001</v>
      </c>
      <c r="BT82" s="173">
        <f>IVA!BL82+IVA!BM82+IVA!BN82</f>
        <v>78578.339899999992</v>
      </c>
      <c r="BU82" s="174">
        <f>IVA!BO82+IVA!BP82+IVA!BQ82</f>
        <v>78507.94789000001</v>
      </c>
      <c r="BV82" s="135">
        <f>IVA!BR82+IVA!BS82+IVA!BT82+IVA!BU82</f>
        <v>309220.41720999999</v>
      </c>
      <c r="BW82" s="136">
        <f>IVA!BR82/IVA!CJ9</f>
        <v>2.7853435513451954E-4</v>
      </c>
      <c r="BX82" s="137">
        <f>IVA!BS82/IVA!CK9</f>
        <v>2.6321876622544649E-4</v>
      </c>
      <c r="BY82" s="136">
        <f>IVA!BT82/IVA!CL9</f>
        <v>2.7332010755271616E-4</v>
      </c>
      <c r="BZ82" s="136">
        <f>IVA!BU82/IVA!CM9</f>
        <v>2.7347156884002972E-4</v>
      </c>
      <c r="CA82" s="271">
        <f>IVA!BV82/IVA!CN9</f>
        <v>1.0880237464704285E-3</v>
      </c>
      <c r="CH82" s="13"/>
      <c r="CI82" s="53">
        <v>2000</v>
      </c>
      <c r="CJ82" s="284">
        <f>IVA!CJ58+IVA!CJ34</f>
        <v>2.2574186936861213E-2</v>
      </c>
      <c r="CK82" s="284">
        <f>IVA!CK58+IVA!CK34</f>
        <v>2.1250505341935684E-2</v>
      </c>
      <c r="CL82" s="284">
        <f>IVA!CL58+IVA!CL34</f>
        <v>2.2366920736255663E-2</v>
      </c>
      <c r="CM82" s="285">
        <f>IVA!CM58+IVA!CM34</f>
        <v>2.0444018966008004E-2</v>
      </c>
      <c r="CN82" s="286">
        <f>IVA!CN58+IVA!CN34</f>
        <v>8.6576295728296976E-2</v>
      </c>
      <c r="CO82" s="63"/>
      <c r="CP82" s="63"/>
      <c r="CQ82" s="13"/>
      <c r="DY82" s="220" t="s">
        <v>545</v>
      </c>
      <c r="DZ82" s="221"/>
      <c r="EA82" s="204"/>
      <c r="EB82" s="234">
        <v>86799722063</v>
      </c>
      <c r="EC82" s="234">
        <v>7905377441</v>
      </c>
      <c r="ED82" s="234">
        <v>94705099504</v>
      </c>
      <c r="EE82" s="234">
        <v>88865474626.789993</v>
      </c>
      <c r="EF82" s="234">
        <v>88680481088.380005</v>
      </c>
      <c r="EG82" s="235">
        <v>87803432874.789993</v>
      </c>
      <c r="EH82" s="236">
        <f>IVA!EF82-IVA!EG82</f>
        <v>877048213.5900116</v>
      </c>
      <c r="EJ82" s="31">
        <v>2030</v>
      </c>
      <c r="EK82" s="32">
        <v>9117.1620000000003</v>
      </c>
      <c r="EL82" s="33">
        <v>7999.1930000000002</v>
      </c>
      <c r="EN82" s="120" t="s">
        <v>208</v>
      </c>
    </row>
    <row r="83" spans="27:144" ht="12.75" customHeight="1">
      <c r="AA83" s="302">
        <v>2002</v>
      </c>
      <c r="AB83" s="302" t="s">
        <v>539</v>
      </c>
      <c r="AC83" s="311"/>
      <c r="AD83" s="312"/>
      <c r="AE83" s="305">
        <f>IVA!AE66*0.2+120000</f>
        <v>234867.08082933334</v>
      </c>
      <c r="AF83" s="305">
        <f>IVA!AF66*0.2+120000</f>
        <v>204079.16741333334</v>
      </c>
      <c r="AG83" s="305">
        <f>IVA!AG66*0.2+120000</f>
        <v>206397.39328533335</v>
      </c>
      <c r="AH83" s="305">
        <f>IVA!AH66*0.2+120000</f>
        <v>196937.27505733335</v>
      </c>
      <c r="AI83" s="305">
        <f>IVA!AI66*0.2+120000</f>
        <v>288952.07948133338</v>
      </c>
      <c r="AJ83" s="305">
        <f>IVA!AJ66*0.2+120000</f>
        <v>276888.79766333336</v>
      </c>
      <c r="AK83" s="305">
        <f>IVA!AK66*0.2+120000</f>
        <v>263094.59562533337</v>
      </c>
      <c r="AL83" s="305">
        <f>IVA!AL66*0.2+120000</f>
        <v>279161.53619733336</v>
      </c>
      <c r="AM83" s="305">
        <f>IVA!AM66*0.2+120000</f>
        <v>246963.54972933332</v>
      </c>
      <c r="AN83" s="305">
        <f>IVA!AN66*0.2+120000</f>
        <v>280096.85248933337</v>
      </c>
      <c r="AO83" s="305">
        <f>IVA!AO66*0.2+120000</f>
        <v>332449.81212933338</v>
      </c>
      <c r="AP83" s="305">
        <f>IVA!AP66*0.2+120000</f>
        <v>297979.62832733337</v>
      </c>
      <c r="AQ83" s="126">
        <f>IVA!AE83+IVA!AF83+IVA!AG83</f>
        <v>645343.64152800012</v>
      </c>
      <c r="AR83" s="126">
        <f>IVA!AH83+IVA!AI83+IVA!AJ83</f>
        <v>762778.15220200014</v>
      </c>
      <c r="AS83" s="126">
        <f>IVA!AK83+IVA!AL83+IVA!AM83</f>
        <v>789219.68155200011</v>
      </c>
      <c r="AT83" s="126">
        <f>IVA!AN83+IVA!AO83+IVA!AP83</f>
        <v>910526.29294600012</v>
      </c>
      <c r="AU83" s="127">
        <f>IVA!AQ83+IVA!AR83+IVA!AS83+IVA!AT83</f>
        <v>3107867.7682280005</v>
      </c>
      <c r="AV83" s="128">
        <f>IVA!AQ83/IVA!CJ11</f>
        <v>2.7223142177957207E-3</v>
      </c>
      <c r="AW83" s="128">
        <f>IVA!AR83/IVA!CK11</f>
        <v>2.2500286082252283E-3</v>
      </c>
      <c r="AX83" s="128">
        <f>IVA!AS83/IVA!CL11</f>
        <v>2.3628890980443265E-3</v>
      </c>
      <c r="AY83" s="128">
        <f>IVA!AT83/IVA!CM11</f>
        <v>2.6760553621330402E-3</v>
      </c>
      <c r="AZ83" s="269">
        <f>IVA!AU83/IVA!CN11</f>
        <v>9.9426269687057263E-3</v>
      </c>
      <c r="BA83" s="264">
        <v>2001</v>
      </c>
      <c r="BB83" s="351" t="s">
        <v>541</v>
      </c>
      <c r="BC83" s="352"/>
      <c r="BD83" s="352"/>
      <c r="BE83" s="352"/>
      <c r="BF83" s="353">
        <v>36296.005109999998</v>
      </c>
      <c r="BG83" s="353">
        <v>24737.522349999999</v>
      </c>
      <c r="BH83" s="353">
        <v>28615.111629999999</v>
      </c>
      <c r="BI83" s="353">
        <v>28815.71313</v>
      </c>
      <c r="BJ83" s="353">
        <v>23280.407930000001</v>
      </c>
      <c r="BK83" s="353">
        <v>22249.281080000001</v>
      </c>
      <c r="BL83" s="353">
        <v>19922.824670000002</v>
      </c>
      <c r="BM83" s="353">
        <v>22444.75819</v>
      </c>
      <c r="BN83" s="353">
        <v>22884.639309999999</v>
      </c>
      <c r="BO83" s="353">
        <v>20255.10225</v>
      </c>
      <c r="BP83" s="353">
        <v>23390.862570000001</v>
      </c>
      <c r="BQ83" s="354">
        <v>12607.968070000001</v>
      </c>
      <c r="BR83" s="173">
        <f>IVA!BF83+IVA!BG83+IVA!BH83</f>
        <v>89648.639089999997</v>
      </c>
      <c r="BS83" s="173">
        <f>IVA!BI83+IVA!BJ83+IVA!BK83</f>
        <v>74345.402140000006</v>
      </c>
      <c r="BT83" s="173">
        <f>IVA!BL83+IVA!BM83+IVA!BN83</f>
        <v>65252.222170000001</v>
      </c>
      <c r="BU83" s="174">
        <f>IVA!BO83+IVA!BP83+IVA!BQ83</f>
        <v>56253.932890000004</v>
      </c>
      <c r="BV83" s="135">
        <f>IVA!BR83+IVA!BS83+IVA!BT83+IVA!BU83</f>
        <v>285500.19628999999</v>
      </c>
      <c r="BW83" s="136">
        <f>IVA!BR83/IVA!CJ10</f>
        <v>3.4044088652684262E-4</v>
      </c>
      <c r="BX83" s="137">
        <f>IVA!BS83/IVA!CK10</f>
        <v>2.5812038747076075E-4</v>
      </c>
      <c r="BY83" s="136">
        <f>IVA!BT83/IVA!CL10</f>
        <v>2.4045726843141744E-4</v>
      </c>
      <c r="BZ83" s="136">
        <f>IVA!BU83/IVA!CM10</f>
        <v>2.2317414819307603E-4</v>
      </c>
      <c r="CA83" s="271">
        <f>IVA!BV83/IVA!CN10</f>
        <v>1.0625370051185513E-3</v>
      </c>
      <c r="CH83" s="13"/>
      <c r="CI83" s="53">
        <v>2001</v>
      </c>
      <c r="CJ83" s="284">
        <f>IVA!CJ59+IVA!CJ35</f>
        <v>2.3144833049696962E-2</v>
      </c>
      <c r="CK83" s="284">
        <f>IVA!CK59+IVA!CK35</f>
        <v>2.037280873956385E-2</v>
      </c>
      <c r="CL83" s="284">
        <f>IVA!CL59+IVA!CL35</f>
        <v>2.1416986150859716E-2</v>
      </c>
      <c r="CM83" s="285">
        <f>IVA!CM59+IVA!CM35</f>
        <v>1.8541712020367983E-2</v>
      </c>
      <c r="CN83" s="286">
        <f>IVA!CN59+IVA!CN35</f>
        <v>8.3544748058330384E-2</v>
      </c>
      <c r="CO83" s="63"/>
      <c r="CP83" s="63"/>
      <c r="CQ83" s="13"/>
      <c r="DY83" s="175" t="s">
        <v>163</v>
      </c>
      <c r="DZ83" s="45"/>
      <c r="EA83" s="208">
        <v>2010</v>
      </c>
      <c r="EB83" s="225">
        <v>104660679764</v>
      </c>
      <c r="EC83" s="225">
        <v>18476683831</v>
      </c>
      <c r="ED83" s="225">
        <v>123137363595</v>
      </c>
      <c r="EE83" s="225">
        <v>119556978526.50999</v>
      </c>
      <c r="EF83" s="225">
        <v>119547636444.09</v>
      </c>
      <c r="EG83" s="226">
        <v>119181856166.33</v>
      </c>
      <c r="EH83" s="227">
        <f>IVA!EF83-IVA!EG83</f>
        <v>365780277.75999451</v>
      </c>
      <c r="EJ83" s="31">
        <v>2031</v>
      </c>
      <c r="EK83" s="32">
        <v>9306.2559999999994</v>
      </c>
      <c r="EL83" s="33">
        <v>8168.6480000000001</v>
      </c>
      <c r="EN83" s="120" t="s">
        <v>224</v>
      </c>
    </row>
    <row r="84" spans="27:144" ht="12.75" customHeight="1">
      <c r="AA84" s="302">
        <v>2003</v>
      </c>
      <c r="AB84" s="302" t="s">
        <v>539</v>
      </c>
      <c r="AC84" s="311"/>
      <c r="AD84" s="312"/>
      <c r="AE84" s="305">
        <f>IVA!AE67*0.2+120000</f>
        <v>329365.68063133338</v>
      </c>
      <c r="AF84" s="305">
        <f>IVA!AF67*0.2+120000</f>
        <v>271005.52301933337</v>
      </c>
      <c r="AG84" s="305">
        <f>IVA!AG67*0.2+120000</f>
        <v>266989.65800733335</v>
      </c>
      <c r="AH84" s="305">
        <f>IVA!AH67*0.2+120000</f>
        <v>302633.05541933334</v>
      </c>
      <c r="AI84" s="305">
        <f>IVA!AI67*0.2+120000</f>
        <v>543128.98977133329</v>
      </c>
      <c r="AJ84" s="305">
        <f>IVA!AJ67*0.2+120000</f>
        <v>439811.73514733335</v>
      </c>
      <c r="AK84" s="305">
        <f>IVA!AK67*0.2+120000</f>
        <v>347116.46164733334</v>
      </c>
      <c r="AL84" s="305">
        <f>IVA!AL67*0.2+120000</f>
        <v>372392.00291333336</v>
      </c>
      <c r="AM84" s="305">
        <f>IVA!AM67*0.2+120000</f>
        <v>314062.83430333331</v>
      </c>
      <c r="AN84" s="305">
        <f>IVA!AN67*0.2+120000</f>
        <v>329172.3117213333</v>
      </c>
      <c r="AO84" s="305">
        <f>IVA!AO67*0.2+120000</f>
        <v>385849.01014133333</v>
      </c>
      <c r="AP84" s="305">
        <f>IVA!AP67*0.2+120000</f>
        <v>372620.06140733336</v>
      </c>
      <c r="AQ84" s="126">
        <f>IVA!AE84+IVA!AF84+IVA!AG84</f>
        <v>867360.86165800015</v>
      </c>
      <c r="AR84" s="126">
        <f>IVA!AH84+IVA!AI84+IVA!AJ84</f>
        <v>1285573.780338</v>
      </c>
      <c r="AS84" s="126">
        <f>IVA!AK84+IVA!AL84+IVA!AM84</f>
        <v>1033571.298864</v>
      </c>
      <c r="AT84" s="126">
        <f>IVA!AN84+IVA!AO84+IVA!AP84</f>
        <v>1087641.3832700001</v>
      </c>
      <c r="AU84" s="127">
        <f>IVA!AQ84+IVA!AR84+IVA!AS84+IVA!AT84</f>
        <v>4274147.3241300005</v>
      </c>
      <c r="AV84" s="128">
        <f>IVA!AQ84/IVA!CJ12</f>
        <v>2.6495465620872309E-3</v>
      </c>
      <c r="AW84" s="128">
        <f>IVA!AR84/IVA!CK12</f>
        <v>3.2210300847424793E-3</v>
      </c>
      <c r="AX84" s="128">
        <f>IVA!AS84/IVA!CL12</f>
        <v>2.7351314935392173E-3</v>
      </c>
      <c r="AY84" s="128">
        <f>IVA!AT84/IVA!CM12</f>
        <v>2.7240776306169546E-3</v>
      </c>
      <c r="AZ84" s="269">
        <f>IVA!AU84/IVA!CN12</f>
        <v>1.137015398672139E-2</v>
      </c>
      <c r="BA84" s="264">
        <v>2002</v>
      </c>
      <c r="BB84" s="351" t="s">
        <v>541</v>
      </c>
      <c r="BC84" s="352"/>
      <c r="BD84" s="352"/>
      <c r="BE84" s="352"/>
      <c r="BF84" s="353">
        <v>25510.000960000001</v>
      </c>
      <c r="BG84" s="353">
        <v>21536.127359999999</v>
      </c>
      <c r="BH84" s="353">
        <v>19589.342670000002</v>
      </c>
      <c r="BI84" s="353">
        <v>17750.495599999998</v>
      </c>
      <c r="BJ84" s="353">
        <v>27561.917669999999</v>
      </c>
      <c r="BK84" s="353">
        <v>20774.587820000001</v>
      </c>
      <c r="BL84" s="353">
        <v>19604.779330000001</v>
      </c>
      <c r="BM84" s="353">
        <v>24290.0798</v>
      </c>
      <c r="BN84" s="353">
        <v>24460.847570000002</v>
      </c>
      <c r="BO84" s="353">
        <v>25470.356950000001</v>
      </c>
      <c r="BP84" s="353">
        <v>27949.010259999999</v>
      </c>
      <c r="BQ84" s="354">
        <v>34386.149539999999</v>
      </c>
      <c r="BR84" s="173">
        <f>IVA!BF84+IVA!BG84+IVA!BH84</f>
        <v>66635.470990000002</v>
      </c>
      <c r="BS84" s="173">
        <f>IVA!BI84+IVA!BJ84+IVA!BK84</f>
        <v>66087.001090000005</v>
      </c>
      <c r="BT84" s="173">
        <f>IVA!BL84+IVA!BM84+IVA!BN84</f>
        <v>68355.706699999995</v>
      </c>
      <c r="BU84" s="174">
        <f>IVA!BO84+IVA!BP84+IVA!BQ84</f>
        <v>87805.516749999995</v>
      </c>
      <c r="BV84" s="135">
        <f>IVA!BR84+IVA!BS84+IVA!BT84+IVA!BU84</f>
        <v>288883.69553000003</v>
      </c>
      <c r="BW84" s="136">
        <f>IVA!BR84/IVA!CJ11</f>
        <v>2.8109471979312996E-4</v>
      </c>
      <c r="BX84" s="137">
        <f>IVA!BS84/IVA!CK11</f>
        <v>1.9494218948858081E-4</v>
      </c>
      <c r="BY84" s="136">
        <f>IVA!BT84/IVA!CL11</f>
        <v>2.0465398662248578E-4</v>
      </c>
      <c r="BZ84" s="136">
        <f>IVA!BU84/IVA!CM11</f>
        <v>2.5806220615930668E-4</v>
      </c>
      <c r="CA84" s="271">
        <f>IVA!BV84/IVA!CN11</f>
        <v>9.2419080739513499E-4</v>
      </c>
      <c r="CH84" s="13"/>
      <c r="CI84" s="53">
        <v>2002</v>
      </c>
      <c r="CJ84" s="284">
        <f>IVA!CJ60+IVA!CJ36</f>
        <v>1.8864025867356166E-2</v>
      </c>
      <c r="CK84" s="284">
        <f>IVA!CK60+IVA!CK36</f>
        <v>1.4267689975470043E-2</v>
      </c>
      <c r="CL84" s="284">
        <f>IVA!CL60+IVA!CL36</f>
        <v>1.6453369857281831E-2</v>
      </c>
      <c r="CM84" s="285">
        <f>IVA!CM60+IVA!CM36</f>
        <v>1.6132305289883467E-2</v>
      </c>
      <c r="CN84" s="286">
        <f>IVA!CN60+IVA!CN36</f>
        <v>6.4921746685015463E-2</v>
      </c>
      <c r="CO84" s="63"/>
      <c r="CP84" s="63"/>
      <c r="CQ84" s="13"/>
      <c r="DY84" s="213" t="s">
        <v>546</v>
      </c>
      <c r="EA84" s="177"/>
      <c r="EB84" s="228">
        <v>2796969764</v>
      </c>
      <c r="EC84" s="228">
        <v>-42201026</v>
      </c>
      <c r="ED84" s="228">
        <v>2754768738</v>
      </c>
      <c r="EE84" s="228">
        <v>2264624636.46</v>
      </c>
      <c r="EF84" s="228">
        <v>2263079419.7199998</v>
      </c>
      <c r="EG84" s="229">
        <v>2227864793.4200001</v>
      </c>
      <c r="EH84" s="230">
        <f>IVA!EF84-IVA!EG84</f>
        <v>35214626.299999714</v>
      </c>
      <c r="EJ84" s="31">
        <v>2032</v>
      </c>
      <c r="EK84" s="32">
        <v>9497.1650000000009</v>
      </c>
      <c r="EL84" s="33">
        <v>8336.3379999999997</v>
      </c>
      <c r="EN84" s="120" t="s">
        <v>240</v>
      </c>
    </row>
    <row r="85" spans="27:144" ht="12.75" customHeight="1">
      <c r="AA85" s="302">
        <v>2004</v>
      </c>
      <c r="AB85" s="302" t="s">
        <v>539</v>
      </c>
      <c r="AC85" s="311"/>
      <c r="AD85" s="312"/>
      <c r="AE85" s="305">
        <f>IVA!AE68*0.2+120000</f>
        <v>366579.18192933337</v>
      </c>
      <c r="AF85" s="305">
        <f>IVA!AF68*0.2+120000</f>
        <v>322083.84384933335</v>
      </c>
      <c r="AG85" s="305">
        <f>IVA!AG68*0.2+120000</f>
        <v>318181.93041133333</v>
      </c>
      <c r="AH85" s="305">
        <f>IVA!AH68*0.2+120000</f>
        <v>345446.36962533335</v>
      </c>
      <c r="AI85" s="305">
        <f>IVA!AI68*0.2+120000</f>
        <v>1196828.8802853336</v>
      </c>
      <c r="AJ85" s="305">
        <f>IVA!AJ68*0.2+120000</f>
        <v>692919.43248333328</v>
      </c>
      <c r="AK85" s="305">
        <f>IVA!AK68*0.2+120000</f>
        <v>438085.5635153334</v>
      </c>
      <c r="AL85" s="305">
        <f>IVA!AL68*0.2+120000</f>
        <v>457890.67833133339</v>
      </c>
      <c r="AM85" s="305">
        <f>IVA!AM68*0.2+120000</f>
        <v>410275.85251533333</v>
      </c>
      <c r="AN85" s="305">
        <f>IVA!AN68*0.2+120000</f>
        <v>448807.57791533339</v>
      </c>
      <c r="AO85" s="305">
        <f>IVA!AO68*0.2+120000</f>
        <v>457558.33483333339</v>
      </c>
      <c r="AP85" s="305">
        <f>IVA!AP68*0.2+120000</f>
        <v>327161.17460533336</v>
      </c>
      <c r="AQ85" s="126">
        <f>IVA!AE85+IVA!AF85+IVA!AG85</f>
        <v>1006844.9561900001</v>
      </c>
      <c r="AR85" s="126">
        <f>IVA!AH85+IVA!AI85+IVA!AJ85</f>
        <v>2235194.6823940002</v>
      </c>
      <c r="AS85" s="126">
        <f>IVA!AK85+IVA!AL85+IVA!AM85</f>
        <v>1306252.094362</v>
      </c>
      <c r="AT85" s="126">
        <f>IVA!AN85+IVA!AO85+IVA!AP85</f>
        <v>1233527.0873540002</v>
      </c>
      <c r="AU85" s="127">
        <f>IVA!AQ85+IVA!AR85+IVA!AS85+IVA!AT85</f>
        <v>5781818.8202999998</v>
      </c>
      <c r="AV85" s="128">
        <f>IVA!AQ85/IVA!CJ13</f>
        <v>2.5631399766048823E-3</v>
      </c>
      <c r="AW85" s="128">
        <f>IVA!AR85/IVA!CK13</f>
        <v>4.7134817160594559E-3</v>
      </c>
      <c r="AX85" s="128">
        <f>IVA!AS85/IVA!CL13</f>
        <v>2.8894290074102102E-3</v>
      </c>
      <c r="AY85" s="128">
        <f>IVA!AT85/IVA!CM13</f>
        <v>2.6163786005740258E-3</v>
      </c>
      <c r="AZ85" s="269">
        <f>IVA!AU85/IVA!CN13</f>
        <v>1.2916125847285484E-2</v>
      </c>
      <c r="BA85" s="264">
        <v>2003</v>
      </c>
      <c r="BB85" s="351" t="s">
        <v>541</v>
      </c>
      <c r="BC85" s="352"/>
      <c r="BD85" s="352"/>
      <c r="BE85" s="352"/>
      <c r="BF85" s="353">
        <v>39112.001669999998</v>
      </c>
      <c r="BG85" s="353">
        <v>33053.971879999997</v>
      </c>
      <c r="BH85" s="353">
        <v>24445.936730000001</v>
      </c>
      <c r="BI85" s="353">
        <v>26494.465270000001</v>
      </c>
      <c r="BJ85" s="353">
        <v>31828.415929999999</v>
      </c>
      <c r="BK85" s="353">
        <v>31737.093120000001</v>
      </c>
      <c r="BL85" s="353">
        <v>36671.656349999997</v>
      </c>
      <c r="BM85" s="353">
        <v>41079.147510000003</v>
      </c>
      <c r="BN85" s="353">
        <v>41343.469019999997</v>
      </c>
      <c r="BO85" s="353">
        <v>45029.296829999999</v>
      </c>
      <c r="BP85" s="353">
        <v>51677.317329999998</v>
      </c>
      <c r="BQ85" s="354">
        <v>50354.395149999997</v>
      </c>
      <c r="BR85" s="173">
        <f>IVA!BF85+IVA!BG85+IVA!BH85</f>
        <v>96611.910279999996</v>
      </c>
      <c r="BS85" s="173">
        <f>IVA!BI85+IVA!BJ85+IVA!BK85</f>
        <v>90059.974320000008</v>
      </c>
      <c r="BT85" s="173">
        <f>IVA!BL85+IVA!BM85+IVA!BN85</f>
        <v>119094.27288</v>
      </c>
      <c r="BU85" s="174">
        <f>IVA!BO85+IVA!BP85+IVA!BQ85</f>
        <v>147061.00930999999</v>
      </c>
      <c r="BV85" s="135">
        <f>IVA!BR85+IVA!BS85+IVA!BT85+IVA!BU85</f>
        <v>452827.16678999999</v>
      </c>
      <c r="BW85" s="136">
        <f>IVA!BR85/IVA!CJ12</f>
        <v>2.951225563138055E-4</v>
      </c>
      <c r="BX85" s="137">
        <f>IVA!BS85/IVA!CK12</f>
        <v>2.2564701548252362E-4</v>
      </c>
      <c r="BY85" s="136">
        <f>IVA!BT85/IVA!CL12</f>
        <v>3.1515822547729532E-4</v>
      </c>
      <c r="BZ85" s="136">
        <f>IVA!BU85/IVA!CM12</f>
        <v>3.6832508578599655E-4</v>
      </c>
      <c r="CA85" s="271">
        <f>IVA!BV85/IVA!CN12</f>
        <v>1.204617956593503E-3</v>
      </c>
      <c r="CH85" s="13"/>
      <c r="CI85" s="53">
        <v>2003</v>
      </c>
      <c r="CJ85" s="284">
        <f>IVA!CJ61+IVA!CJ37</f>
        <v>1.7595170260361004E-2</v>
      </c>
      <c r="CK85" s="284">
        <f>IVA!CK61+IVA!CK37</f>
        <v>1.6095567624077566E-2</v>
      </c>
      <c r="CL85" s="284">
        <f>IVA!CL61+IVA!CL37</f>
        <v>1.8237136814310179E-2</v>
      </c>
      <c r="CM85" s="285">
        <f>IVA!CM61+IVA!CM37</f>
        <v>1.7651721711810939E-2</v>
      </c>
      <c r="CN85" s="286">
        <f>IVA!CN61+IVA!CN37</f>
        <v>6.949391058854576E-2</v>
      </c>
      <c r="CO85" s="63"/>
      <c r="CP85" s="63"/>
      <c r="CQ85" s="13"/>
      <c r="DY85" s="213" t="s">
        <v>547</v>
      </c>
      <c r="EA85" s="193"/>
      <c r="EB85" s="228">
        <v>49872000</v>
      </c>
      <c r="EC85" s="228">
        <v>4217258</v>
      </c>
      <c r="ED85" s="228">
        <v>54089258</v>
      </c>
      <c r="EE85" s="228">
        <v>52485884.270000003</v>
      </c>
      <c r="EF85" s="228">
        <v>52485884.270000003</v>
      </c>
      <c r="EG85" s="229">
        <v>41468945.149999999</v>
      </c>
      <c r="EH85" s="230">
        <f>IVA!EF85-IVA!EG85</f>
        <v>11016939.120000005</v>
      </c>
      <c r="EJ85" s="31">
        <v>2033</v>
      </c>
      <c r="EK85" s="32">
        <v>9692.2160000000003</v>
      </c>
      <c r="EL85" s="33">
        <v>8503.2510000000002</v>
      </c>
      <c r="EN85" s="120" t="s">
        <v>255</v>
      </c>
    </row>
    <row r="86" spans="27:144" ht="12.75" customHeight="1">
      <c r="AA86" s="302">
        <v>2005</v>
      </c>
      <c r="AB86" s="302" t="s">
        <v>539</v>
      </c>
      <c r="AC86" s="311"/>
      <c r="AD86" s="312"/>
      <c r="AE86" s="305">
        <f>IVA!AE69*0.2+120000</f>
        <v>456025.77720133337</v>
      </c>
      <c r="AF86" s="305">
        <f>IVA!AF69*0.2+120000</f>
        <v>481469.98143133335</v>
      </c>
      <c r="AG86" s="305">
        <f>IVA!AG69*0.2+120000</f>
        <v>456887.68167933333</v>
      </c>
      <c r="AH86" s="305">
        <f>IVA!AH69*0.2+120000</f>
        <v>501577.62290133338</v>
      </c>
      <c r="AI86" s="305">
        <f>IVA!AI69*0.2+120000</f>
        <v>852148.72593133338</v>
      </c>
      <c r="AJ86" s="305">
        <f>IVA!AJ69*0.2+120000</f>
        <v>831355.42416133336</v>
      </c>
      <c r="AK86" s="305">
        <f>IVA!AK69*0.2+120000</f>
        <v>526578.80938133341</v>
      </c>
      <c r="AL86" s="305">
        <f>IVA!AL69*0.2+120000</f>
        <v>549084.63254733337</v>
      </c>
      <c r="AM86" s="305">
        <f>IVA!AM69*0.2+120000</f>
        <v>525356.08349333331</v>
      </c>
      <c r="AN86" s="305">
        <f>IVA!AN69*0.2+120000</f>
        <v>556366.39069733326</v>
      </c>
      <c r="AO86" s="305">
        <f>IVA!AO69*0.2+120000</f>
        <v>562336.79500333336</v>
      </c>
      <c r="AP86" s="305">
        <f>IVA!AP69*0.2+120000</f>
        <v>633891.88607933326</v>
      </c>
      <c r="AQ86" s="126">
        <f>IVA!AE86+IVA!AF86+IVA!AG86</f>
        <v>1394383.440312</v>
      </c>
      <c r="AR86" s="126">
        <f>IVA!AH86+IVA!AI86+IVA!AJ86</f>
        <v>2185081.7729940005</v>
      </c>
      <c r="AS86" s="126">
        <f>IVA!AK86+IVA!AL86+IVA!AM86</f>
        <v>1601019.5254220001</v>
      </c>
      <c r="AT86" s="126">
        <f>IVA!AN86+IVA!AO86+IVA!AP86</f>
        <v>1752595.0717799999</v>
      </c>
      <c r="AU86" s="127">
        <f>IVA!AQ86+IVA!AR86+IVA!AS86+IVA!AT86</f>
        <v>6933079.8105080007</v>
      </c>
      <c r="AV86" s="128">
        <f>IVA!AQ86/IVA!CJ14</f>
        <v>3.0527437370545842E-3</v>
      </c>
      <c r="AW86" s="128">
        <f>IVA!AR86/IVA!CK14</f>
        <v>3.9555303771893098E-3</v>
      </c>
      <c r="AX86" s="128">
        <f>IVA!AS86/IVA!CL14</f>
        <v>2.9418167285291189E-3</v>
      </c>
      <c r="AY86" s="128">
        <f>IVA!AT86/IVA!CM14</f>
        <v>3.0514347526708016E-3</v>
      </c>
      <c r="AZ86" s="269">
        <f>IVA!AU86/IVA!CN14</f>
        <v>1.3033606165344689E-2</v>
      </c>
      <c r="BA86" s="264">
        <v>2004</v>
      </c>
      <c r="BB86" s="351" t="s">
        <v>541</v>
      </c>
      <c r="BC86" s="352"/>
      <c r="BD86" s="352"/>
      <c r="BE86" s="352"/>
      <c r="BF86" s="353">
        <v>51800.788079999998</v>
      </c>
      <c r="BG86" s="353">
        <v>54021.460619999998</v>
      </c>
      <c r="BH86" s="353">
        <v>51569.371099999997</v>
      </c>
      <c r="BI86" s="353">
        <v>60513.050230000001</v>
      </c>
      <c r="BJ86" s="353">
        <v>54964.131869999997</v>
      </c>
      <c r="BK86" s="353">
        <v>54658.716039999999</v>
      </c>
      <c r="BL86" s="353">
        <v>60844.727700000003</v>
      </c>
      <c r="BM86" s="353">
        <v>61940.177360000001</v>
      </c>
      <c r="BN86" s="353">
        <v>68110.592529999994</v>
      </c>
      <c r="BO86" s="353">
        <v>66852.393859999996</v>
      </c>
      <c r="BP86" s="353">
        <v>70272.305619999999</v>
      </c>
      <c r="BQ86" s="354">
        <v>76022.682700000005</v>
      </c>
      <c r="BR86" s="173">
        <f>IVA!BF86+IVA!BG86+IVA!BH86</f>
        <v>157391.61979999999</v>
      </c>
      <c r="BS86" s="173">
        <f>IVA!BI86+IVA!BJ86+IVA!BK86</f>
        <v>170135.89814</v>
      </c>
      <c r="BT86" s="173">
        <f>IVA!BL86+IVA!BM86+IVA!BN86</f>
        <v>190895.49758999998</v>
      </c>
      <c r="BU86" s="174">
        <f>IVA!BO86+IVA!BP86+IVA!BQ86</f>
        <v>213147.38218000002</v>
      </c>
      <c r="BV86" s="135">
        <f>IVA!BR86+IVA!BS86+IVA!BT86+IVA!BU86</f>
        <v>731570.39770999993</v>
      </c>
      <c r="BW86" s="136">
        <f>IVA!BR86/IVA!CJ13</f>
        <v>4.0067415565008641E-4</v>
      </c>
      <c r="BX86" s="137">
        <f>IVA!BS86/IVA!CK13</f>
        <v>3.5877521159335263E-4</v>
      </c>
      <c r="BY86" s="136">
        <f>IVA!BT86/IVA!CL13</f>
        <v>4.2226074928511728E-4</v>
      </c>
      <c r="BZ86" s="136">
        <f>IVA!BU86/IVA!CM13</f>
        <v>4.5209728689491109E-4</v>
      </c>
      <c r="CA86" s="271">
        <f>IVA!BV86/IVA!CN13</f>
        <v>1.6342703942564512E-3</v>
      </c>
      <c r="CH86" s="13"/>
      <c r="CI86" s="53">
        <v>2004</v>
      </c>
      <c r="CJ86" s="284">
        <f>IVA!CJ62+IVA!CJ38</f>
        <v>1.9869733277161666E-2</v>
      </c>
      <c r="CK86" s="284">
        <f>IVA!CK62+IVA!CK38</f>
        <v>2.0321626731504228E-2</v>
      </c>
      <c r="CL86" s="284">
        <f>IVA!CL62+IVA!CL38</f>
        <v>2.0412320229699119E-2</v>
      </c>
      <c r="CM86" s="285">
        <f>IVA!CM62+IVA!CM38</f>
        <v>1.8593876091243272E-2</v>
      </c>
      <c r="CN86" s="286">
        <f>IVA!CN62+IVA!CN38</f>
        <v>7.9161845103353112E-2</v>
      </c>
      <c r="CO86" s="63"/>
      <c r="CP86" s="63"/>
      <c r="CQ86" s="13"/>
      <c r="DY86" s="220" t="s">
        <v>548</v>
      </c>
      <c r="DZ86" s="221"/>
      <c r="EA86" s="204"/>
      <c r="EB86" s="234">
        <v>101813838000</v>
      </c>
      <c r="EC86" s="234">
        <v>18514667599</v>
      </c>
      <c r="ED86" s="234">
        <v>120328505599</v>
      </c>
      <c r="EE86" s="234">
        <v>117239868005.78</v>
      </c>
      <c r="EF86" s="234">
        <v>117232071140.10001</v>
      </c>
      <c r="EG86" s="235">
        <v>116912522427.75999</v>
      </c>
      <c r="EH86" s="236">
        <f>IVA!EF86-IVA!EG86</f>
        <v>319548712.3400116</v>
      </c>
      <c r="EJ86" s="31">
        <v>2034</v>
      </c>
      <c r="EK86" s="32">
        <v>9895.02</v>
      </c>
      <c r="EL86" s="33">
        <v>8670.8330000000005</v>
      </c>
      <c r="EN86" s="120" t="s">
        <v>270</v>
      </c>
    </row>
    <row r="87" spans="27:144" ht="12.75" customHeight="1">
      <c r="AA87" s="302">
        <v>2006</v>
      </c>
      <c r="AB87" s="302" t="s">
        <v>539</v>
      </c>
      <c r="AC87" s="311"/>
      <c r="AD87" s="312"/>
      <c r="AE87" s="305">
        <f>IVA!AE70*0.2+120000</f>
        <v>591788.25107533322</v>
      </c>
      <c r="AF87" s="305">
        <f>IVA!AF70*0.2+120000</f>
        <v>570591.45375133329</v>
      </c>
      <c r="AG87" s="305">
        <f>IVA!AG70*0.2+120000</f>
        <v>507820.16802733339</v>
      </c>
      <c r="AH87" s="305">
        <f>IVA!AH70*0.2+120000</f>
        <v>387292.73893533339</v>
      </c>
      <c r="AI87" s="305">
        <f>IVA!AI70*0.2+120000</f>
        <v>954727.91587733338</v>
      </c>
      <c r="AJ87" s="305">
        <f>IVA!AJ70*0.2+120000</f>
        <v>1004932.3695253334</v>
      </c>
      <c r="AK87" s="305">
        <f>IVA!AK70*0.2+120000</f>
        <v>635244.07772733329</v>
      </c>
      <c r="AL87" s="305">
        <f>IVA!AL70*0.2+120000</f>
        <v>682878.14218333329</v>
      </c>
      <c r="AM87" s="305">
        <f>IVA!AM70*0.2+120000</f>
        <v>622463.05045133329</v>
      </c>
      <c r="AN87" s="305">
        <f>IVA!AN70*0.2+120000</f>
        <v>662592.46720333339</v>
      </c>
      <c r="AO87" s="305">
        <f>IVA!AO70*0.2+120000</f>
        <v>743007.80373733339</v>
      </c>
      <c r="AP87" s="305">
        <f>IVA!AP70*0.2+120000</f>
        <v>683679.9768233333</v>
      </c>
      <c r="AQ87" s="126">
        <f>IVA!AE87+IVA!AF87+IVA!AG87</f>
        <v>1670199.872854</v>
      </c>
      <c r="AR87" s="126">
        <f>IVA!AH87+IVA!AI87+IVA!AJ87</f>
        <v>2346953.0243380005</v>
      </c>
      <c r="AS87" s="126">
        <f>IVA!AK87+IVA!AL87+IVA!AM87</f>
        <v>1940585.270362</v>
      </c>
      <c r="AT87" s="126">
        <f>IVA!AN87+IVA!AO87+IVA!AP87</f>
        <v>2089280.2477640002</v>
      </c>
      <c r="AU87" s="127">
        <f>IVA!AQ87+IVA!AR87+IVA!AS87+IVA!AT87</f>
        <v>8047018.4153180011</v>
      </c>
      <c r="AV87" s="128">
        <f>IVA!AQ87/IVA!CJ15</f>
        <v>2.9405237957689694E-3</v>
      </c>
      <c r="AW87" s="128">
        <f>IVA!AR87/IVA!CK15</f>
        <v>3.4601614379012238E-3</v>
      </c>
      <c r="AX87" s="128">
        <f>IVA!AS87/IVA!CL15</f>
        <v>2.9042102925033002E-3</v>
      </c>
      <c r="AY87" s="128">
        <f>IVA!AT87/IVA!CM15</f>
        <v>2.9707408976324123E-3</v>
      </c>
      <c r="AZ87" s="269">
        <f>IVA!AU87/IVA!CN15</f>
        <v>1.2296056006291592E-2</v>
      </c>
      <c r="BA87" s="264">
        <v>2005</v>
      </c>
      <c r="BB87" s="351" t="s">
        <v>541</v>
      </c>
      <c r="BC87" s="352"/>
      <c r="BD87" s="352"/>
      <c r="BE87" s="352"/>
      <c r="BF87" s="353">
        <f>(85571.35118)*0.9833</f>
        <v>84142.309615293998</v>
      </c>
      <c r="BG87" s="353">
        <v>63193.946708030002</v>
      </c>
      <c r="BH87" s="353">
        <v>61005.744811880002</v>
      </c>
      <c r="BI87" s="353">
        <v>72480.478362341993</v>
      </c>
      <c r="BJ87" s="353">
        <v>68713.190404181005</v>
      </c>
      <c r="BK87" s="353">
        <v>74561.540706631</v>
      </c>
      <c r="BL87" s="353">
        <v>78541.497929420002</v>
      </c>
      <c r="BM87" s="353">
        <v>78432.729845932001</v>
      </c>
      <c r="BN87" s="353">
        <v>90592.760073544006</v>
      </c>
      <c r="BO87" s="353">
        <v>82789.803563010995</v>
      </c>
      <c r="BP87" s="353">
        <v>93127.748496820001</v>
      </c>
      <c r="BQ87" s="354">
        <v>102026.081000538</v>
      </c>
      <c r="BR87" s="173">
        <f>IVA!BF87+IVA!BG87+IVA!BH87</f>
        <v>208342.00113520399</v>
      </c>
      <c r="BS87" s="173">
        <f>IVA!BI87+IVA!BJ87+IVA!BK87</f>
        <v>215755.20947315401</v>
      </c>
      <c r="BT87" s="173">
        <f>IVA!BL87+IVA!BM87+IVA!BN87</f>
        <v>247566.98784889601</v>
      </c>
      <c r="BU87" s="174">
        <f>IVA!BO87+IVA!BP87+IVA!BQ87</f>
        <v>277943.633060369</v>
      </c>
      <c r="BV87" s="135">
        <f>IVA!BR87+IVA!BS87+IVA!BT87+IVA!BU87</f>
        <v>949607.83151762304</v>
      </c>
      <c r="BW87" s="136">
        <f>IVA!BR87/IVA!CJ14</f>
        <v>4.5612614202346065E-4</v>
      </c>
      <c r="BX87" s="137">
        <f>IVA!BS87/IVA!CK14</f>
        <v>3.9056949522696264E-4</v>
      </c>
      <c r="BY87" s="136">
        <f>IVA!BT87/IVA!CL14</f>
        <v>4.5489558042303161E-4</v>
      </c>
      <c r="BZ87" s="136">
        <f>IVA!BU87/IVA!CM14</f>
        <v>4.8392630725738742E-4</v>
      </c>
      <c r="CA87" s="271">
        <f>IVA!BV87/IVA!CN14</f>
        <v>1.7851827507840009E-3</v>
      </c>
      <c r="CH87" s="13"/>
      <c r="CI87" s="53">
        <v>2005</v>
      </c>
      <c r="CJ87" s="284">
        <f>IVA!CJ63+IVA!CJ39</f>
        <v>2.1310687439172749E-2</v>
      </c>
      <c r="CK87" s="284">
        <f>IVA!CK63+IVA!CK39</f>
        <v>1.9803138655355382E-2</v>
      </c>
      <c r="CL87" s="284">
        <f>IVA!CL63+IVA!CL39</f>
        <v>2.1041740478021397E-2</v>
      </c>
      <c r="CM87" s="285">
        <f>IVA!CM63+IVA!CM39</f>
        <v>2.0794120178481763E-2</v>
      </c>
      <c r="CN87" s="286">
        <f>IVA!CN63+IVA!CN39</f>
        <v>8.2844274760836473E-2</v>
      </c>
      <c r="CO87" s="63"/>
      <c r="CP87" s="63"/>
      <c r="CQ87" s="13"/>
      <c r="DY87" s="175" t="s">
        <v>163</v>
      </c>
      <c r="DZ87" s="45"/>
      <c r="EA87" s="208">
        <v>2011</v>
      </c>
      <c r="EB87" s="225">
        <v>145575567700</v>
      </c>
      <c r="EC87" s="225">
        <v>20368403696</v>
      </c>
      <c r="ED87" s="225">
        <v>165943971396</v>
      </c>
      <c r="EE87" s="225">
        <v>161658591944.07001</v>
      </c>
      <c r="EF87" s="225">
        <v>161637632169</v>
      </c>
      <c r="EG87" s="226">
        <v>161163243971.94</v>
      </c>
      <c r="EH87" s="227">
        <f>IVA!EF87-IVA!EG87</f>
        <v>474388197.05999756</v>
      </c>
      <c r="EJ87" s="31">
        <v>2035</v>
      </c>
      <c r="EK87" s="32">
        <v>10107.934999999999</v>
      </c>
      <c r="EL87" s="33">
        <v>8840.7860000000001</v>
      </c>
      <c r="EN87" s="120" t="s">
        <v>287</v>
      </c>
    </row>
    <row r="88" spans="27:144" ht="12.75" customHeight="1">
      <c r="AA88" s="302">
        <v>2007</v>
      </c>
      <c r="AB88" s="302" t="s">
        <v>539</v>
      </c>
      <c r="AC88" s="311"/>
      <c r="AD88" s="312"/>
      <c r="AE88" s="305">
        <f>IVA!AE71*0.2+120000</f>
        <v>710551.70543133328</v>
      </c>
      <c r="AF88" s="305">
        <f>IVA!AF71*0.2+120000</f>
        <v>647290.58751133329</v>
      </c>
      <c r="AG88" s="305">
        <f>IVA!AG71*0.2+120000</f>
        <v>618474.50864733336</v>
      </c>
      <c r="AH88" s="305">
        <f>IVA!AH71*0.2+120000</f>
        <v>536709.70046733343</v>
      </c>
      <c r="AI88" s="305">
        <f>IVA!AI71*0.2+120000</f>
        <v>1174789.9190893334</v>
      </c>
      <c r="AJ88" s="305">
        <f>IVA!AJ71*0.2+120000</f>
        <v>1200881.7005453333</v>
      </c>
      <c r="AK88" s="305">
        <f>IVA!AK71*0.2+120000</f>
        <v>789382.32636133337</v>
      </c>
      <c r="AL88" s="305">
        <f>IVA!AL71*0.2+120000</f>
        <v>874062.17204133328</v>
      </c>
      <c r="AM88" s="305">
        <f>IVA!AM71*0.2+120000</f>
        <v>819751.75500733336</v>
      </c>
      <c r="AN88" s="305">
        <f>IVA!AN71*0.2+120000</f>
        <v>777897.7158153333</v>
      </c>
      <c r="AO88" s="305">
        <f>IVA!AO71*0.2+120000</f>
        <v>851935.74205133331</v>
      </c>
      <c r="AP88" s="305">
        <f>IVA!AP71*0.2+120000</f>
        <v>893253.25239933329</v>
      </c>
      <c r="AQ88" s="126">
        <f>IVA!AE88+IVA!AF88+IVA!AG88</f>
        <v>1976316.8015899998</v>
      </c>
      <c r="AR88" s="126">
        <f>IVA!AH88+IVA!AI88+IVA!AJ88</f>
        <v>2912381.3201020001</v>
      </c>
      <c r="AS88" s="126">
        <f>IVA!AK88+IVA!AL88+IVA!AM88</f>
        <v>2483196.2534100004</v>
      </c>
      <c r="AT88" s="126">
        <f>IVA!AN88+IVA!AO88+IVA!AP88</f>
        <v>2523086.7102659997</v>
      </c>
      <c r="AU88" s="127">
        <f>IVA!AQ88+IVA!AR88+IVA!AS88+IVA!AT88</f>
        <v>9894981.085368</v>
      </c>
      <c r="AV88" s="128">
        <f>IVA!AQ88/IVA!CJ16</f>
        <v>2.9015691825082213E-3</v>
      </c>
      <c r="AW88" s="128">
        <f>IVA!AR88/IVA!CK16</f>
        <v>3.4873586318526512E-3</v>
      </c>
      <c r="AX88" s="128">
        <f>IVA!AS88/IVA!CL16</f>
        <v>3.0009755764426934E-3</v>
      </c>
      <c r="AY88" s="128">
        <f>IVA!AT88/IVA!CM16</f>
        <v>2.7845107112117336E-3</v>
      </c>
      <c r="AZ88" s="269">
        <f>IVA!AU88/IVA!CN16</f>
        <v>1.2179100378290281E-2</v>
      </c>
      <c r="BA88" s="264">
        <v>2006</v>
      </c>
      <c r="BB88" s="351" t="s">
        <v>541</v>
      </c>
      <c r="BC88" s="352"/>
      <c r="BD88" s="352"/>
      <c r="BE88" s="352"/>
      <c r="BF88" s="353">
        <v>104062.07311085</v>
      </c>
      <c r="BG88" s="353">
        <v>92833.379303274996</v>
      </c>
      <c r="BH88" s="353">
        <v>102536.94780943199</v>
      </c>
      <c r="BI88" s="353">
        <v>114834.38074083401</v>
      </c>
      <c r="BJ88" s="353">
        <v>115547.507816882</v>
      </c>
      <c r="BK88" s="353">
        <v>121526.65534804401</v>
      </c>
      <c r="BL88" s="353">
        <v>113264.070414997</v>
      </c>
      <c r="BM88" s="353">
        <v>116322.493047139</v>
      </c>
      <c r="BN88" s="353">
        <v>113227.50808594</v>
      </c>
      <c r="BO88" s="353">
        <v>115055.48613931501</v>
      </c>
      <c r="BP88" s="353">
        <v>124456.20402727601</v>
      </c>
      <c r="BQ88" s="354">
        <v>126275.066584828</v>
      </c>
      <c r="BR88" s="173">
        <f>IVA!BF88+IVA!BG88+IVA!BH88</f>
        <v>299432.40022355702</v>
      </c>
      <c r="BS88" s="173">
        <f>IVA!BI88+IVA!BJ88+IVA!BK88</f>
        <v>351908.54390576005</v>
      </c>
      <c r="BT88" s="173">
        <f>IVA!BL88+IVA!BM88+IVA!BN88</f>
        <v>342814.071548076</v>
      </c>
      <c r="BU88" s="174">
        <f>IVA!BO88+IVA!BP88+IVA!BQ88</f>
        <v>365786.75675141905</v>
      </c>
      <c r="BV88" s="135">
        <f>IVA!BR88+IVA!BS88+IVA!BT88+IVA!BU88</f>
        <v>1359941.772428812</v>
      </c>
      <c r="BW88" s="136">
        <f>IVA!BR88/IVA!CJ15</f>
        <v>5.2717528745648196E-4</v>
      </c>
      <c r="BX88" s="137">
        <f>IVA!BS88/IVA!CK15</f>
        <v>5.1882605261523856E-4</v>
      </c>
      <c r="BY88" s="136">
        <f>IVA!BT88/IVA!CL15</f>
        <v>5.1304324020719964E-4</v>
      </c>
      <c r="BZ88" s="136">
        <f>IVA!BU88/IVA!CM15</f>
        <v>5.2011101873802119E-4</v>
      </c>
      <c r="CA88" s="271">
        <f>IVA!BV88/IVA!CN15</f>
        <v>2.078026833795845E-3</v>
      </c>
      <c r="CH88" s="13"/>
      <c r="CI88" s="53">
        <v>2006</v>
      </c>
      <c r="CJ88" s="284">
        <f>IVA!CJ64+IVA!CJ40</f>
        <v>2.2779557351988226E-2</v>
      </c>
      <c r="CK88" s="284">
        <f>IVA!CK64+IVA!CK40</f>
        <v>2.0598904072557503E-2</v>
      </c>
      <c r="CL88" s="284">
        <f>IVA!CL64+IVA!CL40</f>
        <v>2.2497746504791156E-2</v>
      </c>
      <c r="CM88" s="285">
        <f>IVA!CM64+IVA!CM40</f>
        <v>2.2219129134117055E-2</v>
      </c>
      <c r="CN88" s="286">
        <f>IVA!CN64+IVA!CN40</f>
        <v>8.7968136088110452E-2</v>
      </c>
      <c r="CO88" s="63"/>
      <c r="CP88" s="63"/>
      <c r="CQ88" s="13"/>
      <c r="DY88" s="213" t="s">
        <v>549</v>
      </c>
      <c r="EA88" s="177"/>
      <c r="EB88" s="228">
        <v>2566627915</v>
      </c>
      <c r="EC88" s="228">
        <v>569124562</v>
      </c>
      <c r="ED88" s="228">
        <v>3135752477</v>
      </c>
      <c r="EE88" s="228">
        <v>3071353160.3600001</v>
      </c>
      <c r="EF88" s="228">
        <v>3070205746.1399999</v>
      </c>
      <c r="EG88" s="229">
        <v>2960961982.7399998</v>
      </c>
      <c r="EH88" s="230">
        <f>IVA!EF88-IVA!EG88</f>
        <v>109243763.4000001</v>
      </c>
      <c r="EJ88" s="31">
        <v>2036</v>
      </c>
      <c r="EK88" s="32">
        <v>10343.839</v>
      </c>
      <c r="EL88" s="33">
        <v>9028.2870000000003</v>
      </c>
      <c r="EN88" s="120" t="s">
        <v>304</v>
      </c>
    </row>
    <row r="89" spans="27:144" ht="12.75" customHeight="1">
      <c r="AA89" s="302">
        <v>2008</v>
      </c>
      <c r="AB89" s="302" t="s">
        <v>539</v>
      </c>
      <c r="AC89" s="311"/>
      <c r="AD89" s="312"/>
      <c r="AE89" s="305">
        <f>IVA!AE72*0.2+120000</f>
        <v>898408.62234133342</v>
      </c>
      <c r="AF89" s="305">
        <f>IVA!AF72*0.2+120000</f>
        <v>871026.07697133336</v>
      </c>
      <c r="AG89" s="305">
        <f>IVA!AG72*0.2+120000</f>
        <v>720136.31725933333</v>
      </c>
      <c r="AH89" s="305">
        <f>IVA!AH72*0.2+120000</f>
        <v>715184.52404733328</v>
      </c>
      <c r="AI89" s="305">
        <f>IVA!AI72*0.2+120000</f>
        <v>1165480.7487153336</v>
      </c>
      <c r="AJ89" s="305">
        <f>IVA!AJ72*0.2+120000</f>
        <v>1444646.4027073334</v>
      </c>
      <c r="AK89" s="305">
        <f>IVA!AK72*0.2+120000</f>
        <v>1076118.3184113335</v>
      </c>
      <c r="AL89" s="305">
        <f>IVA!AL72*0.2+120000</f>
        <v>1104759.9345653336</v>
      </c>
      <c r="AM89" s="305">
        <f>IVA!AM72*0.2+120000</f>
        <v>989871.85344333341</v>
      </c>
      <c r="AN89" s="305">
        <f>IVA!AN72*0.2+120000</f>
        <v>1046827.0836633334</v>
      </c>
      <c r="AO89" s="305">
        <f>IVA!AO72*0.2+120000</f>
        <v>945829.41894333344</v>
      </c>
      <c r="AP89" s="305">
        <f>IVA!AP72*0.2+120000</f>
        <v>1074910.7831733334</v>
      </c>
      <c r="AQ89" s="126">
        <f>IVA!AE89+IVA!AF89+IVA!AG89</f>
        <v>2489571.0165720005</v>
      </c>
      <c r="AR89" s="126">
        <f>IVA!AH89+IVA!AI89+IVA!AJ89</f>
        <v>3325311.6754700001</v>
      </c>
      <c r="AS89" s="126">
        <f>IVA!AK89+IVA!AL89+IVA!AM89</f>
        <v>3170750.1064200005</v>
      </c>
      <c r="AT89" s="126">
        <f>IVA!AN89+IVA!AO89+IVA!AP89</f>
        <v>3067567.2857800005</v>
      </c>
      <c r="AU89" s="127">
        <f>IVA!AQ89+IVA!AR89+IVA!AS89+IVA!AT89</f>
        <v>12053200.084242001</v>
      </c>
      <c r="AV89" s="128">
        <f>IVA!AQ89/IVA!CJ17</f>
        <v>2.804698529219518E-3</v>
      </c>
      <c r="AW89" s="128">
        <f>IVA!AR89/IVA!CK17</f>
        <v>3.001338656074928E-3</v>
      </c>
      <c r="AX89" s="128">
        <f>IVA!AS89/IVA!CL17</f>
        <v>2.9982012456750248E-3</v>
      </c>
      <c r="AY89" s="128">
        <f>IVA!AT89/IVA!CM17</f>
        <v>2.845883256092922E-3</v>
      </c>
      <c r="AZ89" s="269">
        <f>IVA!AU89/IVA!CN17</f>
        <v>1.1670885226008417E-2</v>
      </c>
      <c r="BA89" s="264">
        <v>2007</v>
      </c>
      <c r="BB89" s="351" t="s">
        <v>541</v>
      </c>
      <c r="BC89" s="352"/>
      <c r="BD89" s="352"/>
      <c r="BE89" s="352"/>
      <c r="BF89" s="353">
        <v>137941.79905729799</v>
      </c>
      <c r="BG89" s="353">
        <v>132423.830160432</v>
      </c>
      <c r="BH89" s="353">
        <v>127661.146235651</v>
      </c>
      <c r="BI89" s="353">
        <v>115635.594082639</v>
      </c>
      <c r="BJ89" s="353">
        <v>125261.318493835</v>
      </c>
      <c r="BK89" s="353">
        <v>128194.49193152301</v>
      </c>
      <c r="BL89" s="353">
        <v>123439.58990193999</v>
      </c>
      <c r="BM89" s="353">
        <v>134554.18095803601</v>
      </c>
      <c r="BN89" s="353">
        <v>154584.23129309501</v>
      </c>
      <c r="BO89" s="353">
        <v>156100.45357998699</v>
      </c>
      <c r="BP89" s="353">
        <v>183503.54255022699</v>
      </c>
      <c r="BQ89" s="354">
        <v>159006.426874745</v>
      </c>
      <c r="BR89" s="173">
        <f>IVA!BF89+IVA!BG89+IVA!BH89</f>
        <v>398026.77545338101</v>
      </c>
      <c r="BS89" s="173">
        <f>IVA!BI89+IVA!BJ89+IVA!BK89</f>
        <v>369091.40450799704</v>
      </c>
      <c r="BT89" s="173">
        <f>IVA!BL89+IVA!BM89+IVA!BN89</f>
        <v>412578.00215307099</v>
      </c>
      <c r="BU89" s="174">
        <f>IVA!BO89+IVA!BP89+IVA!BQ89</f>
        <v>498610.42300495895</v>
      </c>
      <c r="BV89" s="135">
        <f>IVA!BR89+IVA!BS89+IVA!BT89+IVA!BU89</f>
        <v>1678306.6051194079</v>
      </c>
      <c r="BW89" s="136">
        <f>IVA!BR89/IVA!CJ16</f>
        <v>5.8437099990219204E-4</v>
      </c>
      <c r="BX89" s="137">
        <f>IVA!BS89/IVA!CK16</f>
        <v>4.419593294907214E-4</v>
      </c>
      <c r="BY89" s="136">
        <f>IVA!BT89/IVA!CL16</f>
        <v>4.9860598256728215E-4</v>
      </c>
      <c r="BZ89" s="136">
        <f>IVA!BU89/IVA!CM16</f>
        <v>5.5027282967724453E-4</v>
      </c>
      <c r="CA89" s="271">
        <f>IVA!BV89/IVA!CN16</f>
        <v>2.0657204327072924E-3</v>
      </c>
      <c r="CH89" s="13"/>
      <c r="CI89" s="53">
        <v>2007</v>
      </c>
      <c r="CJ89" s="284">
        <f>IVA!CJ65+IVA!CJ41</f>
        <v>2.5672945019159968E-2</v>
      </c>
      <c r="CK89" s="284">
        <f>IVA!CK65+IVA!CK41</f>
        <v>2.248491004189284E-2</v>
      </c>
      <c r="CL89" s="284">
        <f>IVA!CL65+IVA!CL41</f>
        <v>2.5137017890358271E-2</v>
      </c>
      <c r="CM89" s="285">
        <f>IVA!CM65+IVA!CM41</f>
        <v>2.2992453936086395E-2</v>
      </c>
      <c r="CN89" s="286">
        <f>IVA!CN65+IVA!CN41</f>
        <v>9.5879465755125931E-2</v>
      </c>
      <c r="CO89" s="63"/>
      <c r="CP89" s="63"/>
      <c r="CQ89" s="13"/>
      <c r="DY89" s="213" t="s">
        <v>550</v>
      </c>
      <c r="EA89" s="193"/>
      <c r="EB89" s="228">
        <v>61086000</v>
      </c>
      <c r="EC89" s="228">
        <v>5727200</v>
      </c>
      <c r="ED89" s="228">
        <v>66813200</v>
      </c>
      <c r="EE89" s="228">
        <v>62687653.93</v>
      </c>
      <c r="EF89" s="228">
        <v>59102933.329999998</v>
      </c>
      <c r="EG89" s="229">
        <v>52623487.899999999</v>
      </c>
      <c r="EH89" s="230">
        <f>IVA!EF89-IVA!EG89</f>
        <v>6479445.4299999997</v>
      </c>
      <c r="EJ89" s="31">
        <v>2037</v>
      </c>
      <c r="EK89" s="32">
        <v>10589.349</v>
      </c>
      <c r="EL89" s="33">
        <v>9216.4449999999997</v>
      </c>
      <c r="EN89" s="120" t="s">
        <v>321</v>
      </c>
    </row>
    <row r="90" spans="27:144" ht="12.75" customHeight="1">
      <c r="AA90" s="302">
        <v>2009</v>
      </c>
      <c r="AB90" s="302" t="s">
        <v>539</v>
      </c>
      <c r="AC90" s="311"/>
      <c r="AD90" s="312"/>
      <c r="AE90" s="305">
        <f>IVA!AE73*0.2+120000</f>
        <v>900351.53333333333</v>
      </c>
      <c r="AF90" s="305">
        <f>IVA!AF73*0.2+120000</f>
        <v>861243.7333333334</v>
      </c>
      <c r="AG90" s="305">
        <f>IVA!AG73*0.2+120000</f>
        <v>785258.1333333333</v>
      </c>
      <c r="AH90" s="305">
        <f>IVA!AH73*0.2+120000</f>
        <v>732990.53333333333</v>
      </c>
      <c r="AI90" s="305">
        <f>IVA!AI73*0.2+120000</f>
        <v>1413981.3333333335</v>
      </c>
      <c r="AJ90" s="305">
        <f>IVA!AJ73*0.2+120000</f>
        <v>1365310.7333333334</v>
      </c>
      <c r="AK90" s="305">
        <f>IVA!AK73*0.2+120000</f>
        <v>995211.93333333347</v>
      </c>
      <c r="AL90" s="305">
        <f>IVA!AL73*0.2+120000</f>
        <v>1043591.3333333335</v>
      </c>
      <c r="AM90" s="305">
        <f>IVA!AM73*0.2+120000</f>
        <v>963304.93333333347</v>
      </c>
      <c r="AN90" s="305">
        <f>IVA!AN73*0.2+120000</f>
        <v>1090757.7333333334</v>
      </c>
      <c r="AO90" s="305">
        <f>IVA!AO73*0.2+120000</f>
        <v>1106663.9333333336</v>
      </c>
      <c r="AP90" s="305">
        <f>IVA!AP73*0.2+120000</f>
        <v>1175785.3333333335</v>
      </c>
      <c r="AQ90" s="126">
        <f>IVA!AE90+IVA!AF90+IVA!AG90</f>
        <v>2546853.4</v>
      </c>
      <c r="AR90" s="126">
        <f>IVA!AH90+IVA!AI90+IVA!AJ90</f>
        <v>3512282.6</v>
      </c>
      <c r="AS90" s="126">
        <f>IVA!AK90+IVA!AL90+IVA!AM90</f>
        <v>3002108.2000000007</v>
      </c>
      <c r="AT90" s="126">
        <f>IVA!AN90+IVA!AO90+IVA!AP90</f>
        <v>3373207.0000000005</v>
      </c>
      <c r="AU90" s="127">
        <f>IVA!AQ90+IVA!AR90+IVA!AS90+IVA!AT90</f>
        <v>12434451.200000001</v>
      </c>
      <c r="AV90" s="128">
        <f>IVA!AQ90/IVA!CJ18</f>
        <v>2.5649052028174288E-3</v>
      </c>
      <c r="AW90" s="128">
        <f>IVA!AR90/IVA!CK18</f>
        <v>2.9382328770120383E-3</v>
      </c>
      <c r="AX90" s="128">
        <f>IVA!AS90/IVA!CL18</f>
        <v>2.568550034603846E-3</v>
      </c>
      <c r="AY90" s="128">
        <f>IVA!AT90/IVA!CM18</f>
        <v>2.7543044580114807E-3</v>
      </c>
      <c r="AZ90" s="269">
        <f>IVA!AU90/IVA!CN18</f>
        <v>1.0855437343486821E-2</v>
      </c>
      <c r="BA90" s="264">
        <v>2008</v>
      </c>
      <c r="BB90" s="351" t="s">
        <v>541</v>
      </c>
      <c r="BC90" s="352"/>
      <c r="BD90" s="352"/>
      <c r="BE90" s="352"/>
      <c r="BF90" s="353">
        <v>176762.79057454001</v>
      </c>
      <c r="BG90" s="353">
        <v>157231.79733021799</v>
      </c>
      <c r="BH90" s="353">
        <v>129382.73878077</v>
      </c>
      <c r="BI90" s="353">
        <v>183023.54360309601</v>
      </c>
      <c r="BJ90" s="353">
        <v>161762.00973449001</v>
      </c>
      <c r="BK90" s="353">
        <v>146257.50046989199</v>
      </c>
      <c r="BL90" s="353">
        <v>153486.37314588699</v>
      </c>
      <c r="BM90" s="353">
        <v>162960.630025083</v>
      </c>
      <c r="BN90" s="353">
        <v>161147.56253624801</v>
      </c>
      <c r="BO90" s="353">
        <v>178538.46355769501</v>
      </c>
      <c r="BP90" s="353">
        <v>182317.03418521301</v>
      </c>
      <c r="BQ90" s="354">
        <v>163193.20424144401</v>
      </c>
      <c r="BR90" s="173">
        <f>IVA!BF90+IVA!BG90+IVA!BH90</f>
        <v>463377.32668552798</v>
      </c>
      <c r="BS90" s="173">
        <f>IVA!BI90+IVA!BJ90+IVA!BK90</f>
        <v>491043.05380747799</v>
      </c>
      <c r="BT90" s="173">
        <f>IVA!BL90+IVA!BM90+IVA!BN90</f>
        <v>477594.56570721802</v>
      </c>
      <c r="BU90" s="174">
        <f>IVA!BO90+IVA!BP90+IVA!BQ90</f>
        <v>524048.70198435202</v>
      </c>
      <c r="BV90" s="135">
        <f>IVA!BR90+IVA!BS90+IVA!BT90+IVA!BU90</f>
        <v>1956063.6481845761</v>
      </c>
      <c r="BW90" s="136">
        <f>IVA!BR90/IVA!CJ17</f>
        <v>5.2203118448016601E-4</v>
      </c>
      <c r="BX90" s="137">
        <f>IVA!BS90/IVA!CK17</f>
        <v>4.4320251543974722E-4</v>
      </c>
      <c r="BY90" s="136">
        <f>IVA!BT90/IVA!CL17</f>
        <v>4.5160437554877099E-4</v>
      </c>
      <c r="BZ90" s="136">
        <f>IVA!BU90/IVA!CM17</f>
        <v>4.8617724972747532E-4</v>
      </c>
      <c r="CA90" s="271">
        <f>IVA!BV90/IVA!CN17</f>
        <v>1.8940193619265851E-3</v>
      </c>
      <c r="CH90" s="13"/>
      <c r="CI90" s="53">
        <v>2008</v>
      </c>
      <c r="CJ90" s="284">
        <f>IVA!CJ66+IVA!CJ42</f>
        <v>2.6511496155765042E-2</v>
      </c>
      <c r="CK90" s="284">
        <f>IVA!CK66+IVA!CK42</f>
        <v>2.318732548306756E-2</v>
      </c>
      <c r="CL90" s="284">
        <f>IVA!CL66+IVA!CL42</f>
        <v>2.6840529648282464E-2</v>
      </c>
      <c r="CM90" s="285">
        <f>IVA!CM66+IVA!CM42</f>
        <v>2.555675589644496E-2</v>
      </c>
      <c r="CN90" s="286">
        <f>IVA!CN66+IVA!CN42</f>
        <v>0.10182030404551994</v>
      </c>
      <c r="CO90" s="63"/>
      <c r="CP90" s="63"/>
      <c r="CQ90" s="13"/>
      <c r="DY90" s="220" t="s">
        <v>551</v>
      </c>
      <c r="DZ90" s="221"/>
      <c r="EA90" s="204"/>
      <c r="EB90" s="234">
        <v>142947853785</v>
      </c>
      <c r="EC90" s="234">
        <v>19793551934</v>
      </c>
      <c r="ED90" s="234">
        <v>162741405719</v>
      </c>
      <c r="EE90" s="234">
        <v>158524551129.78</v>
      </c>
      <c r="EF90" s="234">
        <v>158508323489.53</v>
      </c>
      <c r="EG90" s="235">
        <v>158149658501.29999</v>
      </c>
      <c r="EH90" s="236">
        <f>IVA!EF90-IVA!EG90</f>
        <v>358664988.23001099</v>
      </c>
      <c r="EJ90" s="31">
        <v>2038</v>
      </c>
      <c r="EK90" s="32">
        <v>10841.953</v>
      </c>
      <c r="EL90" s="33">
        <v>9410.6640000000007</v>
      </c>
      <c r="EN90" s="120" t="s">
        <v>336</v>
      </c>
    </row>
    <row r="91" spans="27:144" ht="12.75" customHeight="1">
      <c r="AA91" s="302">
        <v>2010</v>
      </c>
      <c r="AB91" s="302" t="s">
        <v>539</v>
      </c>
      <c r="AC91" s="311"/>
      <c r="AD91" s="312"/>
      <c r="AE91" s="305">
        <f>IVA!AE74*0.2+120000</f>
        <v>1103806.5333333334</v>
      </c>
      <c r="AF91" s="305">
        <f>IVA!AF74*0.2+120000</f>
        <v>1048028.5333333334</v>
      </c>
      <c r="AG91" s="305">
        <f>IVA!AG74*0.2+120000</f>
        <v>972104.93333333347</v>
      </c>
      <c r="AH91" s="305">
        <f>IVA!AH74*0.2+120000</f>
        <v>958396.33333333337</v>
      </c>
      <c r="AI91" s="305">
        <f>IVA!AI74*0.2+120000</f>
        <v>2405302.3333333335</v>
      </c>
      <c r="AJ91" s="305">
        <f>IVA!AJ74*0.2+120000</f>
        <v>1944329.7333333334</v>
      </c>
      <c r="AK91" s="305">
        <f>IVA!AK74*0.2+120000</f>
        <v>1360781.9333333333</v>
      </c>
      <c r="AL91" s="305">
        <f>IVA!AL74*0.2+120000</f>
        <v>1315488.7333333334</v>
      </c>
      <c r="AM91" s="305">
        <f>IVA!AM74*0.2+120000</f>
        <v>1259046.7333333334</v>
      </c>
      <c r="AN91" s="305">
        <f>IVA!AN74*0.2+120000</f>
        <v>1343342.7333333334</v>
      </c>
      <c r="AO91" s="305">
        <f>IVA!AO74*0.2+120000</f>
        <v>1388950.9333333336</v>
      </c>
      <c r="AP91" s="305">
        <f>IVA!AP74*0.2+120000</f>
        <v>1554746.1333333335</v>
      </c>
      <c r="AQ91" s="126">
        <f>IVA!AE91+IVA!AF91+IVA!AG91</f>
        <v>3123940.0000000005</v>
      </c>
      <c r="AR91" s="126">
        <f>IVA!AH91+IVA!AI91+IVA!AJ91</f>
        <v>5308028.4000000004</v>
      </c>
      <c r="AS91" s="126">
        <f>IVA!AK91+IVA!AL91+IVA!AM91</f>
        <v>3935317.4000000004</v>
      </c>
      <c r="AT91" s="126">
        <f>IVA!AN91+IVA!AO91+IVA!AP91</f>
        <v>4287039.8000000007</v>
      </c>
      <c r="AU91" s="127">
        <f>IVA!AQ91+IVA!AR91+IVA!AS91+IVA!AT91</f>
        <v>16654325.600000001</v>
      </c>
      <c r="AV91" s="128">
        <f>IVA!AQ91/IVA!CJ19</f>
        <v>2.566115291761577E-3</v>
      </c>
      <c r="AW91" s="128">
        <f>IVA!AR91/IVA!CK19</f>
        <v>3.5192460706381626E-3</v>
      </c>
      <c r="AX91" s="128">
        <f>IVA!AS91/IVA!CL19</f>
        <v>2.6846536106923213E-3</v>
      </c>
      <c r="AY91" s="128">
        <f>IVA!AT91/IVA!CM19</f>
        <v>2.714865544587098E-3</v>
      </c>
      <c r="AZ91" s="269">
        <f>IVA!AU91/IVA!CN19</f>
        <v>1.154421620511663E-2</v>
      </c>
      <c r="BA91" s="264">
        <v>2009</v>
      </c>
      <c r="BB91" s="351" t="s">
        <v>541</v>
      </c>
      <c r="BC91" s="352"/>
      <c r="BD91" s="352"/>
      <c r="BE91" s="352"/>
      <c r="BF91" s="353">
        <v>197593.15169999999</v>
      </c>
      <c r="BG91" s="353">
        <v>195446.6078</v>
      </c>
      <c r="BH91" s="353">
        <v>168203.29800000001</v>
      </c>
      <c r="BI91" s="353">
        <v>167909.29130000001</v>
      </c>
      <c r="BJ91" s="353">
        <v>178455.1838</v>
      </c>
      <c r="BK91" s="353">
        <v>148035.815</v>
      </c>
      <c r="BL91" s="353">
        <v>161064.54</v>
      </c>
      <c r="BM91" s="353">
        <v>203198.94500000001</v>
      </c>
      <c r="BN91" s="353">
        <v>207563.8137</v>
      </c>
      <c r="BO91" s="353">
        <v>196649.18369999999</v>
      </c>
      <c r="BP91" s="353">
        <v>227064.61929999999</v>
      </c>
      <c r="BQ91" s="354">
        <v>322422.10340000002</v>
      </c>
      <c r="BR91" s="173">
        <f>IVA!BF91+IVA!BG91+IVA!BH91</f>
        <v>561243.0575</v>
      </c>
      <c r="BS91" s="173">
        <f>IVA!BI91+IVA!BJ91+IVA!BK91</f>
        <v>494400.29010000004</v>
      </c>
      <c r="BT91" s="173">
        <f>IVA!BL91+IVA!BM91+IVA!BN91</f>
        <v>571827.29869999993</v>
      </c>
      <c r="BU91" s="174">
        <f>IVA!BO91+IVA!BP91+IVA!BQ91</f>
        <v>746135.90639999998</v>
      </c>
      <c r="BV91" s="135">
        <f>IVA!BR91+IVA!BS91+IVA!BT91+IVA!BU91</f>
        <v>2373606.5526999999</v>
      </c>
      <c r="BW91" s="136">
        <f>IVA!BR91/IVA!CJ18</f>
        <v>5.652210834855714E-4</v>
      </c>
      <c r="BX91" s="137">
        <f>IVA!BS91/IVA!CK18</f>
        <v>4.135951892869069E-4</v>
      </c>
      <c r="BY91" s="136">
        <f>IVA!BT91/IVA!CL18</f>
        <v>4.8924520037729095E-4</v>
      </c>
      <c r="BZ91" s="136">
        <f>IVA!BU91/IVA!CM18</f>
        <v>6.0923787163964631E-4</v>
      </c>
      <c r="CA91" s="271">
        <f>IVA!BV91/IVA!CN18</f>
        <v>2.0721893388366505E-3</v>
      </c>
      <c r="CH91" s="13"/>
      <c r="CI91" s="53">
        <v>2009</v>
      </c>
      <c r="CJ91" s="284">
        <f>IVA!CJ67+IVA!CJ43</f>
        <v>2.902319942543622E-2</v>
      </c>
      <c r="CK91" s="284">
        <f>IVA!CK67+IVA!CK43</f>
        <v>2.4397370142117233E-2</v>
      </c>
      <c r="CL91" s="284">
        <f>IVA!CL67+IVA!CL43</f>
        <v>2.7716114425659737E-2</v>
      </c>
      <c r="CM91" s="285">
        <f>IVA!CM67+IVA!CM43</f>
        <v>2.63078307171122E-2</v>
      </c>
      <c r="CN91" s="286">
        <f>IVA!CN67+IVA!CN43</f>
        <v>0.10702845005144937</v>
      </c>
      <c r="CO91" s="63"/>
      <c r="CP91" s="63"/>
      <c r="CQ91" s="13"/>
      <c r="DY91" s="175" t="s">
        <v>163</v>
      </c>
      <c r="DZ91" s="45"/>
      <c r="EA91" s="208">
        <v>2012</v>
      </c>
      <c r="EB91" s="225"/>
      <c r="EC91" s="225"/>
      <c r="ED91" s="225"/>
      <c r="EE91" s="225"/>
      <c r="EF91" s="225"/>
      <c r="EG91" s="226"/>
      <c r="EH91" s="227"/>
      <c r="EJ91" s="31">
        <v>2039</v>
      </c>
      <c r="EK91" s="32">
        <v>11097.058999999999</v>
      </c>
      <c r="EL91" s="33">
        <v>9618.3089999999993</v>
      </c>
    </row>
    <row r="92" spans="27:144" ht="12.75" customHeight="1">
      <c r="AA92" s="302">
        <v>2011</v>
      </c>
      <c r="AB92" s="302" t="s">
        <v>539</v>
      </c>
      <c r="AC92" s="311"/>
      <c r="AD92" s="312"/>
      <c r="AE92" s="305">
        <f>IVA!AE75*0.2+120000</f>
        <v>1532493.3333333335</v>
      </c>
      <c r="AF92" s="305">
        <f>IVA!AF75*0.2+120000</f>
        <v>1483874.9333333336</v>
      </c>
      <c r="AG92" s="305">
        <f>IVA!AG75*0.2+120000</f>
        <v>1304491.5333333334</v>
      </c>
      <c r="AH92" s="305">
        <f>IVA!AH75*0.2+120000</f>
        <v>1449376.1333333335</v>
      </c>
      <c r="AI92" s="305">
        <f>IVA!AI75*0.2+120000</f>
        <v>2918402.9333333336</v>
      </c>
      <c r="AJ92" s="305">
        <f>IVA!AJ75*0.2+120000</f>
        <v>2781995.1333333333</v>
      </c>
      <c r="AK92" s="305">
        <f>IVA!AK75*0.2+120000</f>
        <v>1844879.5333333332</v>
      </c>
      <c r="AL92" s="305">
        <f>IVA!AL75*0.2+120000</f>
        <v>1930042.9333333333</v>
      </c>
      <c r="AM92" s="305">
        <f>IVA!AM75*0.2+120000</f>
        <v>1842826.5333333332</v>
      </c>
      <c r="AN92" s="305">
        <f>IVA!AN75*0.2+120000</f>
        <v>1894879.5333333332</v>
      </c>
      <c r="AO92" s="305">
        <f>IVA!AO75*0.2+120000</f>
        <v>1949315.1333333333</v>
      </c>
      <c r="AP92" s="305">
        <f>IVA!AP75*0.2+120000</f>
        <v>2110998.1333333333</v>
      </c>
      <c r="AQ92" s="126">
        <f>IVA!AE92+IVA!AF92+IVA!AG92</f>
        <v>4320859.8000000007</v>
      </c>
      <c r="AR92" s="126">
        <f>IVA!AH92+IVA!AI92+IVA!AJ92</f>
        <v>7149774.2000000011</v>
      </c>
      <c r="AS92" s="126">
        <f>IVA!AK92+IVA!AL92+IVA!AM92</f>
        <v>5617749</v>
      </c>
      <c r="AT92" s="126">
        <f>IVA!AN92+IVA!AO92+IVA!AP92</f>
        <v>5955192.7999999998</v>
      </c>
      <c r="AU92" s="127">
        <f>IVA!AQ92+IVA!AR92+IVA!AS92+IVA!AT92</f>
        <v>23043575.800000001</v>
      </c>
      <c r="AV92" s="128">
        <f>IVA!AQ92/IVA!CJ20</f>
        <v>2.75638870105513E-3</v>
      </c>
      <c r="AW92" s="128">
        <f>IVA!AR92/IVA!CK20</f>
        <v>3.6178905488387877E-3</v>
      </c>
      <c r="AX92" s="128">
        <f>IVA!AS92/IVA!CL20</f>
        <v>3.0115666352325435E-3</v>
      </c>
      <c r="AY92" s="128">
        <f>IVA!AT92/IVA!CM20</f>
        <v>3.0400851603059366E-3</v>
      </c>
      <c r="AZ92" s="269">
        <f>IVA!AU92/IVA!CN20</f>
        <v>1.2509934254013384E-2</v>
      </c>
      <c r="BA92" s="264">
        <v>2010</v>
      </c>
      <c r="BB92" s="351" t="s">
        <v>541</v>
      </c>
      <c r="BC92" s="352"/>
      <c r="BD92" s="352"/>
      <c r="BE92" s="352"/>
      <c r="BF92" s="353">
        <v>317888.10710000002</v>
      </c>
      <c r="BG92" s="353">
        <v>336577.69020000001</v>
      </c>
      <c r="BH92" s="353">
        <v>351324.2403</v>
      </c>
      <c r="BI92" s="353">
        <v>384123.19510000001</v>
      </c>
      <c r="BJ92" s="353">
        <v>368696.20140000002</v>
      </c>
      <c r="BK92" s="353">
        <v>382430.93579999998</v>
      </c>
      <c r="BL92" s="353">
        <v>354450.15100000001</v>
      </c>
      <c r="BM92" s="353">
        <v>327877.45179999998</v>
      </c>
      <c r="BN92" s="353">
        <v>359278.15399999998</v>
      </c>
      <c r="BO92" s="353">
        <v>358442.34899999999</v>
      </c>
      <c r="BP92" s="353">
        <v>398399.72779999999</v>
      </c>
      <c r="BQ92" s="354">
        <v>407268.11050000001</v>
      </c>
      <c r="BR92" s="173">
        <f>IVA!BF92+IVA!BG92+IVA!BH92</f>
        <v>1005790.0375999999</v>
      </c>
      <c r="BS92" s="173">
        <f>IVA!BI92+IVA!BJ92+IVA!BK92</f>
        <v>1135250.3322999999</v>
      </c>
      <c r="BT92" s="173">
        <f>IVA!BL92+IVA!BM92+IVA!BN92</f>
        <v>1041605.7568</v>
      </c>
      <c r="BU92" s="174">
        <f>IVA!BO92+IVA!BP92+IVA!BQ92</f>
        <v>1164110.1872999999</v>
      </c>
      <c r="BV92" s="135">
        <f>IVA!BR92+IVA!BS92+IVA!BT92+IVA!BU92</f>
        <v>4346756.3139999993</v>
      </c>
      <c r="BW92" s="136">
        <f>IVA!BR92/IVA!CJ19</f>
        <v>8.2619166686518015E-4</v>
      </c>
      <c r="BX92" s="137">
        <f>IVA!BS92/IVA!CK19</f>
        <v>7.5267594105891424E-4</v>
      </c>
      <c r="BY92" s="136">
        <f>IVA!BT92/IVA!CL19</f>
        <v>7.1057817494238904E-4</v>
      </c>
      <c r="BZ92" s="136">
        <f>IVA!BU92/IVA!CM19</f>
        <v>7.3719927620070208E-4</v>
      </c>
      <c r="CA92" s="271">
        <f>IVA!BV92/IVA!CN19</f>
        <v>3.0130247171204468E-3</v>
      </c>
      <c r="CH92" s="13"/>
      <c r="CI92" s="53">
        <v>2010</v>
      </c>
      <c r="CJ92" s="284">
        <f>IVA!CJ68+IVA!CJ44</f>
        <v>2.9670987643837059E-2</v>
      </c>
      <c r="CK92" s="284">
        <f>IVA!CK68+IVA!CK44</f>
        <v>2.656971957072863E-2</v>
      </c>
      <c r="CL92" s="284">
        <f>IVA!CL68+IVA!CL44</f>
        <v>2.9554712185796143E-2</v>
      </c>
      <c r="CM92" s="285">
        <f>IVA!CM68+IVA!CM44</f>
        <v>2.7936914609557183E-2</v>
      </c>
      <c r="CN92" s="286">
        <f>IVA!CN68+IVA!CN44</f>
        <v>0.11342537859597046</v>
      </c>
      <c r="CO92" s="63"/>
      <c r="CP92" s="63"/>
      <c r="CQ92" s="13"/>
      <c r="DY92" s="213" t="s">
        <v>552</v>
      </c>
      <c r="EA92" s="177"/>
      <c r="EB92" s="228"/>
      <c r="EC92" s="228"/>
      <c r="ED92" s="228"/>
      <c r="EE92" s="228"/>
      <c r="EF92" s="228"/>
      <c r="EG92" s="229"/>
      <c r="EH92" s="230"/>
      <c r="EJ92" s="31">
        <v>2040</v>
      </c>
      <c r="EK92" s="32">
        <v>11351.348</v>
      </c>
      <c r="EL92" s="33">
        <v>9843.1309999999994</v>
      </c>
    </row>
    <row r="93" spans="27:144" ht="12.75" customHeight="1">
      <c r="AA93" s="321">
        <v>2012</v>
      </c>
      <c r="AB93" s="321" t="s">
        <v>539</v>
      </c>
      <c r="AC93" s="322"/>
      <c r="AD93" s="323"/>
      <c r="AE93" s="355">
        <f>IVA!AE76*0.2+120000</f>
        <v>2010691.0300293334</v>
      </c>
      <c r="AF93" s="355">
        <f>IVA!AF76*0.2+120000</f>
        <v>1879867.5838433334</v>
      </c>
      <c r="AG93" s="355">
        <f>IVA!AG76*0.2+120000</f>
        <v>1664631.6084473336</v>
      </c>
      <c r="AH93" s="355">
        <f>IVA!AH76*0.2+120000</f>
        <v>1603875.2551313334</v>
      </c>
      <c r="AI93" s="355">
        <f>IVA!AI76*0.2+120000</f>
        <v>3087005.1596773337</v>
      </c>
      <c r="AJ93" s="355">
        <f>IVA!AJ76*0.2+120000</f>
        <v>3317243.0089553334</v>
      </c>
      <c r="AK93" s="355">
        <f>IVA!AK76*0.2+120000</f>
        <v>2307564.5676393337</v>
      </c>
      <c r="AL93" s="355">
        <f>IVA!AL76*0.2+120000</f>
        <v>2559198.7226653337</v>
      </c>
      <c r="AM93" s="355">
        <f>IVA!AM76*0.2+120000</f>
        <v>2276784.0355433333</v>
      </c>
      <c r="AN93" s="355">
        <f>IVA!AN76*0.2+120000</f>
        <v>2608300.8271653331</v>
      </c>
      <c r="AO93" s="355">
        <f>IVA!AO76*0.2+120000</f>
        <v>2865958.6963813333</v>
      </c>
      <c r="AP93" s="355">
        <f>IVA!AP76*0.2+120000</f>
        <v>2830799.7132153334</v>
      </c>
      <c r="AQ93" s="247">
        <f>IVA!AE93+IVA!AF93+IVA!AG93</f>
        <v>5555190.2223200006</v>
      </c>
      <c r="AR93" s="247">
        <f>IVA!AH93+IVA!AI93+IVA!AJ93</f>
        <v>8008123.4237640006</v>
      </c>
      <c r="AS93" s="247">
        <f>IVA!AK93+IVA!AL93+IVA!AM93</f>
        <v>7143547.3258480001</v>
      </c>
      <c r="AT93" s="247">
        <f>IVA!AN93+IVA!AO93+IVA!AP93</f>
        <v>8305059.2367619993</v>
      </c>
      <c r="AU93" s="248">
        <f>IVA!AQ93+IVA!AR93+IVA!AS93+IVA!AT93</f>
        <v>29011920.208694</v>
      </c>
      <c r="AV93" s="250">
        <f>IVA!AQ93/IVA!CJ21</f>
        <v>2.9628708314261565E-3</v>
      </c>
      <c r="AW93" s="250">
        <f>IVA!AR93/IVA!CK21</f>
        <v>3.5229009220389463E-3</v>
      </c>
      <c r="AX93" s="250">
        <f>IVA!AS93/IVA!CL21</f>
        <v>3.2724891541305763E-3</v>
      </c>
      <c r="AY93" s="250">
        <f>IVA!AT93/IVA!CM21</f>
        <v>3.5705674801842667E-3</v>
      </c>
      <c r="AZ93" s="294">
        <f>IVA!AU93/IVA!CN21</f>
        <v>1.3405094371011814E-2</v>
      </c>
      <c r="BA93" s="264">
        <v>2011</v>
      </c>
      <c r="BB93" s="351" t="s">
        <v>541</v>
      </c>
      <c r="BC93" s="352"/>
      <c r="BD93" s="352"/>
      <c r="BE93" s="352"/>
      <c r="BF93" s="353">
        <v>432825.06079999998</v>
      </c>
      <c r="BG93" s="353">
        <v>399492.1741</v>
      </c>
      <c r="BH93" s="353">
        <v>363636.13959999999</v>
      </c>
      <c r="BI93" s="353">
        <v>358976.28090000001</v>
      </c>
      <c r="BJ93" s="353">
        <v>356066.69620000001</v>
      </c>
      <c r="BK93" s="353">
        <v>316642.266</v>
      </c>
      <c r="BL93" s="353">
        <v>340039.88949999999</v>
      </c>
      <c r="BM93" s="353">
        <v>364335.2659</v>
      </c>
      <c r="BN93" s="353">
        <v>411199.34389999998</v>
      </c>
      <c r="BO93" s="353">
        <v>408058.68369999999</v>
      </c>
      <c r="BP93" s="353">
        <v>412939.78490000003</v>
      </c>
      <c r="BQ93" s="354">
        <v>431367.81020000001</v>
      </c>
      <c r="BR93" s="173">
        <f>IVA!BF93+IVA!BG93+IVA!BH93</f>
        <v>1195953.3744999999</v>
      </c>
      <c r="BS93" s="173">
        <f>IVA!BI93+IVA!BJ93+IVA!BK93</f>
        <v>1031685.2431000001</v>
      </c>
      <c r="BT93" s="173">
        <f>IVA!BL93+IVA!BM93+IVA!BN93</f>
        <v>1115574.4993</v>
      </c>
      <c r="BU93" s="174">
        <f>IVA!BO93+IVA!BP93+IVA!BQ93</f>
        <v>1252366.2788</v>
      </c>
      <c r="BV93" s="135">
        <f>IVA!BR93+IVA!BS93+IVA!BT93+IVA!BU93</f>
        <v>4595579.3957000002</v>
      </c>
      <c r="BW93" s="136">
        <f>IVA!BR93/IVA!CJ20</f>
        <v>7.6292972256599334E-4</v>
      </c>
      <c r="BX93" s="137">
        <f>IVA!BS93/IVA!CK20</f>
        <v>5.2204785577535258E-4</v>
      </c>
      <c r="BY93" s="136">
        <f>IVA!BT93/IVA!CL20</f>
        <v>5.9803792252165948E-4</v>
      </c>
      <c r="BZ93" s="136">
        <f>IVA!BU93/IVA!CM20</f>
        <v>6.3932441271212026E-4</v>
      </c>
      <c r="CA93" s="271">
        <f>IVA!BV93/IVA!CN20</f>
        <v>2.4948556855184582E-3</v>
      </c>
      <c r="CH93" s="13"/>
      <c r="CI93" s="53">
        <v>2011</v>
      </c>
      <c r="CJ93" s="284">
        <f>IVA!CJ69+IVA!CJ45</f>
        <v>3.1197165814528447E-2</v>
      </c>
      <c r="CK93" s="284">
        <f>IVA!CK69+IVA!CK45</f>
        <v>2.7344065781737398E-2</v>
      </c>
      <c r="CL93" s="284">
        <f>IVA!CL69+IVA!CL45</f>
        <v>3.130310594926717E-2</v>
      </c>
      <c r="CM93" s="285">
        <f>IVA!CM69+IVA!CM45</f>
        <v>2.9564724256599274E-2</v>
      </c>
      <c r="CN93" s="286">
        <f>IVA!CN69+IVA!CN45</f>
        <v>0.11902610437529797</v>
      </c>
      <c r="CO93" s="63"/>
      <c r="CP93" s="63"/>
      <c r="CQ93" s="13"/>
      <c r="DY93" s="213" t="s">
        <v>553</v>
      </c>
      <c r="EA93" s="193"/>
      <c r="EB93" s="228"/>
      <c r="EC93" s="228"/>
      <c r="ED93" s="228"/>
      <c r="EE93" s="228"/>
      <c r="EF93" s="228"/>
      <c r="EG93" s="229"/>
      <c r="EH93" s="230"/>
      <c r="EJ93" s="31">
        <v>2041</v>
      </c>
      <c r="EK93" s="32">
        <v>11615.434999999999</v>
      </c>
      <c r="EL93" s="33">
        <v>10096.402</v>
      </c>
    </row>
    <row r="94" spans="27:144" ht="12.75" customHeight="1">
      <c r="AA94" s="356">
        <v>1996</v>
      </c>
      <c r="AB94" s="356" t="s">
        <v>554</v>
      </c>
      <c r="AC94" s="357"/>
      <c r="AD94" s="358"/>
      <c r="AE94" s="359">
        <v>0</v>
      </c>
      <c r="AF94" s="359">
        <v>8433</v>
      </c>
      <c r="AG94" s="359">
        <v>11945</v>
      </c>
      <c r="AH94" s="359">
        <v>19490</v>
      </c>
      <c r="AI94" s="359">
        <v>15466</v>
      </c>
      <c r="AJ94" s="359">
        <v>12948</v>
      </c>
      <c r="AK94" s="359">
        <v>18671</v>
      </c>
      <c r="AL94" s="359">
        <v>15443</v>
      </c>
      <c r="AM94" s="359">
        <v>11296</v>
      </c>
      <c r="AN94" s="359">
        <v>21322</v>
      </c>
      <c r="AO94" s="359">
        <v>11477</v>
      </c>
      <c r="AP94" s="359">
        <v>25813</v>
      </c>
      <c r="AQ94" s="126">
        <f>IVA!AE94+IVA!AF94+IVA!AG94</f>
        <v>20378</v>
      </c>
      <c r="AR94" s="126">
        <f>IVA!AH94+IVA!AI94+IVA!AJ94</f>
        <v>47904</v>
      </c>
      <c r="AS94" s="126">
        <f>IVA!AK94+IVA!AL94+IVA!AM94</f>
        <v>45410</v>
      </c>
      <c r="AT94" s="126">
        <f>IVA!AN94+IVA!AO94+IVA!AP94</f>
        <v>58612</v>
      </c>
      <c r="AU94" s="127">
        <f>SUM(IVA!AE94:AP94)</f>
        <v>172304</v>
      </c>
      <c r="AV94" s="250"/>
      <c r="AW94" s="250"/>
      <c r="AX94" s="250"/>
      <c r="AY94" s="250"/>
      <c r="AZ94" s="294"/>
      <c r="BA94" s="295">
        <v>2012</v>
      </c>
      <c r="BB94" s="360" t="s">
        <v>541</v>
      </c>
      <c r="BC94" s="361"/>
      <c r="BD94" s="361"/>
      <c r="BE94" s="361"/>
      <c r="BF94" s="362">
        <v>427607.79515145801</v>
      </c>
      <c r="BG94" s="362">
        <v>367413.91075545299</v>
      </c>
      <c r="BH94" s="362">
        <v>443015.02139456401</v>
      </c>
      <c r="BI94" s="362">
        <v>450728.58103810198</v>
      </c>
      <c r="BJ94" s="362">
        <v>374101.27896115399</v>
      </c>
      <c r="BK94" s="362">
        <v>403739.84317467001</v>
      </c>
      <c r="BL94" s="362">
        <v>368174.15954393399</v>
      </c>
      <c r="BM94" s="362">
        <v>516941.79259936803</v>
      </c>
      <c r="BN94" s="362">
        <v>469449.720329531</v>
      </c>
      <c r="BO94" s="362">
        <v>505300.67305646703</v>
      </c>
      <c r="BP94" s="362">
        <v>545275.32854562998</v>
      </c>
      <c r="BQ94" s="363">
        <v>555785.83522519004</v>
      </c>
      <c r="BR94" s="257">
        <f>IVA!BF94+IVA!BG94+IVA!BH94</f>
        <v>1238036.7273014751</v>
      </c>
      <c r="BS94" s="257">
        <f>IVA!BI94+IVA!BJ94+IVA!BK94</f>
        <v>1228569.7031739261</v>
      </c>
      <c r="BT94" s="257">
        <f>IVA!BL94+IVA!BM94+IVA!BN94</f>
        <v>1354565.672472833</v>
      </c>
      <c r="BU94" s="258">
        <f>IVA!BO94+IVA!BP94+IVA!BQ94</f>
        <v>1606361.836827287</v>
      </c>
      <c r="BV94" s="259">
        <f>IVA!BR94+IVA!BS94+IVA!BT94+IVA!BU94</f>
        <v>5427533.9397755209</v>
      </c>
      <c r="BW94" s="260">
        <f>IVA!BR94/IVA!CJ21</f>
        <v>6.6030914527782307E-4</v>
      </c>
      <c r="BX94" s="261">
        <f>IVA!BS94/IVA!CK21</f>
        <v>5.4046736183621647E-4</v>
      </c>
      <c r="BY94" s="262">
        <f>IVA!BT94/IVA!CL21</f>
        <v>6.2053224672921521E-4</v>
      </c>
      <c r="BZ94" s="262">
        <f>IVA!BU94/IVA!CM21</f>
        <v>6.9061799229511557E-4</v>
      </c>
      <c r="CA94" s="301">
        <f>IVA!BV94/IVA!CN21</f>
        <v>2.5078176191439218E-3</v>
      </c>
      <c r="CH94" s="13"/>
      <c r="CI94" s="231">
        <v>2012</v>
      </c>
      <c r="CJ94" s="314">
        <f>IVA!CJ70+IVA!CJ46</f>
        <v>3.3963712837466471E-2</v>
      </c>
      <c r="CK94" s="314">
        <f>IVA!CK70+IVA!CK46</f>
        <v>2.9620201084879082E-2</v>
      </c>
      <c r="CL94" s="314">
        <f>IVA!CL70+IVA!CL46</f>
        <v>3.4379444781450282E-2</v>
      </c>
      <c r="CM94" s="315">
        <f>IVA!CM70+IVA!CM46</f>
        <v>3.3013478426178001E-2</v>
      </c>
      <c r="CN94" s="316">
        <f>IVA!CN70+IVA!CN46</f>
        <v>0.13069082448268435</v>
      </c>
      <c r="CO94" s="64"/>
      <c r="CP94" s="64"/>
      <c r="CQ94" s="364"/>
      <c r="DY94" s="220" t="s">
        <v>555</v>
      </c>
      <c r="DZ94" s="221"/>
      <c r="EA94" s="204"/>
      <c r="EB94" s="234"/>
      <c r="EC94" s="234"/>
      <c r="ED94" s="234"/>
      <c r="EE94" s="234"/>
      <c r="EF94" s="234"/>
      <c r="EG94" s="235"/>
      <c r="EH94" s="236"/>
      <c r="EJ94" s="31">
        <v>2042</v>
      </c>
      <c r="EK94" s="32">
        <v>11879.425999999999</v>
      </c>
      <c r="EL94" s="33">
        <v>10367.154</v>
      </c>
    </row>
    <row r="95" spans="27:144" ht="12.75" customHeight="1">
      <c r="AA95" s="356">
        <v>1997</v>
      </c>
      <c r="AB95" s="356" t="s">
        <v>554</v>
      </c>
      <c r="AC95" s="365"/>
      <c r="AD95" s="366"/>
      <c r="AE95" s="367">
        <v>15177</v>
      </c>
      <c r="AF95" s="367">
        <v>17878</v>
      </c>
      <c r="AG95" s="367">
        <v>15752</v>
      </c>
      <c r="AH95" s="367">
        <v>16384</v>
      </c>
      <c r="AI95" s="367">
        <v>16281</v>
      </c>
      <c r="AJ95" s="367">
        <v>16892</v>
      </c>
      <c r="AK95" s="367">
        <v>13784</v>
      </c>
      <c r="AL95" s="367">
        <v>13070</v>
      </c>
      <c r="AM95" s="367">
        <v>20110</v>
      </c>
      <c r="AN95" s="367">
        <v>15569</v>
      </c>
      <c r="AO95" s="367">
        <v>13582</v>
      </c>
      <c r="AP95" s="367">
        <v>19346</v>
      </c>
      <c r="AQ95" s="126">
        <f>IVA!AE95+IVA!AF95+IVA!AG95</f>
        <v>48807</v>
      </c>
      <c r="AR95" s="126">
        <f>IVA!AH95+IVA!AI95+IVA!AJ95</f>
        <v>49557</v>
      </c>
      <c r="AS95" s="126">
        <f>IVA!AK95+IVA!AL95+IVA!AM95</f>
        <v>46964</v>
      </c>
      <c r="AT95" s="126">
        <f>IVA!AN95+IVA!AO95+IVA!AP95</f>
        <v>48497</v>
      </c>
      <c r="AU95" s="127">
        <f>IVA!AQ95+IVA!AR95+IVA!AS95+IVA!AT95</f>
        <v>193825</v>
      </c>
      <c r="AV95" s="128">
        <f>IVA!AQ95/IVA!CJ6</f>
        <v>1.7992700729927008E-4</v>
      </c>
      <c r="AW95" s="128">
        <f>IVA!AR95/IVA!CK6</f>
        <v>1.6526021423324654E-4</v>
      </c>
      <c r="AX95" s="128">
        <f>IVA!AS95/IVA!CL6</f>
        <v>1.5745729917028919E-4</v>
      </c>
      <c r="AY95" s="128">
        <f>IVA!AT95/IVA!CM6</f>
        <v>1.6056614278184633E-4</v>
      </c>
      <c r="AZ95" s="269">
        <f>IVA!AU95/IVA!CN6</f>
        <v>6.6183754362308803E-4</v>
      </c>
      <c r="BA95" s="264">
        <v>1996</v>
      </c>
      <c r="BB95" s="368" t="s">
        <v>556</v>
      </c>
      <c r="BC95" s="369"/>
      <c r="BD95" s="369"/>
      <c r="BE95" s="369"/>
      <c r="BF95" s="370">
        <v>0</v>
      </c>
      <c r="BG95" s="370">
        <v>0</v>
      </c>
      <c r="BH95" s="370">
        <v>0</v>
      </c>
      <c r="BI95" s="370">
        <v>0</v>
      </c>
      <c r="BJ95" s="370">
        <v>0</v>
      </c>
      <c r="BK95" s="370">
        <v>0</v>
      </c>
      <c r="BL95" s="370">
        <v>0</v>
      </c>
      <c r="BM95" s="370">
        <v>0</v>
      </c>
      <c r="BN95" s="370">
        <v>0</v>
      </c>
      <c r="BO95" s="370">
        <v>0</v>
      </c>
      <c r="BP95" s="370">
        <v>0</v>
      </c>
      <c r="BQ95" s="371">
        <v>0</v>
      </c>
      <c r="BR95" s="173">
        <f>IVA!BF95+IVA!BG95+IVA!BH95</f>
        <v>0</v>
      </c>
      <c r="BS95" s="173">
        <f>IVA!BI95+IVA!BJ95+IVA!BK95</f>
        <v>0</v>
      </c>
      <c r="BT95" s="173">
        <f>IVA!BL95+IVA!BM95+IVA!BN95</f>
        <v>0</v>
      </c>
      <c r="BU95" s="174">
        <f>IVA!BO95+IVA!BP95+IVA!BQ95</f>
        <v>0</v>
      </c>
      <c r="BV95" s="259"/>
      <c r="BW95" s="260"/>
      <c r="BX95" s="261"/>
      <c r="BY95" s="262"/>
      <c r="BZ95" s="262"/>
      <c r="CA95" s="301"/>
      <c r="CI95" s="237"/>
      <c r="CJ95" s="26"/>
      <c r="CK95" s="26"/>
      <c r="CL95" s="26"/>
      <c r="CM95" s="26"/>
      <c r="CN95" s="26"/>
      <c r="CO95" s="26"/>
      <c r="CP95" s="26"/>
      <c r="CQ95" s="27"/>
      <c r="EJ95" s="31">
        <v>2043</v>
      </c>
      <c r="EK95" s="32">
        <v>12140.553</v>
      </c>
      <c r="EL95" s="33">
        <v>10645.144</v>
      </c>
    </row>
    <row r="96" spans="27:144" ht="12.75" customHeight="1">
      <c r="AA96" s="356">
        <v>1998</v>
      </c>
      <c r="AB96" s="356" t="s">
        <v>554</v>
      </c>
      <c r="AC96" s="357"/>
      <c r="AD96" s="358"/>
      <c r="AE96" s="367">
        <v>17062</v>
      </c>
      <c r="AF96" s="367">
        <v>13722</v>
      </c>
      <c r="AG96" s="367">
        <v>19763</v>
      </c>
      <c r="AH96" s="367">
        <v>15878</v>
      </c>
      <c r="AI96" s="367">
        <v>12691</v>
      </c>
      <c r="AJ96" s="367">
        <v>20174</v>
      </c>
      <c r="AK96" s="367">
        <v>15243</v>
      </c>
      <c r="AL96" s="367">
        <v>16802</v>
      </c>
      <c r="AM96" s="367">
        <v>16018</v>
      </c>
      <c r="AN96" s="367">
        <v>16327</v>
      </c>
      <c r="AO96" s="367">
        <v>17938</v>
      </c>
      <c r="AP96" s="367">
        <v>16148</v>
      </c>
      <c r="AQ96" s="126">
        <f>IVA!AE96+IVA!AF96+IVA!AG96</f>
        <v>50547</v>
      </c>
      <c r="AR96" s="126">
        <f>IVA!AH96+IVA!AI96+IVA!AJ96</f>
        <v>48743</v>
      </c>
      <c r="AS96" s="126">
        <f>IVA!AK96+IVA!AL96+IVA!AM96</f>
        <v>48063</v>
      </c>
      <c r="AT96" s="126">
        <f>IVA!AN96+IVA!AO96+IVA!AP96</f>
        <v>50413</v>
      </c>
      <c r="AU96" s="127">
        <f>IVA!AQ96+IVA!AR96+IVA!AS96+IVA!AT96</f>
        <v>197766</v>
      </c>
      <c r="AV96" s="128">
        <f>IVA!AQ96/IVA!CJ7</f>
        <v>1.7876037968058168E-4</v>
      </c>
      <c r="AW96" s="128">
        <f>IVA!AR96/IVA!CK7</f>
        <v>1.5616294115815599E-4</v>
      </c>
      <c r="AX96" s="128">
        <f>IVA!AS96/IVA!CL7</f>
        <v>1.5733869040921426E-4</v>
      </c>
      <c r="AY96" s="128">
        <f>IVA!AT96/IVA!CM7</f>
        <v>1.7064549362825121E-4</v>
      </c>
      <c r="AZ96" s="269">
        <f>IVA!AU96/IVA!CN7</f>
        <v>6.6153900612282257E-4</v>
      </c>
      <c r="BA96" s="270">
        <v>1997</v>
      </c>
      <c r="BB96" s="368" t="s">
        <v>556</v>
      </c>
      <c r="BC96" s="369"/>
      <c r="BD96" s="369"/>
      <c r="BE96" s="369"/>
      <c r="BF96" s="370">
        <v>0</v>
      </c>
      <c r="BG96" s="370">
        <v>0</v>
      </c>
      <c r="BH96" s="370">
        <v>0</v>
      </c>
      <c r="BI96" s="370">
        <v>0</v>
      </c>
      <c r="BJ96" s="370">
        <v>0</v>
      </c>
      <c r="BK96" s="370">
        <v>0</v>
      </c>
      <c r="BL96" s="370">
        <v>0</v>
      </c>
      <c r="BM96" s="370">
        <v>0</v>
      </c>
      <c r="BN96" s="370">
        <v>0</v>
      </c>
      <c r="BO96" s="370">
        <v>0</v>
      </c>
      <c r="BP96" s="370">
        <v>0</v>
      </c>
      <c r="BQ96" s="371">
        <v>0</v>
      </c>
      <c r="BR96" s="173">
        <f>IVA!BF96+IVA!BG96+IVA!BH96</f>
        <v>0</v>
      </c>
      <c r="BS96" s="173">
        <f>IVA!BI96+IVA!BJ96+IVA!BK96</f>
        <v>0</v>
      </c>
      <c r="BT96" s="173">
        <f>IVA!BL96+IVA!BM96+IVA!BN96</f>
        <v>0</v>
      </c>
      <c r="BU96" s="174">
        <f>IVA!BO96+IVA!BP96+IVA!BQ96</f>
        <v>0</v>
      </c>
      <c r="BV96" s="135">
        <f>IVA!BR96+IVA!BS96+IVA!BT96+IVA!BU96</f>
        <v>0</v>
      </c>
      <c r="BW96" s="136">
        <f>IVA!BR96/IVA!CJ6</f>
        <v>0</v>
      </c>
      <c r="BX96" s="137">
        <f>IVA!BS96/IVA!CK6</f>
        <v>0</v>
      </c>
      <c r="BY96" s="136">
        <f>IVA!BT96/IVA!CL6</f>
        <v>0</v>
      </c>
      <c r="BZ96" s="136">
        <f>IVA!BU96/IVA!CM6</f>
        <v>0</v>
      </c>
      <c r="CA96" s="271">
        <f>IVA!BV96/IVA!CN6</f>
        <v>0</v>
      </c>
      <c r="CI96" s="237"/>
      <c r="CJ96" s="26"/>
      <c r="CK96" s="26"/>
      <c r="CL96" s="26"/>
      <c r="CM96" s="26"/>
      <c r="CN96" s="26"/>
      <c r="CO96" s="26"/>
      <c r="CP96" s="26"/>
      <c r="CQ96" s="27"/>
      <c r="EJ96" s="31">
        <v>2044</v>
      </c>
      <c r="EK96" s="32">
        <v>12394.473</v>
      </c>
      <c r="EL96" s="33">
        <v>10913.886</v>
      </c>
    </row>
    <row r="97" spans="27:142" ht="12.75" customHeight="1">
      <c r="AA97" s="356">
        <v>1999</v>
      </c>
      <c r="AB97" s="356" t="s">
        <v>554</v>
      </c>
      <c r="AC97" s="357"/>
      <c r="AD97" s="358"/>
      <c r="AE97" s="367">
        <v>14584</v>
      </c>
      <c r="AF97" s="367">
        <v>15179</v>
      </c>
      <c r="AG97" s="367">
        <v>19948</v>
      </c>
      <c r="AH97" s="367">
        <v>16044</v>
      </c>
      <c r="AI97" s="367">
        <v>16336</v>
      </c>
      <c r="AJ97" s="367">
        <v>16191</v>
      </c>
      <c r="AK97" s="367">
        <v>15289</v>
      </c>
      <c r="AL97" s="367">
        <v>17010</v>
      </c>
      <c r="AM97" s="367">
        <v>15596</v>
      </c>
      <c r="AN97" s="367">
        <v>12955</v>
      </c>
      <c r="AO97" s="367">
        <v>20791</v>
      </c>
      <c r="AP97" s="367">
        <v>17071</v>
      </c>
      <c r="AQ97" s="126">
        <f>IVA!AE97+IVA!AF97+IVA!AG97</f>
        <v>49711</v>
      </c>
      <c r="AR97" s="126">
        <f>IVA!AH97+IVA!AI97+IVA!AJ97</f>
        <v>48571</v>
      </c>
      <c r="AS97" s="126">
        <f>IVA!AK97+IVA!AL97+IVA!AM97</f>
        <v>47895</v>
      </c>
      <c r="AT97" s="126">
        <f>IVA!AN97+IVA!AO97+IVA!AP97</f>
        <v>50817</v>
      </c>
      <c r="AU97" s="127">
        <f>IVA!AQ97+IVA!AR97+IVA!AS97+IVA!AT97</f>
        <v>196994</v>
      </c>
      <c r="AV97" s="128">
        <f>IVA!AQ97/IVA!CJ8</f>
        <v>1.8360751405376258E-4</v>
      </c>
      <c r="AW97" s="128">
        <f>IVA!AR97/IVA!CK8</f>
        <v>1.6816474821334835E-4</v>
      </c>
      <c r="AX97" s="128">
        <f>IVA!AS97/IVA!CL8</f>
        <v>1.680013343517566E-4</v>
      </c>
      <c r="AY97" s="128">
        <f>IVA!AT97/IVA!CM8</f>
        <v>1.7557684277555988E-4</v>
      </c>
      <c r="AZ97" s="269">
        <f>IVA!AU97/IVA!CN8</f>
        <v>6.9480776987419259E-4</v>
      </c>
      <c r="BA97" s="264">
        <v>1998</v>
      </c>
      <c r="BB97" s="368" t="s">
        <v>556</v>
      </c>
      <c r="BC97" s="369"/>
      <c r="BD97" s="369"/>
      <c r="BE97" s="369"/>
      <c r="BF97" s="370">
        <v>0</v>
      </c>
      <c r="BG97" s="370">
        <v>0</v>
      </c>
      <c r="BH97" s="370">
        <v>0</v>
      </c>
      <c r="BI97" s="370">
        <v>0</v>
      </c>
      <c r="BJ97" s="370">
        <v>0</v>
      </c>
      <c r="BK97" s="370">
        <v>0</v>
      </c>
      <c r="BL97" s="370">
        <v>0</v>
      </c>
      <c r="BM97" s="370">
        <v>0</v>
      </c>
      <c r="BN97" s="370">
        <v>0</v>
      </c>
      <c r="BO97" s="370">
        <v>0</v>
      </c>
      <c r="BP97" s="370">
        <v>0</v>
      </c>
      <c r="BQ97" s="371">
        <v>0</v>
      </c>
      <c r="BR97" s="173">
        <f>IVA!BF97+IVA!BG97+IVA!BH97</f>
        <v>0</v>
      </c>
      <c r="BS97" s="173">
        <f>IVA!BI97+IVA!BJ97+IVA!BK97</f>
        <v>0</v>
      </c>
      <c r="BT97" s="173">
        <f>IVA!BL97+IVA!BM97+IVA!BN97</f>
        <v>0</v>
      </c>
      <c r="BU97" s="174">
        <f>IVA!BO97+IVA!BP97+IVA!BQ97</f>
        <v>0</v>
      </c>
      <c r="BV97" s="135">
        <f>IVA!BR97+IVA!BS97+IVA!BT97+IVA!BU97</f>
        <v>0</v>
      </c>
      <c r="BW97" s="136">
        <f>IVA!BR97/IVA!CJ7</f>
        <v>0</v>
      </c>
      <c r="BX97" s="137">
        <f>IVA!BS97/IVA!CK7</f>
        <v>0</v>
      </c>
      <c r="BY97" s="136">
        <f>IVA!BT97/IVA!CL7</f>
        <v>0</v>
      </c>
      <c r="BZ97" s="136">
        <f>IVA!BU97/IVA!CM7</f>
        <v>0</v>
      </c>
      <c r="CA97" s="271">
        <f>IVA!BV97/IVA!CN7</f>
        <v>0</v>
      </c>
      <c r="CI97" s="25" t="s">
        <v>557</v>
      </c>
      <c r="CJ97" s="26"/>
      <c r="CK97" s="26"/>
      <c r="CL97" s="26"/>
      <c r="CM97" s="26"/>
      <c r="CN97" s="26"/>
      <c r="CO97" s="26"/>
      <c r="CP97" s="26"/>
      <c r="CQ97" s="27"/>
      <c r="EJ97" s="31">
        <v>2045</v>
      </c>
      <c r="EK97" s="32">
        <v>12639.037</v>
      </c>
      <c r="EL97" s="33">
        <v>11163.808000000001</v>
      </c>
    </row>
    <row r="98" spans="27:142" ht="12.75" customHeight="1">
      <c r="AA98" s="356">
        <v>2000</v>
      </c>
      <c r="AB98" s="356" t="s">
        <v>554</v>
      </c>
      <c r="AC98" s="357"/>
      <c r="AD98" s="358"/>
      <c r="AE98" s="367">
        <v>31046.839100000001</v>
      </c>
      <c r="AF98" s="367">
        <v>49270.084540000003</v>
      </c>
      <c r="AG98" s="367">
        <v>40197.968079999999</v>
      </c>
      <c r="AH98" s="367">
        <v>50831.705670000003</v>
      </c>
      <c r="AI98" s="367">
        <v>57176.789599999996</v>
      </c>
      <c r="AJ98" s="367">
        <v>47571.928800000002</v>
      </c>
      <c r="AK98" s="367">
        <v>41448.262600000002</v>
      </c>
      <c r="AL98" s="367">
        <v>39396.092400000001</v>
      </c>
      <c r="AM98" s="367">
        <v>28850.156999999999</v>
      </c>
      <c r="AN98" s="367">
        <v>56198.981899999999</v>
      </c>
      <c r="AO98" s="367">
        <v>18664.029419999999</v>
      </c>
      <c r="AP98" s="367">
        <v>26601.916150000001</v>
      </c>
      <c r="AQ98" s="126">
        <f>IVA!AE98+IVA!AF98+IVA!AG98</f>
        <v>120514.89172000001</v>
      </c>
      <c r="AR98" s="126">
        <f>IVA!AH98+IVA!AI98+IVA!AJ98</f>
        <v>155580.42407000001</v>
      </c>
      <c r="AS98" s="126">
        <f>IVA!AK98+IVA!AL98+IVA!AM98</f>
        <v>109694.51200000002</v>
      </c>
      <c r="AT98" s="126">
        <f>IVA!AN98+IVA!AO98+IVA!AP98</f>
        <v>101464.92747</v>
      </c>
      <c r="AU98" s="127">
        <f>IVA!AQ98+IVA!AR98+IVA!AS98+IVA!AT98</f>
        <v>487254.75526000001</v>
      </c>
      <c r="AV98" s="128">
        <f>IVA!AQ98/IVA!CJ9</f>
        <v>4.4561865569212115E-4</v>
      </c>
      <c r="AW98" s="128">
        <f>IVA!AR98/IVA!CK9</f>
        <v>5.3318216047872069E-4</v>
      </c>
      <c r="AX98" s="128">
        <f>IVA!AS98/IVA!CL9</f>
        <v>3.8155191183649226E-4</v>
      </c>
      <c r="AY98" s="128">
        <f>IVA!AT98/IVA!CM9</f>
        <v>3.5343902933673686E-4</v>
      </c>
      <c r="AZ98" s="269">
        <f>IVA!AU98/IVA!CN9</f>
        <v>1.714455821148062E-3</v>
      </c>
      <c r="BA98" s="264">
        <v>1999</v>
      </c>
      <c r="BB98" s="368" t="s">
        <v>556</v>
      </c>
      <c r="BC98" s="369"/>
      <c r="BD98" s="369"/>
      <c r="BE98" s="369"/>
      <c r="BF98" s="370">
        <v>0</v>
      </c>
      <c r="BG98" s="370">
        <v>95490</v>
      </c>
      <c r="BH98" s="370">
        <v>100975</v>
      </c>
      <c r="BI98" s="370">
        <v>104753</v>
      </c>
      <c r="BJ98" s="370">
        <v>82269</v>
      </c>
      <c r="BK98" s="370">
        <v>50824</v>
      </c>
      <c r="BL98" s="370">
        <v>49985</v>
      </c>
      <c r="BM98" s="370">
        <v>52554</v>
      </c>
      <c r="BN98" s="370">
        <v>50906</v>
      </c>
      <c r="BO98" s="370">
        <v>52032</v>
      </c>
      <c r="BP98" s="370">
        <v>50171</v>
      </c>
      <c r="BQ98" s="371">
        <v>49759</v>
      </c>
      <c r="BR98" s="173">
        <f>IVA!BF98+IVA!BG98+IVA!BH98</f>
        <v>196465</v>
      </c>
      <c r="BS98" s="173">
        <f>IVA!BI98+IVA!BJ98+IVA!BK98</f>
        <v>237846</v>
      </c>
      <c r="BT98" s="173">
        <f>IVA!BL98+IVA!BM98+IVA!BN98</f>
        <v>153445</v>
      </c>
      <c r="BU98" s="174">
        <f>IVA!BO98+IVA!BP98+IVA!BQ98</f>
        <v>151962</v>
      </c>
      <c r="BV98" s="135">
        <f>IVA!BR98+IVA!BS98+IVA!BT98+IVA!BU98</f>
        <v>739718</v>
      </c>
      <c r="BW98" s="136">
        <f>IVA!BR98/IVA!CJ8</f>
        <v>7.2564322279922882E-4</v>
      </c>
      <c r="BX98" s="137">
        <f>IVA!BS98/IVA!CK8</f>
        <v>8.234813510850518E-4</v>
      </c>
      <c r="BY98" s="136">
        <f>IVA!BT98/IVA!CL8</f>
        <v>5.3823916378756222E-4</v>
      </c>
      <c r="BZ98" s="136">
        <f>IVA!BU98/IVA!CM8</f>
        <v>5.2504099379852465E-4</v>
      </c>
      <c r="CA98" s="271">
        <f>IVA!BV98/IVA!CN8</f>
        <v>2.6090226804663997E-3</v>
      </c>
      <c r="CI98" s="237"/>
      <c r="CJ98" s="26"/>
      <c r="CK98" s="26"/>
      <c r="CL98" s="26"/>
      <c r="CM98" s="26"/>
      <c r="CN98" s="26"/>
      <c r="CO98" s="26"/>
      <c r="CP98" s="26"/>
      <c r="CQ98" s="27"/>
      <c r="EJ98" s="31">
        <v>2046</v>
      </c>
      <c r="EK98" s="32">
        <v>12882.076999999999</v>
      </c>
      <c r="EL98" s="33">
        <v>11406.061</v>
      </c>
    </row>
    <row r="99" spans="27:142" ht="12.75" customHeight="1">
      <c r="AA99" s="356">
        <v>2001</v>
      </c>
      <c r="AB99" s="356" t="s">
        <v>554</v>
      </c>
      <c r="AC99" s="357"/>
      <c r="AD99" s="358"/>
      <c r="AE99" s="367">
        <v>40056.855199999998</v>
      </c>
      <c r="AF99" s="367">
        <v>23574.369259999999</v>
      </c>
      <c r="AG99" s="367">
        <v>22601.233960000001</v>
      </c>
      <c r="AH99" s="367">
        <v>17459.56136</v>
      </c>
      <c r="AI99" s="367">
        <v>15014.27433</v>
      </c>
      <c r="AJ99" s="367">
        <v>13119.98309</v>
      </c>
      <c r="AK99" s="367">
        <v>20025.12111</v>
      </c>
      <c r="AL99" s="367">
        <v>15077.02339</v>
      </c>
      <c r="AM99" s="367">
        <v>12518.17374</v>
      </c>
      <c r="AN99" s="367">
        <v>19146.361519999999</v>
      </c>
      <c r="AO99" s="367">
        <v>16114.9123</v>
      </c>
      <c r="AP99" s="367">
        <v>11145.43043</v>
      </c>
      <c r="AQ99" s="126">
        <f>IVA!AE99+IVA!AF99+IVA!AG99</f>
        <v>86232.458419999995</v>
      </c>
      <c r="AR99" s="126">
        <f>IVA!AH99+IVA!AI99+IVA!AJ99</f>
        <v>45593.818780000001</v>
      </c>
      <c r="AS99" s="126">
        <f>IVA!AK99+IVA!AL99+IVA!AM99</f>
        <v>47620.318240000001</v>
      </c>
      <c r="AT99" s="126">
        <f>IVA!AN99+IVA!AO99+IVA!AP99</f>
        <v>46406.704250000003</v>
      </c>
      <c r="AU99" s="127">
        <f>IVA!AQ99+IVA!AR99+IVA!AS99+IVA!AT99</f>
        <v>225853.29969000001</v>
      </c>
      <c r="AV99" s="128">
        <f>IVA!AQ99/IVA!CJ10</f>
        <v>3.2746793358928494E-4</v>
      </c>
      <c r="AW99" s="128">
        <f>IVA!AR99/IVA!CK10</f>
        <v>1.5829753866424169E-4</v>
      </c>
      <c r="AX99" s="128">
        <f>IVA!AS99/IVA!CL10</f>
        <v>1.7548293782230289E-4</v>
      </c>
      <c r="AY99" s="128">
        <f>IVA!AT99/IVA!CM10</f>
        <v>1.8410760207101585E-4</v>
      </c>
      <c r="AZ99" s="269">
        <f>IVA!AU99/IVA!CN10</f>
        <v>8.4055104608402942E-4</v>
      </c>
      <c r="BA99" s="264">
        <v>2000</v>
      </c>
      <c r="BB99" s="368" t="s">
        <v>556</v>
      </c>
      <c r="BC99" s="369"/>
      <c r="BD99" s="369"/>
      <c r="BE99" s="369"/>
      <c r="BF99" s="370">
        <v>48328.661370000002</v>
      </c>
      <c r="BG99" s="370">
        <v>50460.431259999998</v>
      </c>
      <c r="BH99" s="370">
        <v>46924.793680000002</v>
      </c>
      <c r="BI99" s="370">
        <v>48187.19627</v>
      </c>
      <c r="BJ99" s="370">
        <v>55278.555800000002</v>
      </c>
      <c r="BK99" s="370">
        <v>48411.299769999998</v>
      </c>
      <c r="BL99" s="370">
        <v>44940.106500000002</v>
      </c>
      <c r="BM99" s="370">
        <v>47560.575700000001</v>
      </c>
      <c r="BN99" s="370">
        <v>45678.188499999997</v>
      </c>
      <c r="BO99" s="370">
        <v>49201.580099999999</v>
      </c>
      <c r="BP99" s="370">
        <v>51195.835879999999</v>
      </c>
      <c r="BQ99" s="371">
        <v>63967.491779999997</v>
      </c>
      <c r="BR99" s="173">
        <f>IVA!BF99+IVA!BG99+IVA!BH99</f>
        <v>145713.88631</v>
      </c>
      <c r="BS99" s="173">
        <f>IVA!BI99+IVA!BJ99+IVA!BK99</f>
        <v>151877.05184</v>
      </c>
      <c r="BT99" s="173">
        <f>IVA!BL99+IVA!BM99+IVA!BN99</f>
        <v>138178.8707</v>
      </c>
      <c r="BU99" s="174">
        <f>IVA!BO99+IVA!BP99+IVA!BQ99</f>
        <v>164364.90775999997</v>
      </c>
      <c r="BV99" s="135">
        <f>IVA!BR99+IVA!BS99+IVA!BT99+IVA!BU99</f>
        <v>600134.71661</v>
      </c>
      <c r="BW99" s="136">
        <f>IVA!BR99/IVA!CJ9</f>
        <v>5.3879504189407047E-4</v>
      </c>
      <c r="BX99" s="137">
        <f>IVA!BS99/IVA!CK9</f>
        <v>5.2049051229449998E-4</v>
      </c>
      <c r="BY99" s="136">
        <f>IVA!BT99/IVA!CL9</f>
        <v>4.8062944380474067E-4</v>
      </c>
      <c r="BZ99" s="136">
        <f>IVA!BU99/IVA!CM9</f>
        <v>5.7254240360929604E-4</v>
      </c>
      <c r="CA99" s="271">
        <f>IVA!BV99/IVA!CN9</f>
        <v>2.1116355402545674E-3</v>
      </c>
      <c r="CI99" s="237"/>
      <c r="CJ99" s="26"/>
      <c r="CK99" s="26"/>
      <c r="CL99" s="26"/>
      <c r="CM99" s="26"/>
      <c r="CN99" s="26"/>
      <c r="CO99" s="26"/>
      <c r="CP99" s="26"/>
      <c r="CQ99" s="27"/>
      <c r="EJ99" s="31">
        <v>2047</v>
      </c>
      <c r="EK99" s="32">
        <v>13118.717000000001</v>
      </c>
      <c r="EL99" s="33">
        <v>11633.717000000001</v>
      </c>
    </row>
    <row r="100" spans="27:142" ht="12.75" customHeight="1">
      <c r="AA100" s="356">
        <v>2002</v>
      </c>
      <c r="AB100" s="356" t="s">
        <v>554</v>
      </c>
      <c r="AC100" s="357"/>
      <c r="AD100" s="358"/>
      <c r="AE100" s="367">
        <v>22867.59895</v>
      </c>
      <c r="AF100" s="367">
        <v>13214.757449999999</v>
      </c>
      <c r="AG100" s="367">
        <v>15155.33966</v>
      </c>
      <c r="AH100" s="367">
        <v>19793.238310000001</v>
      </c>
      <c r="AI100" s="367">
        <v>16906.7945</v>
      </c>
      <c r="AJ100" s="367">
        <v>13243.252339999999</v>
      </c>
      <c r="AK100" s="367">
        <v>20689.135419999999</v>
      </c>
      <c r="AL100" s="367">
        <v>18094.73271</v>
      </c>
      <c r="AM100" s="367">
        <v>19195.111819999998</v>
      </c>
      <c r="AN100" s="367">
        <v>17625.712879999999</v>
      </c>
      <c r="AO100" s="367">
        <v>15122.65927</v>
      </c>
      <c r="AP100" s="367">
        <v>25725.758669999999</v>
      </c>
      <c r="AQ100" s="126">
        <f>IVA!AE100+IVA!AF100+IVA!AG100</f>
        <v>51237.696059999995</v>
      </c>
      <c r="AR100" s="126">
        <f>IVA!AH100+IVA!AI100+IVA!AJ100</f>
        <v>49943.285150000003</v>
      </c>
      <c r="AS100" s="126">
        <f>IVA!AK100+IVA!AL100+IVA!AM100</f>
        <v>57978.979950000001</v>
      </c>
      <c r="AT100" s="126">
        <f>IVA!AN100+IVA!AO100+IVA!AP100</f>
        <v>58474.130819999998</v>
      </c>
      <c r="AU100" s="127">
        <f>IVA!AQ100+IVA!AR100+IVA!AS100+IVA!AT100</f>
        <v>217634.09198</v>
      </c>
      <c r="AV100" s="128">
        <f>IVA!AQ100/IVA!CJ11</f>
        <v>2.1614082714283903E-4</v>
      </c>
      <c r="AW100" s="128">
        <f>IVA!AR100/IVA!CK11</f>
        <v>1.4732176066114069E-4</v>
      </c>
      <c r="AX100" s="128">
        <f>IVA!AS100/IVA!CL11</f>
        <v>1.7358652203171022E-4</v>
      </c>
      <c r="AY100" s="128">
        <f>IVA!AT100/IVA!CM11</f>
        <v>1.7185666415040044E-4</v>
      </c>
      <c r="AZ100" s="269">
        <f>IVA!AU100/IVA!CN11</f>
        <v>6.96250533678235E-4</v>
      </c>
      <c r="BA100" s="264">
        <v>2001</v>
      </c>
      <c r="BB100" s="368" t="s">
        <v>556</v>
      </c>
      <c r="BC100" s="369"/>
      <c r="BD100" s="369"/>
      <c r="BE100" s="369"/>
      <c r="BF100" s="370">
        <v>45423.033949999997</v>
      </c>
      <c r="BG100" s="370">
        <v>55019.765529999997</v>
      </c>
      <c r="BH100" s="370">
        <v>52677.439899999998</v>
      </c>
      <c r="BI100" s="370">
        <v>47280.253660000002</v>
      </c>
      <c r="BJ100" s="370">
        <v>65167.249559999997</v>
      </c>
      <c r="BK100" s="370">
        <v>47518.167410000002</v>
      </c>
      <c r="BL100" s="370">
        <v>41203.186029999997</v>
      </c>
      <c r="BM100" s="370">
        <v>44355.547259999999</v>
      </c>
      <c r="BN100" s="370">
        <v>33345.8704</v>
      </c>
      <c r="BO100" s="370">
        <v>35811.227279999999</v>
      </c>
      <c r="BP100" s="370">
        <v>47754.734349999999</v>
      </c>
      <c r="BQ100" s="371">
        <v>34449.727870000002</v>
      </c>
      <c r="BR100" s="173">
        <f>IVA!BF100+IVA!BG100+IVA!BH100</f>
        <v>153120.23937999998</v>
      </c>
      <c r="BS100" s="173">
        <f>IVA!BI100+IVA!BJ100+IVA!BK100</f>
        <v>159965.67063000001</v>
      </c>
      <c r="BT100" s="173">
        <f>IVA!BL100+IVA!BM100+IVA!BN100</f>
        <v>118904.60369</v>
      </c>
      <c r="BU100" s="174">
        <f>IVA!BO100+IVA!BP100+IVA!BQ100</f>
        <v>118015.68950000001</v>
      </c>
      <c r="BV100" s="135">
        <f>IVA!BR100+IVA!BS100+IVA!BT100+IVA!BU100</f>
        <v>550006.20319999999</v>
      </c>
      <c r="BW100" s="136">
        <f>IVA!BR100/IVA!CJ10</f>
        <v>5.8147441577330425E-4</v>
      </c>
      <c r="BX100" s="137">
        <f>IVA!BS100/IVA!CK10</f>
        <v>5.5538607225880143E-4</v>
      </c>
      <c r="BY100" s="136">
        <f>IVA!BT100/IVA!CL10</f>
        <v>4.3816862102763292E-4</v>
      </c>
      <c r="BZ100" s="136">
        <f>IVA!BU100/IVA!CM10</f>
        <v>4.6819928180102477E-4</v>
      </c>
      <c r="CA100" s="271">
        <f>IVA!BV100/IVA!CN10</f>
        <v>2.0469406029799734E-3</v>
      </c>
      <c r="CI100" s="233"/>
      <c r="CJ100" s="76"/>
      <c r="CK100" s="77"/>
      <c r="CL100" s="77"/>
      <c r="CM100" s="77"/>
      <c r="CN100" s="77"/>
      <c r="CP100" s="63"/>
      <c r="CQ100" s="13"/>
      <c r="CS100" s="76"/>
      <c r="EJ100" s="31">
        <v>2048</v>
      </c>
      <c r="EK100" s="32">
        <v>13351.638000000001</v>
      </c>
      <c r="EL100" s="33">
        <v>11852.098</v>
      </c>
    </row>
    <row r="101" spans="27:142" ht="12.75" customHeight="1">
      <c r="AA101" s="356">
        <v>2003</v>
      </c>
      <c r="AB101" s="356" t="s">
        <v>554</v>
      </c>
      <c r="AC101" s="357"/>
      <c r="AD101" s="358"/>
      <c r="AE101" s="367">
        <v>20409.48373</v>
      </c>
      <c r="AF101" s="367">
        <v>16143.18521</v>
      </c>
      <c r="AG101" s="367">
        <v>18558.948120000001</v>
      </c>
      <c r="AH101" s="367">
        <v>24314.704760000001</v>
      </c>
      <c r="AI101" s="367">
        <v>19110.179110000001</v>
      </c>
      <c r="AJ101" s="367">
        <v>19594.120640000001</v>
      </c>
      <c r="AK101" s="367">
        <v>19016.003909999999</v>
      </c>
      <c r="AL101" s="367">
        <v>18894.052739999999</v>
      </c>
      <c r="AM101" s="367">
        <v>28911.844809999999</v>
      </c>
      <c r="AN101" s="367">
        <v>18473.283459999999</v>
      </c>
      <c r="AO101" s="367">
        <v>17349.561949999999</v>
      </c>
      <c r="AP101" s="367">
        <v>35529.364099999999</v>
      </c>
      <c r="AQ101" s="126">
        <f>IVA!AE101+IVA!AF101+IVA!AG101</f>
        <v>55111.617060000004</v>
      </c>
      <c r="AR101" s="126">
        <f>IVA!AH101+IVA!AI101+IVA!AJ101</f>
        <v>63019.004510000006</v>
      </c>
      <c r="AS101" s="126">
        <f>IVA!AK101+IVA!AL101+IVA!AM101</f>
        <v>66821.901459999994</v>
      </c>
      <c r="AT101" s="126">
        <f>IVA!AN101+IVA!AO101+IVA!AP101</f>
        <v>71352.209509999986</v>
      </c>
      <c r="AU101" s="127">
        <f>IVA!AQ101+IVA!AR101+IVA!AS101+IVA!AT101</f>
        <v>256304.73254</v>
      </c>
      <c r="AV101" s="128">
        <f>IVA!AQ101/IVA!CJ12</f>
        <v>1.6835068535749417E-4</v>
      </c>
      <c r="AW101" s="128">
        <f>IVA!AR101/IVA!CK12</f>
        <v>1.5789534022999703E-4</v>
      </c>
      <c r="AX101" s="128">
        <f>IVA!AS101/IVA!CL12</f>
        <v>1.7683026545173939E-4</v>
      </c>
      <c r="AY101" s="128">
        <f>IVA!AT101/IVA!CM12</f>
        <v>1.7870684290893191E-4</v>
      </c>
      <c r="AZ101" s="269">
        <f>IVA!AU101/IVA!CN12</f>
        <v>6.8182588373891131E-4</v>
      </c>
      <c r="BA101" s="264">
        <v>2002</v>
      </c>
      <c r="BB101" s="368" t="s">
        <v>556</v>
      </c>
      <c r="BC101" s="369"/>
      <c r="BD101" s="369"/>
      <c r="BE101" s="369"/>
      <c r="BF101" s="370">
        <v>37336.242120000003</v>
      </c>
      <c r="BG101" s="370">
        <v>30813.605309999999</v>
      </c>
      <c r="BH101" s="370">
        <v>33889.960079999997</v>
      </c>
      <c r="BI101" s="370">
        <v>33624.162040000003</v>
      </c>
      <c r="BJ101" s="370">
        <v>36930.918919999996</v>
      </c>
      <c r="BK101" s="370">
        <v>40746.096660000003</v>
      </c>
      <c r="BL101" s="370">
        <v>53051.381710000001</v>
      </c>
      <c r="BM101" s="370">
        <v>51088.669430000002</v>
      </c>
      <c r="BN101" s="370">
        <v>69444.88132</v>
      </c>
      <c r="BO101" s="370">
        <v>45923.223129999998</v>
      </c>
      <c r="BP101" s="370">
        <v>55949.439279999999</v>
      </c>
      <c r="BQ101" s="371">
        <v>45821.614650000003</v>
      </c>
      <c r="BR101" s="173">
        <f>IVA!BF101+IVA!BG101+IVA!BH101</f>
        <v>102039.80750999998</v>
      </c>
      <c r="BS101" s="173">
        <f>IVA!BI101+IVA!BJ101+IVA!BK101</f>
        <v>111301.17762</v>
      </c>
      <c r="BT101" s="173">
        <f>IVA!BL101+IVA!BM101+IVA!BN101</f>
        <v>173584.93245999998</v>
      </c>
      <c r="BU101" s="174">
        <f>IVA!BO101+IVA!BP101+IVA!BQ101</f>
        <v>147694.27705999999</v>
      </c>
      <c r="BV101" s="135">
        <f>IVA!BR101+IVA!BS101+IVA!BT101+IVA!BU101</f>
        <v>534620.19464999996</v>
      </c>
      <c r="BW101" s="136">
        <f>IVA!BR101/IVA!CJ11</f>
        <v>4.3044418646148388E-4</v>
      </c>
      <c r="BX101" s="137">
        <f>IVA!BS101/IVA!CK11</f>
        <v>3.2831411472812876E-4</v>
      </c>
      <c r="BY101" s="136">
        <f>IVA!BT101/IVA!CL11</f>
        <v>5.1970567141446783E-4</v>
      </c>
      <c r="BZ101" s="136">
        <f>IVA!BU101/IVA!CM11</f>
        <v>4.3407649525856792E-4</v>
      </c>
      <c r="CA101" s="271">
        <f>IVA!BV101/IVA!CN11</f>
        <v>1.7103459869441378E-3</v>
      </c>
      <c r="CI101" s="233"/>
      <c r="CJ101" s="91" t="s">
        <v>558</v>
      </c>
      <c r="CK101" s="92" t="s">
        <v>559</v>
      </c>
      <c r="CL101" s="92" t="s">
        <v>560</v>
      </c>
      <c r="CM101" s="92" t="s">
        <v>561</v>
      </c>
      <c r="CN101" s="92" t="s">
        <v>562</v>
      </c>
      <c r="CP101" s="63"/>
      <c r="CQ101" s="13"/>
      <c r="CS101" s="91" t="s">
        <v>563</v>
      </c>
      <c r="EJ101" s="31">
        <v>2049</v>
      </c>
      <c r="EK101" s="32">
        <v>13584.419</v>
      </c>
      <c r="EL101" s="33">
        <v>12069.374</v>
      </c>
    </row>
    <row r="102" spans="27:142" ht="12.75" customHeight="1">
      <c r="AA102" s="356">
        <v>2004</v>
      </c>
      <c r="AB102" s="356" t="s">
        <v>554</v>
      </c>
      <c r="AC102" s="357"/>
      <c r="AD102" s="358"/>
      <c r="AE102" s="367">
        <v>26769.039870000001</v>
      </c>
      <c r="AF102" s="367">
        <v>20993.7117</v>
      </c>
      <c r="AG102" s="367">
        <v>36869.752979999997</v>
      </c>
      <c r="AH102" s="367">
        <v>14624.996289999999</v>
      </c>
      <c r="AI102" s="367">
        <v>34289.595200000003</v>
      </c>
      <c r="AJ102" s="367">
        <v>25824.685229999999</v>
      </c>
      <c r="AK102" s="367">
        <v>25054.751520000002</v>
      </c>
      <c r="AL102" s="367">
        <v>30417.186460000001</v>
      </c>
      <c r="AM102" s="367">
        <v>27671.802599999999</v>
      </c>
      <c r="AN102" s="367">
        <v>23370.565200000001</v>
      </c>
      <c r="AO102" s="367">
        <v>38194.312149999998</v>
      </c>
      <c r="AP102" s="367">
        <v>39319.464829999997</v>
      </c>
      <c r="AQ102" s="126">
        <f>IVA!AE102+IVA!AF102+IVA!AG102</f>
        <v>84632.504549999998</v>
      </c>
      <c r="AR102" s="126">
        <f>IVA!AH102+IVA!AI102+IVA!AJ102</f>
        <v>74739.276720000009</v>
      </c>
      <c r="AS102" s="126">
        <f>IVA!AK102+IVA!AL102+IVA!AM102</f>
        <v>83143.740579999998</v>
      </c>
      <c r="AT102" s="126">
        <f>IVA!AN102+IVA!AO102+IVA!AP102</f>
        <v>100884.34217999999</v>
      </c>
      <c r="AU102" s="127">
        <f>IVA!AQ102+IVA!AR102+IVA!AS102+IVA!AT102</f>
        <v>343399.86403</v>
      </c>
      <c r="AV102" s="128">
        <f>IVA!AQ102/IVA!CJ13</f>
        <v>2.1545020849403156E-4</v>
      </c>
      <c r="AW102" s="128">
        <f>IVA!AR102/IVA!CK13</f>
        <v>1.5760694899019586E-4</v>
      </c>
      <c r="AX102" s="128">
        <f>IVA!AS102/IVA!CL13</f>
        <v>1.8391391436105487E-4</v>
      </c>
      <c r="AY102" s="128">
        <f>IVA!AT102/IVA!CM13</f>
        <v>2.1398122239774548E-4</v>
      </c>
      <c r="AZ102" s="269">
        <f>IVA!AU102/IVA!CN13</f>
        <v>7.6712813002363591E-4</v>
      </c>
      <c r="BA102" s="264">
        <v>2003</v>
      </c>
      <c r="BB102" s="368" t="s">
        <v>556</v>
      </c>
      <c r="BC102" s="369"/>
      <c r="BD102" s="369"/>
      <c r="BE102" s="369"/>
      <c r="BF102" s="370">
        <v>50487.246330000002</v>
      </c>
      <c r="BG102" s="370">
        <v>47229.138729999999</v>
      </c>
      <c r="BH102" s="370">
        <v>57659.483639999999</v>
      </c>
      <c r="BI102" s="370">
        <v>44352.455309999998</v>
      </c>
      <c r="BJ102" s="370">
        <v>303692.93894000002</v>
      </c>
      <c r="BK102" s="370">
        <v>115460.73852</v>
      </c>
      <c r="BL102" s="370">
        <v>114007.01231000001</v>
      </c>
      <c r="BM102" s="370">
        <v>129954.89895</v>
      </c>
      <c r="BN102" s="370">
        <v>127889.05101</v>
      </c>
      <c r="BO102" s="370">
        <v>123858.52696</v>
      </c>
      <c r="BP102" s="370">
        <v>127362.45438</v>
      </c>
      <c r="BQ102" s="371">
        <v>120814.83112</v>
      </c>
      <c r="BR102" s="173">
        <f>IVA!BF102+IVA!BG102+IVA!BH102</f>
        <v>155375.86869999999</v>
      </c>
      <c r="BS102" s="173">
        <f>IVA!BI102+IVA!BJ102+IVA!BK102</f>
        <v>463506.13277000003</v>
      </c>
      <c r="BT102" s="173">
        <f>IVA!BL102+IVA!BM102+IVA!BN102</f>
        <v>371850.96227000002</v>
      </c>
      <c r="BU102" s="174">
        <f>IVA!BO102+IVA!BP102+IVA!BQ102</f>
        <v>372035.81245999999</v>
      </c>
      <c r="BV102" s="135">
        <f>IVA!BR102+IVA!BS102+IVA!BT102+IVA!BU102</f>
        <v>1362768.7762</v>
      </c>
      <c r="BW102" s="136">
        <f>IVA!BR102/IVA!CJ12</f>
        <v>4.7463013025335864E-4</v>
      </c>
      <c r="BX102" s="137">
        <f>IVA!BS102/IVA!CK12</f>
        <v>1.1613236213656166E-3</v>
      </c>
      <c r="BY102" s="136">
        <f>IVA!BT102/IVA!CL12</f>
        <v>9.8402623885298886E-4</v>
      </c>
      <c r="BZ102" s="136">
        <f>IVA!BU102/IVA!CM12</f>
        <v>9.3179098377420494E-4</v>
      </c>
      <c r="CA102" s="271">
        <f>IVA!BV102/IVA!CN12</f>
        <v>3.6252589484251888E-3</v>
      </c>
      <c r="CI102" s="233"/>
      <c r="CJ102" s="279"/>
      <c r="CK102" s="279"/>
      <c r="CL102" s="279"/>
      <c r="CM102" s="279"/>
      <c r="CN102" s="279"/>
      <c r="CP102" s="63"/>
      <c r="CQ102" s="13"/>
      <c r="CS102" s="372"/>
      <c r="EJ102" s="31">
        <v>2050</v>
      </c>
      <c r="EK102" s="32">
        <v>13820.074000000001</v>
      </c>
      <c r="EL102" s="33">
        <v>12291.46</v>
      </c>
    </row>
    <row r="103" spans="27:142" ht="12.75" customHeight="1">
      <c r="AA103" s="356">
        <v>2005</v>
      </c>
      <c r="AB103" s="356" t="s">
        <v>554</v>
      </c>
      <c r="AC103" s="357"/>
      <c r="AD103" s="358"/>
      <c r="AE103" s="367">
        <v>29476.796869999998</v>
      </c>
      <c r="AF103" s="367">
        <v>23860.031309999998</v>
      </c>
      <c r="AG103" s="367">
        <v>42791.13624</v>
      </c>
      <c r="AH103" s="367">
        <v>25253.055550000001</v>
      </c>
      <c r="AI103" s="367">
        <v>45737.677609999999</v>
      </c>
      <c r="AJ103" s="367">
        <v>27901.86088</v>
      </c>
      <c r="AK103" s="367">
        <v>23586.611379999998</v>
      </c>
      <c r="AL103" s="367">
        <v>44031.708299999998</v>
      </c>
      <c r="AM103" s="367">
        <v>22577.014070000001</v>
      </c>
      <c r="AN103" s="367">
        <v>31741.025130000002</v>
      </c>
      <c r="AO103" s="367">
        <v>36283.893620000003</v>
      </c>
      <c r="AP103" s="367">
        <v>38845.200040000003</v>
      </c>
      <c r="AQ103" s="126">
        <f>IVA!AE103+IVA!AF103+IVA!AG103</f>
        <v>96127.964420000004</v>
      </c>
      <c r="AR103" s="126">
        <f>IVA!AH103+IVA!AI103+IVA!AJ103</f>
        <v>98892.594039999996</v>
      </c>
      <c r="AS103" s="126">
        <f>IVA!AK103+IVA!AL103+IVA!AM103</f>
        <v>90195.333750000005</v>
      </c>
      <c r="AT103" s="126">
        <f>IVA!AN103+IVA!AO103+IVA!AP103</f>
        <v>106870.11879000001</v>
      </c>
      <c r="AU103" s="127">
        <f>IVA!AQ103+IVA!AR103+IVA!AS103+IVA!AT103</f>
        <v>392086.01100000006</v>
      </c>
      <c r="AV103" s="128">
        <f>IVA!AQ103/IVA!CJ14</f>
        <v>2.1045433619987567E-4</v>
      </c>
      <c r="AW103" s="128">
        <f>IVA!AR103/IVA!CK14</f>
        <v>1.7901968916627108E-4</v>
      </c>
      <c r="AX103" s="128">
        <f>IVA!AS103/IVA!CL14</f>
        <v>1.6573073435258615E-4</v>
      </c>
      <c r="AY103" s="128">
        <f>IVA!AT103/IVA!CM14</f>
        <v>1.8607104387590023E-4</v>
      </c>
      <c r="AZ103" s="269">
        <f>IVA!AU103/IVA!CN14</f>
        <v>7.3708868064228505E-4</v>
      </c>
      <c r="BA103" s="264">
        <v>2004</v>
      </c>
      <c r="BB103" s="368" t="s">
        <v>556</v>
      </c>
      <c r="BC103" s="369"/>
      <c r="BD103" s="369"/>
      <c r="BE103" s="369"/>
      <c r="BF103" s="370">
        <v>119364.68216</v>
      </c>
      <c r="BG103" s="370">
        <v>120193.39384</v>
      </c>
      <c r="BH103" s="370">
        <v>120603.31986</v>
      </c>
      <c r="BI103" s="370">
        <v>112120.41144</v>
      </c>
      <c r="BJ103" s="370">
        <v>112820.11113999999</v>
      </c>
      <c r="BK103" s="370">
        <v>100113.65128000001</v>
      </c>
      <c r="BL103" s="370">
        <v>91332.184460000004</v>
      </c>
      <c r="BM103" s="370">
        <v>83723.908890000006</v>
      </c>
      <c r="BN103" s="370">
        <v>90054.91029</v>
      </c>
      <c r="BO103" s="370">
        <v>91098.300860000003</v>
      </c>
      <c r="BP103" s="370">
        <v>90297.338610000006</v>
      </c>
      <c r="BQ103" s="371">
        <v>91895.45289</v>
      </c>
      <c r="BR103" s="173">
        <f>IVA!BF103+IVA!BG103+IVA!BH103</f>
        <v>360161.39585999999</v>
      </c>
      <c r="BS103" s="173">
        <f>IVA!BI103+IVA!BJ103+IVA!BK103</f>
        <v>325054.17385999998</v>
      </c>
      <c r="BT103" s="173">
        <f>IVA!BL103+IVA!BM103+IVA!BN103</f>
        <v>265111.00364000001</v>
      </c>
      <c r="BU103" s="174">
        <f>IVA!BO103+IVA!BP103+IVA!BQ103</f>
        <v>273291.09236000001</v>
      </c>
      <c r="BV103" s="135">
        <f>IVA!BR103+IVA!BS103+IVA!BT103+IVA!BU103</f>
        <v>1223617.6657199999</v>
      </c>
      <c r="BW103" s="136">
        <f>IVA!BR103/IVA!CJ13</f>
        <v>9.1686814944363405E-4</v>
      </c>
      <c r="BX103" s="137">
        <f>IVA!BS103/IVA!CK13</f>
        <v>6.8546016026529272E-4</v>
      </c>
      <c r="BY103" s="136">
        <f>IVA!BT103/IVA!CL13</f>
        <v>5.864254131398651E-4</v>
      </c>
      <c r="BZ103" s="136">
        <f>IVA!BU103/IVA!CM13</f>
        <v>5.7966539454921756E-4</v>
      </c>
      <c r="CA103" s="271">
        <f>IVA!BV103/IVA!CN13</f>
        <v>2.7334650653375509E-3</v>
      </c>
      <c r="CI103" s="53">
        <v>1997</v>
      </c>
      <c r="CJ103" s="373">
        <f>IVA!AQ27+IVA!AQ78+IVA!AQ95+IVA!AQ112+IVA!AQ146+IVA!AQ163+IVA!AQ212+IVA!AQ246</f>
        <v>5337291.8562040003</v>
      </c>
      <c r="CK103" s="373">
        <f>IVA!AR27+IVA!AR78+IVA!AR95+IVA!AR112+IVA!AR146+IVA!AR163+IVA!AR212+IVA!AR246</f>
        <v>5032988.8750519995</v>
      </c>
      <c r="CL103" s="373">
        <f>IVA!AS27+IVA!AS78+IVA!AS95+IVA!AS112+IVA!AS146+IVA!AS163+IVA!AS212+IVA!AS246</f>
        <v>5522799.3987889998</v>
      </c>
      <c r="CM103" s="373">
        <f>IVA!AT27+IVA!AT78+IVA!AT95+IVA!AT112+IVA!AT146+IVA!AT163+IVA!AT212+IVA!AT246</f>
        <v>5401283.8494469998</v>
      </c>
      <c r="CN103" s="374">
        <f>IVA!AU27+IVA!AU78+IVA!AU95+IVA!AU112+IVA!AU146+IVA!AU163+IVA!AU212+IVA!AU246</f>
        <v>21294363.979492001</v>
      </c>
      <c r="CP103" s="63"/>
      <c r="CQ103" s="13"/>
      <c r="CS103" s="375"/>
      <c r="EJ103" s="31">
        <v>2051</v>
      </c>
      <c r="EK103" s="32">
        <v>14060.36</v>
      </c>
      <c r="EL103" s="33">
        <v>12520.514999999999</v>
      </c>
    </row>
    <row r="104" spans="27:142" ht="12.75" customHeight="1">
      <c r="AA104" s="356">
        <v>2006</v>
      </c>
      <c r="AB104" s="356" t="s">
        <v>554</v>
      </c>
      <c r="AC104" s="357"/>
      <c r="AD104" s="358"/>
      <c r="AE104" s="367">
        <v>47148.258220000003</v>
      </c>
      <c r="AF104" s="367">
        <v>24703.993589999998</v>
      </c>
      <c r="AG104" s="367">
        <v>41281.493020000002</v>
      </c>
      <c r="AH104" s="367">
        <v>22728.807199999999</v>
      </c>
      <c r="AI104" s="367">
        <v>41679.704360000003</v>
      </c>
      <c r="AJ104" s="367">
        <v>21937.392530000001</v>
      </c>
      <c r="AK104" s="367">
        <v>30925.964459999999</v>
      </c>
      <c r="AL104" s="367">
        <v>43577.484559999997</v>
      </c>
      <c r="AM104" s="367">
        <v>21030.51024</v>
      </c>
      <c r="AN104" s="367">
        <v>46565.018409999997</v>
      </c>
      <c r="AO104" s="367">
        <v>24158.025880000001</v>
      </c>
      <c r="AP104" s="367">
        <v>32506.873619999998</v>
      </c>
      <c r="AQ104" s="126">
        <f>IVA!AE104+IVA!AF104+IVA!AG104</f>
        <v>113133.74483000001</v>
      </c>
      <c r="AR104" s="126">
        <f>IVA!AH104+IVA!AI104+IVA!AJ104</f>
        <v>86345.904089999996</v>
      </c>
      <c r="AS104" s="126">
        <f>IVA!AK104+IVA!AL104+IVA!AM104</f>
        <v>95533.959260000003</v>
      </c>
      <c r="AT104" s="126">
        <f>IVA!AN104+IVA!AO104+IVA!AP104</f>
        <v>103229.91790999999</v>
      </c>
      <c r="AU104" s="127">
        <f>IVA!AQ104+IVA!AR104+IVA!AS104+IVA!AT104</f>
        <v>398243.52608999994</v>
      </c>
      <c r="AV104" s="128">
        <f>IVA!AQ104/IVA!CJ15</f>
        <v>1.9918123224893223E-4</v>
      </c>
      <c r="AW104" s="128">
        <f>IVA!AR104/IVA!CK15</f>
        <v>1.2730155420865704E-4</v>
      </c>
      <c r="AX104" s="128">
        <f>IVA!AS104/IVA!CL15</f>
        <v>1.4297269592009572E-4</v>
      </c>
      <c r="AY104" s="128">
        <f>IVA!AT104/IVA!CM15</f>
        <v>1.4678228989274119E-4</v>
      </c>
      <c r="AZ104" s="269">
        <f>IVA!AU104/IVA!CN15</f>
        <v>6.085265931073644E-4</v>
      </c>
      <c r="BA104" s="264">
        <v>2005</v>
      </c>
      <c r="BB104" s="368" t="s">
        <v>556</v>
      </c>
      <c r="BC104" s="369"/>
      <c r="BD104" s="369"/>
      <c r="BE104" s="369"/>
      <c r="BF104" s="370">
        <v>108278.33249</v>
      </c>
      <c r="BG104" s="370">
        <v>90115.082689999996</v>
      </c>
      <c r="BH104" s="370">
        <v>92255.979779999994</v>
      </c>
      <c r="BI104" s="370">
        <v>91559.635169999994</v>
      </c>
      <c r="BJ104" s="370">
        <v>96903.645399999994</v>
      </c>
      <c r="BK104" s="370">
        <v>83092.976370000004</v>
      </c>
      <c r="BL104" s="370">
        <v>83226.490000000005</v>
      </c>
      <c r="BM104" s="370">
        <v>94382.825089999998</v>
      </c>
      <c r="BN104" s="370">
        <v>92922.812680000003</v>
      </c>
      <c r="BO104" s="370">
        <v>88010.505239999999</v>
      </c>
      <c r="BP104" s="370">
        <v>92721.749119999993</v>
      </c>
      <c r="BQ104" s="371">
        <v>88718.248890000003</v>
      </c>
      <c r="BR104" s="173">
        <f>IVA!BF104+IVA!BG104+IVA!BH104</f>
        <v>290649.39496000001</v>
      </c>
      <c r="BS104" s="173">
        <f>IVA!BI104+IVA!BJ104+IVA!BK104</f>
        <v>271556.25693999999</v>
      </c>
      <c r="BT104" s="173">
        <f>IVA!BL104+IVA!BM104+IVA!BN104</f>
        <v>270532.12777000002</v>
      </c>
      <c r="BU104" s="174">
        <f>IVA!BO104+IVA!BP104+IVA!BQ104</f>
        <v>269450.50325000001</v>
      </c>
      <c r="BV104" s="135">
        <f>IVA!BR104+IVA!BS104+IVA!BT104+IVA!BU104</f>
        <v>1102188.2829199999</v>
      </c>
      <c r="BW104" s="136">
        <f>IVA!BR104/IVA!CJ14</f>
        <v>6.3632290408175774E-4</v>
      </c>
      <c r="BX104" s="137">
        <f>IVA!BS104/IVA!CK14</f>
        <v>4.9158298637501125E-4</v>
      </c>
      <c r="BY104" s="136">
        <f>IVA!BT104/IVA!CL14</f>
        <v>4.9709321244448257E-4</v>
      </c>
      <c r="BZ104" s="136">
        <f>IVA!BU104/IVA!CM14</f>
        <v>4.6913896026571587E-4</v>
      </c>
      <c r="CA104" s="271">
        <f>IVA!BV104/IVA!CN14</f>
        <v>2.0720211496576151E-3</v>
      </c>
      <c r="CI104" s="53">
        <v>1998</v>
      </c>
      <c r="CJ104" s="376">
        <f>IVA!AQ28+IVA!AQ79+IVA!AQ96+IVA!AQ113+IVA!AQ147+IVA!AQ164+IVA!AQ213+IVA!AQ247</f>
        <v>5429519.3444950003</v>
      </c>
      <c r="CK104" s="376">
        <f>IVA!AR28+IVA!AR79+IVA!AR96+IVA!AR113+IVA!AR147+IVA!AR164+IVA!AR213+IVA!AR247</f>
        <v>5380414.421019</v>
      </c>
      <c r="CL104" s="376">
        <f>IVA!AS28+IVA!AS79+IVA!AS96+IVA!AS113+IVA!AS147+IVA!AS164+IVA!AS213+IVA!AS247</f>
        <v>5705768.2058809996</v>
      </c>
      <c r="CM104" s="377">
        <f>IVA!AT28+IVA!AT79+IVA!AT96+IVA!AT113+IVA!AT147+IVA!AT164+IVA!AT213+IVA!AT247</f>
        <v>5346046.2284430005</v>
      </c>
      <c r="CN104" s="375">
        <f>IVA!AU28+IVA!AU79+IVA!AU96+IVA!AU113+IVA!AU147+IVA!AU164+IVA!AU213+IVA!AU247</f>
        <v>21861748.199838001</v>
      </c>
      <c r="CP104" s="63"/>
      <c r="CQ104" s="13"/>
      <c r="CS104" s="375"/>
      <c r="EJ104" s="31">
        <v>2052</v>
      </c>
      <c r="EK104" s="32">
        <v>14301.341</v>
      </c>
      <c r="EL104" s="33">
        <v>12750.52</v>
      </c>
    </row>
    <row r="105" spans="27:142" ht="12.75" customHeight="1">
      <c r="AA105" s="356">
        <v>2007</v>
      </c>
      <c r="AB105" s="356" t="s">
        <v>554</v>
      </c>
      <c r="AC105" s="357"/>
      <c r="AD105" s="358"/>
      <c r="AE105" s="367">
        <v>52103.4</v>
      </c>
      <c r="AF105" s="367">
        <v>25839.777740000001</v>
      </c>
      <c r="AG105" s="367">
        <v>33795.528079999996</v>
      </c>
      <c r="AH105" s="367">
        <v>36622.746769999998</v>
      </c>
      <c r="AI105" s="367">
        <v>46452.083079999997</v>
      </c>
      <c r="AJ105" s="367">
        <v>23871.582450000002</v>
      </c>
      <c r="AK105" s="367">
        <v>48407.19616</v>
      </c>
      <c r="AL105" s="367">
        <v>34599.100200000001</v>
      </c>
      <c r="AM105" s="367">
        <v>25837.189559999999</v>
      </c>
      <c r="AN105" s="367">
        <v>51930.48734</v>
      </c>
      <c r="AO105" s="367">
        <v>28264.037390000001</v>
      </c>
      <c r="AP105" s="367">
        <v>39352.091200000003</v>
      </c>
      <c r="AQ105" s="126">
        <f>IVA!AE105+IVA!AF105+IVA!AG105</f>
        <v>111738.70582</v>
      </c>
      <c r="AR105" s="126">
        <f>IVA!AH105+IVA!AI105+IVA!AJ105</f>
        <v>106946.4123</v>
      </c>
      <c r="AS105" s="126">
        <f>IVA!AK105+IVA!AL105+IVA!AM105</f>
        <v>108843.48592000001</v>
      </c>
      <c r="AT105" s="126">
        <f>IVA!AN105+IVA!AO105+IVA!AP105</f>
        <v>119546.61593</v>
      </c>
      <c r="AU105" s="127">
        <f>IVA!AQ105+IVA!AR105+IVA!AS105+IVA!AT105</f>
        <v>447075.21996999998</v>
      </c>
      <c r="AV105" s="128">
        <f>IVA!AQ105/IVA!CJ16</f>
        <v>1.6405142386070003E-4</v>
      </c>
      <c r="AW105" s="128">
        <f>IVA!AR105/IVA!CK16</f>
        <v>1.280603235248794E-4</v>
      </c>
      <c r="AX105" s="128">
        <f>IVA!AS105/IVA!CL16</f>
        <v>1.315387949914377E-4</v>
      </c>
      <c r="AY105" s="128">
        <f>IVA!AT105/IVA!CM16</f>
        <v>1.3193317185325988E-4</v>
      </c>
      <c r="AZ105" s="269">
        <f>IVA!AU105/IVA!CN16</f>
        <v>5.5027634046845024E-4</v>
      </c>
      <c r="BA105" s="264">
        <v>2006</v>
      </c>
      <c r="BB105" s="368" t="s">
        <v>556</v>
      </c>
      <c r="BC105" s="369"/>
      <c r="BD105" s="369"/>
      <c r="BE105" s="369"/>
      <c r="BF105" s="370">
        <v>79627.465230000002</v>
      </c>
      <c r="BG105" s="370">
        <v>81930.32187</v>
      </c>
      <c r="BH105" s="370">
        <v>90753.351840000003</v>
      </c>
      <c r="BI105" s="370">
        <v>80282.510049999997</v>
      </c>
      <c r="BJ105" s="370">
        <v>96099.863389999999</v>
      </c>
      <c r="BK105" s="370">
        <v>90027.376080000002</v>
      </c>
      <c r="BL105" s="370">
        <v>86878.829769999997</v>
      </c>
      <c r="BM105" s="370">
        <v>94822.540599999993</v>
      </c>
      <c r="BN105" s="370">
        <v>92877.368629999997</v>
      </c>
      <c r="BO105" s="370">
        <v>91518.851850000006</v>
      </c>
      <c r="BP105" s="370">
        <v>96268.426170000006</v>
      </c>
      <c r="BQ105" s="371">
        <v>102938.4558</v>
      </c>
      <c r="BR105" s="173">
        <f>IVA!BF105+IVA!BG105+IVA!BH105</f>
        <v>252311.13894000003</v>
      </c>
      <c r="BS105" s="173">
        <f>IVA!BI105+IVA!BJ105+IVA!BK105</f>
        <v>266409.74952000001</v>
      </c>
      <c r="BT105" s="173">
        <f>IVA!BL105+IVA!BM105+IVA!BN105</f>
        <v>274578.739</v>
      </c>
      <c r="BU105" s="174">
        <f>IVA!BO105+IVA!BP105+IVA!BQ105</f>
        <v>290725.73382000002</v>
      </c>
      <c r="BV105" s="135">
        <f>IVA!BR105+IVA!BS105+IVA!BT105+IVA!BU105</f>
        <v>1084025.3612800001</v>
      </c>
      <c r="BW105" s="136">
        <f>IVA!BR105/IVA!CJ15</f>
        <v>4.4421444406102885E-4</v>
      </c>
      <c r="BX105" s="137">
        <f>IVA!BS105/IVA!CK15</f>
        <v>3.9277340978311398E-4</v>
      </c>
      <c r="BY105" s="136">
        <f>IVA!BT105/IVA!CL15</f>
        <v>4.1092468962089079E-4</v>
      </c>
      <c r="BZ105" s="136">
        <f>IVA!BU105/IVA!CM15</f>
        <v>4.1338199046183044E-4</v>
      </c>
      <c r="CA105" s="271">
        <f>IVA!BV105/IVA!CN15</f>
        <v>1.656419293034837E-3</v>
      </c>
      <c r="CI105" s="53">
        <v>1999</v>
      </c>
      <c r="CJ105" s="376">
        <f>IVA!AQ29+IVA!AQ80+IVA!AQ97+IVA!AQ114+IVA!AQ148+IVA!AQ165+IVA!AQ214+IVA!AQ248</f>
        <v>5539881.0119650001</v>
      </c>
      <c r="CK105" s="376">
        <f>IVA!AR29+IVA!AR80+IVA!AR97+IVA!AR114+IVA!AR148+IVA!AR165+IVA!AR214+IVA!AR248</f>
        <v>4975768.6138340002</v>
      </c>
      <c r="CL105" s="376">
        <f>IVA!AS29+IVA!AS80+IVA!AS97+IVA!AS114+IVA!AS148+IVA!AS165+IVA!AS214+IVA!AS248</f>
        <v>5317706.0792899998</v>
      </c>
      <c r="CM105" s="377">
        <f>IVA!AT29+IVA!AT80+IVA!AT97+IVA!AT114+IVA!AT148+IVA!AT165+IVA!AT214+IVA!AT248</f>
        <v>4839273.7693920005</v>
      </c>
      <c r="CN105" s="375">
        <f>IVA!AU29+IVA!AU80+IVA!AU97+IVA!AU114+IVA!AU148+IVA!AU165+IVA!AU214+IVA!AU248</f>
        <v>20672629.474481001</v>
      </c>
      <c r="CP105" s="63"/>
      <c r="CQ105" s="13"/>
      <c r="CS105" s="375"/>
      <c r="EJ105" s="31">
        <v>2053</v>
      </c>
      <c r="EK105" s="32">
        <v>14546.629000000001</v>
      </c>
      <c r="EL105" s="33">
        <v>12985.95</v>
      </c>
    </row>
    <row r="106" spans="27:142" ht="12.75" customHeight="1">
      <c r="AA106" s="356">
        <v>2008</v>
      </c>
      <c r="AB106" s="356" t="s">
        <v>554</v>
      </c>
      <c r="AC106" s="357"/>
      <c r="AD106" s="358"/>
      <c r="AE106" s="367">
        <v>59778.561300000001</v>
      </c>
      <c r="AF106" s="367">
        <v>30016.785879999999</v>
      </c>
      <c r="AG106" s="367">
        <v>41520.235359999999</v>
      </c>
      <c r="AH106" s="367">
        <v>45286.183019999997</v>
      </c>
      <c r="AI106" s="367">
        <v>41393.138169999998</v>
      </c>
      <c r="AJ106" s="367">
        <v>41701.899400000002</v>
      </c>
      <c r="AK106" s="367">
        <v>54963.429069999998</v>
      </c>
      <c r="AL106" s="367">
        <v>44155.618889999998</v>
      </c>
      <c r="AM106" s="367">
        <v>46156.668700000002</v>
      </c>
      <c r="AN106" s="367">
        <v>44752.767910000002</v>
      </c>
      <c r="AO106" s="367">
        <v>51598.31624</v>
      </c>
      <c r="AP106" s="367">
        <v>53774.571940000002</v>
      </c>
      <c r="AQ106" s="126">
        <f>IVA!AE106+IVA!AF106+IVA!AG106</f>
        <v>131315.58254</v>
      </c>
      <c r="AR106" s="126">
        <f>IVA!AH106+IVA!AI106+IVA!AJ106</f>
        <v>128381.22058999998</v>
      </c>
      <c r="AS106" s="126">
        <f>IVA!AK106+IVA!AL106+IVA!AM106</f>
        <v>145275.71666000001</v>
      </c>
      <c r="AT106" s="126">
        <f>IVA!AN106+IVA!AO106+IVA!AP106</f>
        <v>150125.65609</v>
      </c>
      <c r="AU106" s="127">
        <f>IVA!AQ106+IVA!AR106+IVA!AS106+IVA!AT106</f>
        <v>555098.17588</v>
      </c>
      <c r="AV106" s="128">
        <f>IVA!AQ106/IVA!CJ17</f>
        <v>1.4793738309207643E-4</v>
      </c>
      <c r="AW106" s="128">
        <f>IVA!AR106/IVA!CK17</f>
        <v>1.1587350530575117E-4</v>
      </c>
      <c r="AX106" s="128">
        <f>IVA!AS106/IVA!CL17</f>
        <v>1.3736996610815488E-4</v>
      </c>
      <c r="AY106" s="128">
        <f>IVA!AT106/IVA!CM17</f>
        <v>1.3927651822243881E-4</v>
      </c>
      <c r="AZ106" s="269">
        <f>IVA!AU106/IVA!CN17</f>
        <v>5.3749104425238048E-4</v>
      </c>
      <c r="BA106" s="264">
        <v>2007</v>
      </c>
      <c r="BB106" s="368" t="s">
        <v>556</v>
      </c>
      <c r="BC106" s="369"/>
      <c r="BD106" s="369"/>
      <c r="BE106" s="369"/>
      <c r="BF106" s="370">
        <v>90634.663700000005</v>
      </c>
      <c r="BG106" s="370">
        <v>93163.431490000003</v>
      </c>
      <c r="BH106" s="370">
        <v>93835.79565</v>
      </c>
      <c r="BI106" s="370">
        <v>87369.055810000005</v>
      </c>
      <c r="BJ106" s="370">
        <v>176625.17778999999</v>
      </c>
      <c r="BK106" s="370">
        <v>79296.927299999996</v>
      </c>
      <c r="BL106" s="370">
        <v>82971.823900000003</v>
      </c>
      <c r="BM106" s="370">
        <v>93819.241689999995</v>
      </c>
      <c r="BN106" s="370">
        <v>148543.54141999999</v>
      </c>
      <c r="BO106" s="370">
        <v>114097.70656999999</v>
      </c>
      <c r="BP106" s="370">
        <v>119011.73152</v>
      </c>
      <c r="BQ106" s="371">
        <v>119605.24446</v>
      </c>
      <c r="BR106" s="173">
        <f>IVA!BF106+IVA!BG106+IVA!BH106</f>
        <v>277633.89084000001</v>
      </c>
      <c r="BS106" s="173">
        <f>IVA!BI106+IVA!BJ106+IVA!BK106</f>
        <v>343291.16089999996</v>
      </c>
      <c r="BT106" s="173">
        <f>IVA!BL106+IVA!BM106+IVA!BN106</f>
        <v>325334.60701000004</v>
      </c>
      <c r="BU106" s="174">
        <f>IVA!BO106+IVA!BP106+IVA!BQ106</f>
        <v>352714.68255000003</v>
      </c>
      <c r="BV106" s="135">
        <f>IVA!BR106+IVA!BS106+IVA!BT106+IVA!BU106</f>
        <v>1298974.3413</v>
      </c>
      <c r="BW106" s="136">
        <f>IVA!BR106/IVA!CJ16</f>
        <v>4.0761376973220579E-4</v>
      </c>
      <c r="BX106" s="137">
        <f>IVA!BS106/IVA!CK16</f>
        <v>4.1106546898240766E-4</v>
      </c>
      <c r="BY106" s="136">
        <f>IVA!BT106/IVA!CL16</f>
        <v>3.9317118349702649E-4</v>
      </c>
      <c r="BZ106" s="136">
        <f>IVA!BU106/IVA!CM16</f>
        <v>3.8926042754138174E-4</v>
      </c>
      <c r="CA106" s="271">
        <f>IVA!BV106/IVA!CN16</f>
        <v>1.5988245712677711E-3</v>
      </c>
      <c r="CI106" s="53">
        <v>2000</v>
      </c>
      <c r="CJ106" s="376">
        <f>IVA!AQ30+IVA!AQ81+IVA!AQ98+IVA!AQ115+IVA!AQ149+IVA!AQ166+IVA!AQ215+IVA!AQ249</f>
        <v>5207950.8559212517</v>
      </c>
      <c r="CK106" s="376">
        <f>IVA!AR30+IVA!AR81+IVA!AR98+IVA!AR115+IVA!AR149+IVA!AR166+IVA!AR215+IVA!AR249</f>
        <v>5171234.6262291921</v>
      </c>
      <c r="CL106" s="376">
        <f>IVA!AS30+IVA!AS81+IVA!AS98+IVA!AS115+IVA!AS149+IVA!AS166+IVA!AS215+IVA!AS249</f>
        <v>5468930.686265368</v>
      </c>
      <c r="CM106" s="377">
        <f>IVA!AT30+IVA!AT81+IVA!AT98+IVA!AT115+IVA!AT149+IVA!AT166+IVA!AT215+IVA!AT249</f>
        <v>4932171.5598015739</v>
      </c>
      <c r="CN106" s="375">
        <f>IVA!AU30+IVA!AU81+IVA!AU98+IVA!AU115+IVA!AU149+IVA!AU166+IVA!AU215+IVA!AU249</f>
        <v>20780287.728217386</v>
      </c>
      <c r="CP106" s="63"/>
      <c r="CQ106" s="13"/>
      <c r="CS106" s="375"/>
      <c r="EJ106" s="31">
        <v>2054</v>
      </c>
      <c r="EK106" s="32">
        <v>14800.451999999999</v>
      </c>
      <c r="EL106" s="33">
        <v>13232.026</v>
      </c>
    </row>
    <row r="107" spans="27:142" ht="12.75" customHeight="1">
      <c r="AA107" s="356">
        <v>2009</v>
      </c>
      <c r="AB107" s="356" t="s">
        <v>554</v>
      </c>
      <c r="AC107" s="357"/>
      <c r="AD107" s="358"/>
      <c r="AE107" s="367">
        <v>51573</v>
      </c>
      <c r="AF107" s="367">
        <v>55611</v>
      </c>
      <c r="AG107" s="367">
        <v>49382</v>
      </c>
      <c r="AH107" s="367">
        <v>51624</v>
      </c>
      <c r="AI107" s="367">
        <v>59461</v>
      </c>
      <c r="AJ107" s="367">
        <v>47409</v>
      </c>
      <c r="AK107" s="367">
        <v>49319</v>
      </c>
      <c r="AL107" s="367">
        <v>56071</v>
      </c>
      <c r="AM107" s="367">
        <v>56376</v>
      </c>
      <c r="AN107" s="367">
        <v>56883</v>
      </c>
      <c r="AO107" s="367">
        <v>63571</v>
      </c>
      <c r="AP107" s="367">
        <v>61105</v>
      </c>
      <c r="AQ107" s="126">
        <f>IVA!AE107+IVA!AF107+IVA!AG107</f>
        <v>156566</v>
      </c>
      <c r="AR107" s="126">
        <f>IVA!AH107+IVA!AI107+IVA!AJ107</f>
        <v>158494</v>
      </c>
      <c r="AS107" s="126">
        <f>IVA!AK107+IVA!AL107+IVA!AM107</f>
        <v>161766</v>
      </c>
      <c r="AT107" s="126">
        <f>IVA!AN107+IVA!AO107+IVA!AP107</f>
        <v>181559</v>
      </c>
      <c r="AU107" s="127">
        <f>IVA!AQ107+IVA!AR107+IVA!AS107+IVA!AT107</f>
        <v>658385</v>
      </c>
      <c r="AV107" s="128">
        <f>IVA!AQ107/IVA!CJ18</f>
        <v>1.5767572172953244E-4</v>
      </c>
      <c r="AW107" s="128">
        <f>IVA!AR107/IVA!CK18</f>
        <v>1.3258963888872324E-4</v>
      </c>
      <c r="AX107" s="128">
        <f>IVA!AS107/IVA!CL18</f>
        <v>1.3840409379572849E-4</v>
      </c>
      <c r="AY107" s="128">
        <f>IVA!AT107/IVA!CM18</f>
        <v>1.4824728013789439E-4</v>
      </c>
      <c r="AZ107" s="269">
        <f>IVA!AU107/IVA!CN18</f>
        <v>5.747786533105353E-4</v>
      </c>
      <c r="BA107" s="264">
        <v>2008</v>
      </c>
      <c r="BB107" s="368" t="s">
        <v>556</v>
      </c>
      <c r="BC107" s="369"/>
      <c r="BD107" s="369"/>
      <c r="BE107" s="369"/>
      <c r="BF107" s="370">
        <v>105290.9381</v>
      </c>
      <c r="BG107" s="370">
        <v>95518.455010000005</v>
      </c>
      <c r="BH107" s="370">
        <v>96031.819539999997</v>
      </c>
      <c r="BI107" s="370">
        <v>97580.188510000007</v>
      </c>
      <c r="BJ107" s="370">
        <v>176790.76027</v>
      </c>
      <c r="BK107" s="370">
        <v>65565.615650000007</v>
      </c>
      <c r="BL107" s="370">
        <v>62316.111949999999</v>
      </c>
      <c r="BM107" s="370">
        <v>57899.629180000004</v>
      </c>
      <c r="BN107" s="370">
        <v>56381.098440000002</v>
      </c>
      <c r="BO107" s="370">
        <v>64042.919529999999</v>
      </c>
      <c r="BP107" s="370">
        <v>55518.294560000002</v>
      </c>
      <c r="BQ107" s="371">
        <v>54814.003230000002</v>
      </c>
      <c r="BR107" s="173">
        <f>IVA!BF107+IVA!BG107+IVA!BH107</f>
        <v>296841.21265</v>
      </c>
      <c r="BS107" s="173">
        <f>IVA!BI107+IVA!BJ107+IVA!BK107</f>
        <v>339936.56442999997</v>
      </c>
      <c r="BT107" s="173">
        <f>IVA!BL107+IVA!BM107+IVA!BN107</f>
        <v>176596.83957000001</v>
      </c>
      <c r="BU107" s="174">
        <f>IVA!BO107+IVA!BP107+IVA!BQ107</f>
        <v>174375.21732</v>
      </c>
      <c r="BV107" s="135">
        <f>IVA!BR107+IVA!BS107+IVA!BT107+IVA!BU107</f>
        <v>987749.83397000004</v>
      </c>
      <c r="BW107" s="136">
        <f>IVA!BR107/IVA!CJ17</f>
        <v>3.3441508878006134E-4</v>
      </c>
      <c r="BX107" s="137">
        <f>IVA!BS107/IVA!CK17</f>
        <v>3.0681778161226338E-4</v>
      </c>
      <c r="BY107" s="136">
        <f>IVA!BT107/IVA!CL17</f>
        <v>1.6698662670041144E-4</v>
      </c>
      <c r="BZ107" s="136">
        <f>IVA!BU107/IVA!CM17</f>
        <v>1.6177363526758597E-4</v>
      </c>
      <c r="CA107" s="271">
        <f>IVA!BV107/IVA!CN17</f>
        <v>9.5641944576561021E-4</v>
      </c>
      <c r="CI107" s="53">
        <v>2001</v>
      </c>
      <c r="CJ107" s="376">
        <f>IVA!AQ31+IVA!AQ82+IVA!AQ99+IVA!AQ116+IVA!AQ150+IVA!AQ167+IVA!AQ216+IVA!AQ250</f>
        <v>5202344.95986652</v>
      </c>
      <c r="CK107" s="376">
        <f>IVA!AR31+IVA!AR82+IVA!AR99+IVA!AR116+IVA!AR150+IVA!AR167+IVA!AR216+IVA!AR250</f>
        <v>4847865.9189462503</v>
      </c>
      <c r="CL107" s="376">
        <f>IVA!AS31+IVA!AS82+IVA!AS99+IVA!AS116+IVA!AS150+IVA!AS167+IVA!AS216+IVA!AS250</f>
        <v>4991239.8269817857</v>
      </c>
      <c r="CM107" s="377">
        <f>IVA!AT31+IVA!AT82+IVA!AT99+IVA!AT116+IVA!AT150+IVA!AT167+IVA!AT216+IVA!AT250</f>
        <v>3970211.3723884048</v>
      </c>
      <c r="CN107" s="375">
        <f>IVA!AU31+IVA!AU82+IVA!AU99+IVA!AU116+IVA!AU150+IVA!AU167+IVA!AU216+IVA!AU250</f>
        <v>19011662.078182958</v>
      </c>
      <c r="CP107" s="63"/>
      <c r="CQ107" s="13"/>
      <c r="CS107" s="375">
        <v>16518378800</v>
      </c>
      <c r="EJ107" s="31">
        <v>2055</v>
      </c>
      <c r="EK107" s="32">
        <v>15064.129000000001</v>
      </c>
      <c r="EL107" s="33">
        <v>13490.736000000001</v>
      </c>
    </row>
    <row r="108" spans="27:142" ht="12.75" customHeight="1">
      <c r="AA108" s="356">
        <v>2010</v>
      </c>
      <c r="AB108" s="356" t="s">
        <v>554</v>
      </c>
      <c r="AC108" s="357"/>
      <c r="AD108" s="358"/>
      <c r="AE108" s="367">
        <v>65812</v>
      </c>
      <c r="AF108" s="367">
        <v>66702</v>
      </c>
      <c r="AG108" s="367">
        <v>57870</v>
      </c>
      <c r="AH108" s="367">
        <v>61986</v>
      </c>
      <c r="AI108" s="367">
        <v>66119</v>
      </c>
      <c r="AJ108" s="367">
        <v>59132</v>
      </c>
      <c r="AK108" s="367">
        <v>60227</v>
      </c>
      <c r="AL108" s="367">
        <v>68324</v>
      </c>
      <c r="AM108" s="367">
        <v>63716</v>
      </c>
      <c r="AN108" s="367">
        <v>69963</v>
      </c>
      <c r="AO108" s="367">
        <v>77262</v>
      </c>
      <c r="AP108" s="367">
        <v>68890</v>
      </c>
      <c r="AQ108" s="126">
        <f>IVA!AE108+IVA!AF108+IVA!AG108</f>
        <v>190384</v>
      </c>
      <c r="AR108" s="126">
        <f>IVA!AH108+IVA!AI108+IVA!AJ108</f>
        <v>187237</v>
      </c>
      <c r="AS108" s="126">
        <f>IVA!AK108+IVA!AL108+IVA!AM108</f>
        <v>192267</v>
      </c>
      <c r="AT108" s="126">
        <f>IVA!AN108+IVA!AO108+IVA!AP108</f>
        <v>216115</v>
      </c>
      <c r="AU108" s="127">
        <f>IVA!AQ108+IVA!AR108+IVA!AS108+IVA!AT108</f>
        <v>786003</v>
      </c>
      <c r="AV108" s="128">
        <f>IVA!AQ108/IVA!CJ19</f>
        <v>1.5638818085710225E-4</v>
      </c>
      <c r="AW108" s="128">
        <f>IVA!AR108/IVA!CK19</f>
        <v>1.2413895082552263E-4</v>
      </c>
      <c r="AX108" s="128">
        <f>IVA!AS108/IVA!CL19</f>
        <v>1.3116357419276536E-4</v>
      </c>
      <c r="AY108" s="128">
        <f>IVA!AT108/IVA!CM19</f>
        <v>1.3685974344545171E-4</v>
      </c>
      <c r="AZ108" s="269">
        <f>IVA!AU108/IVA!CN19</f>
        <v>5.4483074174257074E-4</v>
      </c>
      <c r="BA108" s="264">
        <v>2009</v>
      </c>
      <c r="BB108" s="368" t="s">
        <v>556</v>
      </c>
      <c r="BC108" s="369"/>
      <c r="BD108" s="369"/>
      <c r="BE108" s="369"/>
      <c r="BF108" s="370">
        <v>59559</v>
      </c>
      <c r="BG108" s="370">
        <v>158014</v>
      </c>
      <c r="BH108" s="370">
        <v>172977</v>
      </c>
      <c r="BI108" s="370">
        <v>148615</v>
      </c>
      <c r="BJ108" s="370">
        <v>139457</v>
      </c>
      <c r="BK108" s="370">
        <v>87134</v>
      </c>
      <c r="BL108" s="370">
        <v>68580</v>
      </c>
      <c r="BM108" s="370">
        <v>69714</v>
      </c>
      <c r="BN108" s="370">
        <v>70084</v>
      </c>
      <c r="BO108" s="370">
        <v>79995</v>
      </c>
      <c r="BP108" s="370">
        <v>83568</v>
      </c>
      <c r="BQ108" s="371">
        <v>74987</v>
      </c>
      <c r="BR108" s="173">
        <f>IVA!BF108+IVA!BG108+IVA!BH108</f>
        <v>390550</v>
      </c>
      <c r="BS108" s="173">
        <f>IVA!BI108+IVA!BJ108+IVA!BK108</f>
        <v>375206</v>
      </c>
      <c r="BT108" s="173">
        <f>IVA!BL108+IVA!BM108+IVA!BN108</f>
        <v>208378</v>
      </c>
      <c r="BU108" s="174">
        <f>IVA!BO108+IVA!BP108+IVA!BQ108</f>
        <v>238550</v>
      </c>
      <c r="BV108" s="135">
        <f>IVA!BR108+IVA!BS108+IVA!BT108+IVA!BU108</f>
        <v>1212684</v>
      </c>
      <c r="BW108" s="136">
        <f>IVA!BR108/IVA!CJ18</f>
        <v>3.9331817330371153E-4</v>
      </c>
      <c r="BX108" s="137">
        <f>IVA!BS108/IVA!CK18</f>
        <v>3.1388209048217782E-4</v>
      </c>
      <c r="BY108" s="136">
        <f>IVA!BT108/IVA!CL18</f>
        <v>1.7828448658535362E-4</v>
      </c>
      <c r="BZ108" s="136">
        <f>IVA!BU108/IVA!CM18</f>
        <v>1.9478179917764864E-4</v>
      </c>
      <c r="CA108" s="271">
        <f>IVA!BV108/IVA!CN18</f>
        <v>1.0586888771937897E-3</v>
      </c>
      <c r="CI108" s="53">
        <v>2002</v>
      </c>
      <c r="CJ108" s="376">
        <f>IVA!AQ32+IVA!AQ83+IVA!AQ100+IVA!AQ117+IVA!AQ151+IVA!AQ168+IVA!AQ217+IVA!AQ251</f>
        <v>3801853.9661726528</v>
      </c>
      <c r="CK108" s="376">
        <f>IVA!AR32+IVA!AR83+IVA!AR100+IVA!AR117+IVA!AR151+IVA!AR168+IVA!AR217+IVA!AR251</f>
        <v>3996687.6154563008</v>
      </c>
      <c r="CL108" s="376">
        <f>IVA!AS32+IVA!AS83+IVA!AS100+IVA!AS117+IVA!AS151+IVA!AS168+IVA!AS217+IVA!AS251</f>
        <v>4585296.5825631479</v>
      </c>
      <c r="CM108" s="377">
        <f>IVA!AT32+IVA!AT83+IVA!AT100+IVA!AT117+IVA!AT151+IVA!AT168+IVA!AT217+IVA!AT251</f>
        <v>4501088.2805700097</v>
      </c>
      <c r="CN108" s="375">
        <f>IVA!AU32+IVA!AU83+IVA!AU100+IVA!AU117+IVA!AU151+IVA!AU168+IVA!AU217+IVA!AU251</f>
        <v>16884926.444762111</v>
      </c>
      <c r="CP108" s="63"/>
      <c r="CQ108" s="13"/>
      <c r="CS108" s="375">
        <v>15424894000</v>
      </c>
      <c r="EJ108" s="31">
        <v>2056</v>
      </c>
      <c r="EK108" s="32">
        <v>15332.592000000001</v>
      </c>
      <c r="EL108" s="33">
        <v>13758.02</v>
      </c>
    </row>
    <row r="109" spans="27:142" ht="12.75" customHeight="1">
      <c r="AA109" s="356">
        <v>2011</v>
      </c>
      <c r="AB109" s="356" t="s">
        <v>554</v>
      </c>
      <c r="AC109" s="357"/>
      <c r="AD109" s="358"/>
      <c r="AE109" s="367">
        <v>89407</v>
      </c>
      <c r="AF109" s="367">
        <v>79262</v>
      </c>
      <c r="AG109" s="367">
        <v>80238</v>
      </c>
      <c r="AH109" s="367">
        <v>88114</v>
      </c>
      <c r="AI109" s="367">
        <v>75307</v>
      </c>
      <c r="AJ109" s="367">
        <v>74495</v>
      </c>
      <c r="AK109" s="367">
        <v>107141</v>
      </c>
      <c r="AL109" s="367">
        <v>84911</v>
      </c>
      <c r="AM109" s="367">
        <v>78406</v>
      </c>
      <c r="AN109" s="367">
        <v>85617</v>
      </c>
      <c r="AO109" s="367">
        <v>87028</v>
      </c>
      <c r="AP109" s="367">
        <v>96342</v>
      </c>
      <c r="AQ109" s="126">
        <f>IVA!AE109+IVA!AF109+IVA!AG109</f>
        <v>248907</v>
      </c>
      <c r="AR109" s="126">
        <f>IVA!AH109+IVA!AI109+IVA!AJ109</f>
        <v>237916</v>
      </c>
      <c r="AS109" s="126">
        <f>IVA!AK109+IVA!AL109+IVA!AM109</f>
        <v>270458</v>
      </c>
      <c r="AT109" s="126">
        <f>IVA!AN109+IVA!AO109+IVA!AP109</f>
        <v>268987</v>
      </c>
      <c r="AU109" s="127">
        <f>IVA!AQ109+IVA!AR109+IVA!AS109+IVA!AT109</f>
        <v>1026268</v>
      </c>
      <c r="AV109" s="128">
        <f>IVA!AQ109/IVA!CJ20</f>
        <v>1.5878424067671188E-4</v>
      </c>
      <c r="AW109" s="128">
        <f>IVA!AR109/IVA!CK20</f>
        <v>1.2038898344755123E-4</v>
      </c>
      <c r="AX109" s="128">
        <f>IVA!AS109/IVA!CL20</f>
        <v>1.4498730524124934E-4</v>
      </c>
      <c r="AY109" s="128">
        <f>IVA!AT109/IVA!CM20</f>
        <v>1.3731602224787971E-4</v>
      </c>
      <c r="AZ109" s="269">
        <f>IVA!AU109/IVA!CN20</f>
        <v>5.5714205635558551E-4</v>
      </c>
      <c r="BA109" s="264">
        <v>2010</v>
      </c>
      <c r="BB109" s="368" t="s">
        <v>556</v>
      </c>
      <c r="BC109" s="369"/>
      <c r="BD109" s="369"/>
      <c r="BE109" s="369"/>
      <c r="BF109" s="370">
        <v>164153</v>
      </c>
      <c r="BG109" s="370">
        <v>186697</v>
      </c>
      <c r="BH109" s="370">
        <v>205998</v>
      </c>
      <c r="BI109" s="370">
        <v>163648</v>
      </c>
      <c r="BJ109" s="370">
        <v>134484</v>
      </c>
      <c r="BK109" s="370">
        <v>103615</v>
      </c>
      <c r="BL109" s="370">
        <v>115954</v>
      </c>
      <c r="BM109" s="370">
        <v>122332</v>
      </c>
      <c r="BN109" s="370">
        <v>113782</v>
      </c>
      <c r="BO109" s="370">
        <v>115553</v>
      </c>
      <c r="BP109" s="370">
        <v>112659</v>
      </c>
      <c r="BQ109" s="371">
        <v>108948</v>
      </c>
      <c r="BR109" s="173">
        <f>IVA!BF109+IVA!BG109+IVA!BH109</f>
        <v>556848</v>
      </c>
      <c r="BS109" s="173">
        <f>IVA!BI109+IVA!BJ109+IVA!BK109</f>
        <v>401747</v>
      </c>
      <c r="BT109" s="173">
        <f>IVA!BL109+IVA!BM109+IVA!BN109</f>
        <v>352068</v>
      </c>
      <c r="BU109" s="174">
        <f>IVA!BO109+IVA!BP109+IVA!BQ109</f>
        <v>337160</v>
      </c>
      <c r="BV109" s="135">
        <f>IVA!BR109+IVA!BS109+IVA!BT109+IVA!BU109</f>
        <v>1647823</v>
      </c>
      <c r="BW109" s="136">
        <f>IVA!BR109/IVA!CJ19</f>
        <v>4.5741472883181191E-4</v>
      </c>
      <c r="BX109" s="137">
        <f>IVA!BS109/IVA!CK19</f>
        <v>2.6636002006708741E-4</v>
      </c>
      <c r="BY109" s="136">
        <f>IVA!BT109/IVA!CL19</f>
        <v>2.4017900752026358E-4</v>
      </c>
      <c r="BZ109" s="136">
        <f>IVA!BU109/IVA!CM19</f>
        <v>2.1351424519384818E-4</v>
      </c>
      <c r="CA109" s="271">
        <f>IVA!BV109/IVA!CN19</f>
        <v>1.1422152680720917E-3</v>
      </c>
      <c r="CI109" s="53">
        <v>2003</v>
      </c>
      <c r="CJ109" s="376">
        <f>IVA!AQ33+IVA!AQ84+IVA!AQ101+IVA!AQ118+IVA!AQ152+IVA!AQ169+IVA!AQ218+IVA!AQ252</f>
        <v>4748660.0514564002</v>
      </c>
      <c r="CK109" s="376">
        <f>IVA!AR33+IVA!AR84+IVA!AR101+IVA!AR118+IVA!AR152+IVA!AR169+IVA!AR218+IVA!AR252</f>
        <v>5141586.7770797927</v>
      </c>
      <c r="CL109" s="376">
        <f>IVA!AS33+IVA!AS84+IVA!AS101+IVA!AS118+IVA!AS152+IVA!AS169+IVA!AS218+IVA!AS252</f>
        <v>5593108.1052406123</v>
      </c>
      <c r="CM109" s="377">
        <f>IVA!AT33+IVA!AT84+IVA!AT101+IVA!AT118+IVA!AT152+IVA!AT169+IVA!AT218+IVA!AT252</f>
        <v>5663242.2800636068</v>
      </c>
      <c r="CN109" s="375">
        <f>IVA!AU33+IVA!AU84+IVA!AU101+IVA!AU118+IVA!AU152+IVA!AU169+IVA!AU218+IVA!AU252</f>
        <v>21146597.21384041</v>
      </c>
      <c r="CP109" s="63"/>
      <c r="CQ109" s="13"/>
      <c r="CS109" s="375">
        <v>17988915089</v>
      </c>
      <c r="EJ109" s="31">
        <v>2057</v>
      </c>
      <c r="EK109" s="32">
        <v>15609.154</v>
      </c>
      <c r="EL109" s="33">
        <v>14035.725</v>
      </c>
    </row>
    <row r="110" spans="27:142" ht="12.75" customHeight="1">
      <c r="AA110" s="378">
        <v>2012</v>
      </c>
      <c r="AB110" s="378" t="s">
        <v>554</v>
      </c>
      <c r="AC110" s="379"/>
      <c r="AD110" s="380"/>
      <c r="AE110" s="381">
        <v>104250.20995</v>
      </c>
      <c r="AF110" s="381">
        <v>95987.313370000003</v>
      </c>
      <c r="AG110" s="381">
        <v>91603.49381</v>
      </c>
      <c r="AH110" s="381">
        <v>103066.79135</v>
      </c>
      <c r="AI110" s="381">
        <v>87149.864170000001</v>
      </c>
      <c r="AJ110" s="381">
        <v>96791.872010000006</v>
      </c>
      <c r="AK110" s="381">
        <v>98509.861269999994</v>
      </c>
      <c r="AL110" s="381">
        <v>89591.382840000006</v>
      </c>
      <c r="AM110" s="381">
        <v>106464.69313</v>
      </c>
      <c r="AN110" s="381">
        <v>96853.230909999998</v>
      </c>
      <c r="AO110" s="381">
        <v>104378.09991</v>
      </c>
      <c r="AP110" s="381">
        <v>122388.35743</v>
      </c>
      <c r="AQ110" s="247">
        <f>IVA!AE110+IVA!AF110+IVA!AG110</f>
        <v>291841.01712999999</v>
      </c>
      <c r="AR110" s="247">
        <f>IVA!AH110+IVA!AI110+IVA!AJ110</f>
        <v>287008.52753000002</v>
      </c>
      <c r="AS110" s="247">
        <f>IVA!AK110+IVA!AL110+IVA!AM110</f>
        <v>294565.93724</v>
      </c>
      <c r="AT110" s="247">
        <f>IVA!AN110+IVA!AO110+IVA!AP110</f>
        <v>323619.68825000001</v>
      </c>
      <c r="AU110" s="248">
        <f>IVA!AQ110+IVA!AR110+IVA!AS110+IVA!AT110</f>
        <v>1197035.1701500001</v>
      </c>
      <c r="AV110" s="250">
        <f>IVA!AQ110/IVA!CJ21</f>
        <v>1.5565393847253372E-4</v>
      </c>
      <c r="AW110" s="250">
        <f>IVA!AR110/IVA!CK21</f>
        <v>1.2625961823565851E-4</v>
      </c>
      <c r="AX110" s="250">
        <f>IVA!AS110/IVA!CL21</f>
        <v>1.3494189802680103E-4</v>
      </c>
      <c r="AY110" s="250">
        <f>IVA!AT110/IVA!CM21</f>
        <v>1.3913277459816559E-4</v>
      </c>
      <c r="AZ110" s="294">
        <f>IVA!AU110/IVA!CN21</f>
        <v>5.5309573809155595E-4</v>
      </c>
      <c r="BA110" s="264">
        <v>2011</v>
      </c>
      <c r="BB110" s="368" t="s">
        <v>556</v>
      </c>
      <c r="BC110" s="369"/>
      <c r="BD110" s="369"/>
      <c r="BE110" s="369"/>
      <c r="BF110" s="370">
        <v>91925</v>
      </c>
      <c r="BG110" s="370">
        <v>119159</v>
      </c>
      <c r="BH110" s="370">
        <v>106898</v>
      </c>
      <c r="BI110" s="370">
        <v>104726</v>
      </c>
      <c r="BJ110" s="370">
        <v>93840</v>
      </c>
      <c r="BK110" s="370">
        <v>104167</v>
      </c>
      <c r="BL110" s="370">
        <v>119503</v>
      </c>
      <c r="BM110" s="370">
        <v>121740</v>
      </c>
      <c r="BN110" s="370">
        <v>121197</v>
      </c>
      <c r="BO110" s="370">
        <v>134292</v>
      </c>
      <c r="BP110" s="370">
        <v>110804</v>
      </c>
      <c r="BQ110" s="371">
        <v>128706</v>
      </c>
      <c r="BR110" s="173">
        <f>IVA!BF110+IVA!BG110+IVA!BH110</f>
        <v>317982</v>
      </c>
      <c r="BS110" s="173">
        <f>IVA!BI110+IVA!BJ110+IVA!BK110</f>
        <v>302733</v>
      </c>
      <c r="BT110" s="173">
        <f>IVA!BL110+IVA!BM110+IVA!BN110</f>
        <v>362440</v>
      </c>
      <c r="BU110" s="174">
        <f>IVA!BO110+IVA!BP110+IVA!BQ110</f>
        <v>373802</v>
      </c>
      <c r="BV110" s="135">
        <f>IVA!BR110+IVA!BS110+IVA!BT110+IVA!BU110</f>
        <v>1356957</v>
      </c>
      <c r="BW110" s="136">
        <f>IVA!BR110/IVA!CJ20</f>
        <v>2.0284897740466197E-4</v>
      </c>
      <c r="BX110" s="137">
        <f>IVA!BS110/IVA!CK20</f>
        <v>1.5318733555552181E-4</v>
      </c>
      <c r="BY110" s="136">
        <f>IVA!BT110/IVA!CL20</f>
        <v>1.9429707722322287E-4</v>
      </c>
      <c r="BZ110" s="136">
        <f>IVA!BU110/IVA!CM20</f>
        <v>1.9082336227513571E-4</v>
      </c>
      <c r="CA110" s="271">
        <f>IVA!BV110/IVA!CN20</f>
        <v>7.3666704346828137E-4</v>
      </c>
      <c r="CI110" s="53">
        <v>2004</v>
      </c>
      <c r="CJ110" s="376">
        <f>IVA!AQ34+IVA!AQ85+IVA!AQ102+IVA!AQ119+IVA!AQ153+IVA!AQ170+IVA!AQ219+IVA!AQ253</f>
        <v>6323502.3363590501</v>
      </c>
      <c r="CK110" s="376">
        <f>IVA!AR34+IVA!AR85+IVA!AR102+IVA!AR119+IVA!AR153+IVA!AR170+IVA!AR219+IVA!AR253</f>
        <v>7473357.6664904049</v>
      </c>
      <c r="CL110" s="376">
        <f>IVA!AS34+IVA!AS85+IVA!AS102+IVA!AS119+IVA!AS153+IVA!AS170+IVA!AS219+IVA!AS253</f>
        <v>7399314.6115061399</v>
      </c>
      <c r="CM110" s="377">
        <f>IVA!AT34+IVA!AT85+IVA!AT102+IVA!AT119+IVA!AT153+IVA!AT170+IVA!AT219+IVA!AT253</f>
        <v>7018841.9815035034</v>
      </c>
      <c r="CN110" s="375">
        <f>IVA!AU34+IVA!AU85+IVA!AU102+IVA!AU119+IVA!AU153+IVA!AU170+IVA!AU219+IVA!AU253</f>
        <v>28215016.595859095</v>
      </c>
      <c r="CP110" s="63"/>
      <c r="CQ110" s="13"/>
      <c r="CS110" s="382">
        <v>17534865699</v>
      </c>
      <c r="EJ110" s="31">
        <v>2058</v>
      </c>
      <c r="EK110" s="32">
        <v>15883.775</v>
      </c>
      <c r="EL110" s="33">
        <v>14313.733</v>
      </c>
    </row>
    <row r="111" spans="27:142" ht="12.75" customHeight="1">
      <c r="AA111" s="383">
        <v>1996</v>
      </c>
      <c r="AB111" s="383" t="s">
        <v>564</v>
      </c>
      <c r="AC111" s="384"/>
      <c r="AD111" s="385"/>
      <c r="AE111" s="386">
        <v>0</v>
      </c>
      <c r="AF111" s="386">
        <v>0</v>
      </c>
      <c r="AG111" s="386">
        <v>0</v>
      </c>
      <c r="AH111" s="386">
        <v>0</v>
      </c>
      <c r="AI111" s="386">
        <v>0</v>
      </c>
      <c r="AJ111" s="386">
        <v>0</v>
      </c>
      <c r="AK111" s="386">
        <v>0</v>
      </c>
      <c r="AL111" s="386">
        <v>0</v>
      </c>
      <c r="AM111" s="386">
        <v>0</v>
      </c>
      <c r="AN111" s="386">
        <v>0</v>
      </c>
      <c r="AO111" s="386">
        <v>1645</v>
      </c>
      <c r="AP111" s="386">
        <v>136885</v>
      </c>
      <c r="AQ111" s="126">
        <f>IVA!AE111+IVA!AF111+IVA!AG111</f>
        <v>0</v>
      </c>
      <c r="AR111" s="126">
        <f>IVA!AH111+IVA!AI111+IVA!AJ111</f>
        <v>0</v>
      </c>
      <c r="AS111" s="126">
        <f>IVA!AK111+IVA!AL111+IVA!AM111</f>
        <v>0</v>
      </c>
      <c r="AT111" s="126">
        <f>IVA!AN111+IVA!AO111+IVA!AP111</f>
        <v>138530</v>
      </c>
      <c r="AU111" s="127">
        <f>IVA!AQ111+IVA!AR111+IVA!AS111+IVA!AT111</f>
        <v>138530</v>
      </c>
      <c r="AV111" s="250"/>
      <c r="AW111" s="250"/>
      <c r="AX111" s="250"/>
      <c r="AY111" s="250"/>
      <c r="AZ111" s="294"/>
      <c r="BA111" s="295">
        <v>2012</v>
      </c>
      <c r="BB111" s="387" t="s">
        <v>556</v>
      </c>
      <c r="BC111" s="388"/>
      <c r="BD111" s="388"/>
      <c r="BE111" s="388"/>
      <c r="BF111" s="389">
        <v>89038.08137</v>
      </c>
      <c r="BG111" s="389">
        <v>103963.88286</v>
      </c>
      <c r="BH111" s="389">
        <v>133126.73103</v>
      </c>
      <c r="BI111" s="389">
        <v>96847.843250000005</v>
      </c>
      <c r="BJ111" s="389">
        <v>131682.02437</v>
      </c>
      <c r="BK111" s="389">
        <v>103612.17492</v>
      </c>
      <c r="BL111" s="389">
        <v>112375.45101</v>
      </c>
      <c r="BM111" s="389">
        <v>124938.58801000001</v>
      </c>
      <c r="BN111" s="389">
        <v>122739.7206</v>
      </c>
      <c r="BO111" s="389">
        <v>125012.75414999999</v>
      </c>
      <c r="BP111" s="389">
        <v>157716.76065000001</v>
      </c>
      <c r="BQ111" s="390">
        <v>142037.12661000001</v>
      </c>
      <c r="BR111" s="257">
        <f>IVA!BF111+IVA!BG111+IVA!BH111</f>
        <v>326128.69525999995</v>
      </c>
      <c r="BS111" s="257">
        <f>IVA!BI111+IVA!BJ111+IVA!BK111</f>
        <v>332142.04253999999</v>
      </c>
      <c r="BT111" s="257">
        <f>IVA!BL111+IVA!BM111+IVA!BN111</f>
        <v>360053.75962000003</v>
      </c>
      <c r="BU111" s="258">
        <f>IVA!BO111+IVA!BP111+IVA!BQ111</f>
        <v>424766.64141000004</v>
      </c>
      <c r="BV111" s="259">
        <f>IVA!BR111+IVA!BS111+IVA!BT111+IVA!BU111</f>
        <v>1443091.1388300001</v>
      </c>
      <c r="BW111" s="262">
        <f>IVA!BR111/IVA!CJ21</f>
        <v>1.739413341049156E-4</v>
      </c>
      <c r="BX111" s="261">
        <f>IVA!BS111/IVA!CK21</f>
        <v>1.4611456966806956E-4</v>
      </c>
      <c r="BY111" s="262">
        <f>IVA!BT111/IVA!CL21</f>
        <v>1.6494214561958077E-4</v>
      </c>
      <c r="BZ111" s="262">
        <f>IVA!BU111/IVA!CM21</f>
        <v>1.8261855975357943E-4</v>
      </c>
      <c r="CA111" s="301">
        <f>IVA!BV111/IVA!CN21</f>
        <v>6.6678705727964941E-4</v>
      </c>
      <c r="CI111" s="53">
        <v>2005</v>
      </c>
      <c r="CJ111" s="376">
        <f>IVA!AQ35+IVA!AQ86+IVA!AQ103+IVA!AQ120+IVA!AQ154+IVA!AQ171+IVA!AQ220+IVA!AQ254</f>
        <v>7865846.5517223869</v>
      </c>
      <c r="CK111" s="376">
        <f>IVA!AR35+IVA!AR86+IVA!AR103+IVA!AR120+IVA!AR154+IVA!AR171+IVA!AR220+IVA!AR254</f>
        <v>8552016.314590577</v>
      </c>
      <c r="CL111" s="376">
        <f>IVA!AS35+IVA!AS86+IVA!AS103+IVA!AS120+IVA!AS154+IVA!AS171+IVA!AS220+IVA!AS254</f>
        <v>9269061.7210509181</v>
      </c>
      <c r="CM111" s="377">
        <f>IVA!AT35+IVA!AT86+IVA!AT103+IVA!AT120+IVA!AT154+IVA!AT171+IVA!AT220+IVA!AT254</f>
        <v>9664858.8957747854</v>
      </c>
      <c r="CN111" s="375">
        <f>IVA!AU35+IVA!AU86+IVA!AU103+IVA!AU120+IVA!AU154+IVA!AU171+IVA!AU220+IVA!AU254</f>
        <v>35351783.483138666</v>
      </c>
      <c r="CP111" s="63"/>
      <c r="CQ111" s="13"/>
      <c r="CS111" s="375"/>
      <c r="EJ111" s="31">
        <v>2059</v>
      </c>
      <c r="EK111" s="32">
        <v>16143.688</v>
      </c>
      <c r="EL111" s="33">
        <v>14579.05</v>
      </c>
    </row>
    <row r="112" spans="27:142" ht="12.75" customHeight="1">
      <c r="AA112" s="383">
        <v>1997</v>
      </c>
      <c r="AB112" s="383" t="s">
        <v>564</v>
      </c>
      <c r="AC112" s="384"/>
      <c r="AD112" s="385"/>
      <c r="AE112" s="386">
        <v>222444</v>
      </c>
      <c r="AF112" s="386">
        <v>84188</v>
      </c>
      <c r="AG112" s="386">
        <v>72385</v>
      </c>
      <c r="AH112" s="386">
        <v>102769</v>
      </c>
      <c r="AI112" s="386">
        <v>35342</v>
      </c>
      <c r="AJ112" s="386">
        <v>79099</v>
      </c>
      <c r="AK112" s="386">
        <v>96313</v>
      </c>
      <c r="AL112" s="386">
        <v>129343</v>
      </c>
      <c r="AM112" s="386">
        <v>132145</v>
      </c>
      <c r="AN112" s="386">
        <v>114512</v>
      </c>
      <c r="AO112" s="386">
        <v>169900</v>
      </c>
      <c r="AP112" s="386">
        <v>235165</v>
      </c>
      <c r="AQ112" s="126">
        <f>IVA!AE112+IVA!AF112+IVA!AG112</f>
        <v>379017</v>
      </c>
      <c r="AR112" s="126">
        <f>IVA!AH112+IVA!AI112+IVA!AJ112</f>
        <v>217210</v>
      </c>
      <c r="AS112" s="126">
        <f>IVA!AK112+IVA!AL112+IVA!AM112</f>
        <v>357801</v>
      </c>
      <c r="AT112" s="126">
        <f>IVA!AN112+IVA!AO112+IVA!AP112</f>
        <v>519577</v>
      </c>
      <c r="AU112" s="127">
        <f>IVA!AQ112+IVA!AR112+IVA!AS112+IVA!AT112</f>
        <v>1473605</v>
      </c>
      <c r="AV112" s="128">
        <f>IVA!AQ112/IVA!CJ6</f>
        <v>1.3972461844724618E-3</v>
      </c>
      <c r="AW112" s="128">
        <f>IVA!AR112/IVA!CK6</f>
        <v>7.2434108468235529E-4</v>
      </c>
      <c r="AX112" s="128">
        <f>IVA!AS112/IVA!CL6</f>
        <v>1.1996077655316549E-3</v>
      </c>
      <c r="AY112" s="128">
        <f>IVA!AT112/IVA!CM6</f>
        <v>1.7202399069666861E-3</v>
      </c>
      <c r="AZ112" s="269">
        <f>IVA!AU112/IVA!CN6</f>
        <v>5.0317921499842674E-3</v>
      </c>
      <c r="BA112" s="264">
        <v>1996</v>
      </c>
      <c r="BB112" s="391" t="s">
        <v>565</v>
      </c>
      <c r="BC112" s="392"/>
      <c r="BD112" s="392"/>
      <c r="BE112" s="392"/>
      <c r="BF112" s="393">
        <v>0</v>
      </c>
      <c r="BG112" s="393">
        <v>0</v>
      </c>
      <c r="BH112" s="393">
        <v>0</v>
      </c>
      <c r="BI112" s="393">
        <v>0</v>
      </c>
      <c r="BJ112" s="393">
        <v>0</v>
      </c>
      <c r="BK112" s="393">
        <v>0</v>
      </c>
      <c r="BL112" s="393">
        <v>0</v>
      </c>
      <c r="BM112" s="393">
        <v>0</v>
      </c>
      <c r="BN112" s="393">
        <v>0</v>
      </c>
      <c r="BO112" s="393">
        <v>0</v>
      </c>
      <c r="BP112" s="393">
        <v>0</v>
      </c>
      <c r="BQ112" s="394">
        <v>0</v>
      </c>
      <c r="BR112" s="173">
        <f>IVA!BF112+IVA!BG112+IVA!BH112</f>
        <v>0</v>
      </c>
      <c r="BS112" s="173">
        <f>IVA!BI112+IVA!BJ112+IVA!BK112</f>
        <v>0</v>
      </c>
      <c r="BT112" s="173">
        <f>IVA!BL112+IVA!BM112+IVA!BN112</f>
        <v>0</v>
      </c>
      <c r="BU112" s="174">
        <f>IVA!BO112+IVA!BP112+IVA!BQ112</f>
        <v>0</v>
      </c>
      <c r="BV112" s="259"/>
      <c r="BW112" s="262"/>
      <c r="BX112" s="261"/>
      <c r="BY112" s="262"/>
      <c r="BZ112" s="262"/>
      <c r="CA112" s="301"/>
      <c r="CI112" s="53">
        <v>2006</v>
      </c>
      <c r="CJ112" s="376">
        <f>IVA!AQ36+IVA!AQ87+IVA!AQ104+IVA!AQ121+IVA!AQ155+IVA!AQ172+IVA!AQ221+IVA!AQ255</f>
        <v>10596418.657717999</v>
      </c>
      <c r="CK112" s="376">
        <f>IVA!AR36+IVA!AR87+IVA!AR104+IVA!AR121+IVA!AR155+IVA!AR172+IVA!AR221+IVA!AR255</f>
        <v>11203589.303028218</v>
      </c>
      <c r="CL112" s="376">
        <f>IVA!AS36+IVA!AS87+IVA!AS104+IVA!AS121+IVA!AS155+IVA!AS172+IVA!AS221+IVA!AS255</f>
        <v>12324375.60212112</v>
      </c>
      <c r="CM112" s="377">
        <f>IVA!AT36+IVA!AT87+IVA!AT104+IVA!AT121+IVA!AT155+IVA!AT172+IVA!AT221+IVA!AT255</f>
        <v>12653784.881927896</v>
      </c>
      <c r="CN112" s="375">
        <f>IVA!AU36+IVA!AU87+IVA!AU104+IVA!AU121+IVA!AU155+IVA!AU172+IVA!AU221+IVA!AU255</f>
        <v>46778168.444795229</v>
      </c>
      <c r="CP112" s="63"/>
      <c r="CQ112" s="13"/>
      <c r="CS112" s="375"/>
      <c r="EJ112" s="31">
        <v>2060</v>
      </c>
      <c r="EK112" s="32">
        <v>16383.288</v>
      </c>
      <c r="EL112" s="33">
        <v>14825.767</v>
      </c>
    </row>
    <row r="113" spans="27:142" ht="12.75" customHeight="1">
      <c r="AA113" s="383">
        <v>1998</v>
      </c>
      <c r="AB113" s="383" t="s">
        <v>564</v>
      </c>
      <c r="AC113" s="384"/>
      <c r="AD113" s="385"/>
      <c r="AE113" s="386">
        <v>37098</v>
      </c>
      <c r="AF113" s="386">
        <v>60064</v>
      </c>
      <c r="AG113" s="386">
        <v>94876</v>
      </c>
      <c r="AH113" s="386">
        <v>110014</v>
      </c>
      <c r="AI113" s="386">
        <v>116915</v>
      </c>
      <c r="AJ113" s="386">
        <v>119542</v>
      </c>
      <c r="AK113" s="386">
        <v>144348</v>
      </c>
      <c r="AL113" s="386">
        <v>132293</v>
      </c>
      <c r="AM113" s="386">
        <v>111007</v>
      </c>
      <c r="AN113" s="386">
        <v>120120</v>
      </c>
      <c r="AO113" s="386">
        <v>132678</v>
      </c>
      <c r="AP113" s="386">
        <v>188126</v>
      </c>
      <c r="AQ113" s="126">
        <f>IVA!AE113+IVA!AF113+IVA!AG113</f>
        <v>192038</v>
      </c>
      <c r="AR113" s="126">
        <f>IVA!AH113+IVA!AI113+IVA!AJ113</f>
        <v>346471</v>
      </c>
      <c r="AS113" s="126">
        <f>IVA!AK113+IVA!AL113+IVA!AM113</f>
        <v>387648</v>
      </c>
      <c r="AT113" s="126">
        <f>IVA!AN113+IVA!AO113+IVA!AP113</f>
        <v>440924</v>
      </c>
      <c r="AU113" s="127">
        <f>IVA!AQ113+IVA!AR113+IVA!AS113+IVA!AT113</f>
        <v>1367081</v>
      </c>
      <c r="AV113" s="128">
        <f>IVA!AQ113/IVA!CJ7</f>
        <v>6.7914586015192877E-4</v>
      </c>
      <c r="AW113" s="128">
        <f>IVA!AR113/IVA!CK7</f>
        <v>1.1100246268388786E-3</v>
      </c>
      <c r="AX113" s="128">
        <f>IVA!AS113/IVA!CL7</f>
        <v>1.2690016990148574E-3</v>
      </c>
      <c r="AY113" s="128">
        <f>IVA!AT113/IVA!CM7</f>
        <v>1.4925057749497757E-3</v>
      </c>
      <c r="AZ113" s="269">
        <f>IVA!AU113/IVA!CN7</f>
        <v>4.5729670723450664E-3</v>
      </c>
      <c r="BA113" s="264">
        <v>1997</v>
      </c>
      <c r="BB113" s="391" t="s">
        <v>565</v>
      </c>
      <c r="BC113" s="392"/>
      <c r="BD113" s="392"/>
      <c r="BE113" s="392"/>
      <c r="BF113" s="393">
        <v>0</v>
      </c>
      <c r="BG113" s="393">
        <v>0</v>
      </c>
      <c r="BH113" s="393">
        <v>0</v>
      </c>
      <c r="BI113" s="393">
        <v>0</v>
      </c>
      <c r="BJ113" s="393">
        <v>0</v>
      </c>
      <c r="BK113" s="393">
        <v>0</v>
      </c>
      <c r="BL113" s="393">
        <v>0</v>
      </c>
      <c r="BM113" s="393">
        <v>0</v>
      </c>
      <c r="BN113" s="393">
        <v>0</v>
      </c>
      <c r="BO113" s="393">
        <v>0</v>
      </c>
      <c r="BP113" s="393">
        <v>0</v>
      </c>
      <c r="BQ113" s="394">
        <v>0</v>
      </c>
      <c r="BR113" s="173">
        <f>IVA!BF113+IVA!BG113+IVA!BH113</f>
        <v>0</v>
      </c>
      <c r="BS113" s="173">
        <f>IVA!BI113+IVA!BJ113+IVA!BK113</f>
        <v>0</v>
      </c>
      <c r="BT113" s="173">
        <f>IVA!BL113+IVA!BM113+IVA!BN113</f>
        <v>0</v>
      </c>
      <c r="BU113" s="174">
        <f>IVA!BO113+IVA!BP113+IVA!BQ113</f>
        <v>0</v>
      </c>
      <c r="BV113" s="135">
        <f>IVA!BR113+IVA!BS113+IVA!BT113+IVA!BU113</f>
        <v>0</v>
      </c>
      <c r="BW113" s="136">
        <f>IVA!BR113/IVA!CJ6</f>
        <v>0</v>
      </c>
      <c r="BX113" s="137">
        <f>IVA!BS113/IVA!CK6</f>
        <v>0</v>
      </c>
      <c r="BY113" s="136">
        <f>IVA!BT113/IVA!CL6</f>
        <v>0</v>
      </c>
      <c r="BZ113" s="136">
        <f>IVA!BU113/IVA!CM6</f>
        <v>0</v>
      </c>
      <c r="CA113" s="271">
        <f>IVA!BV113/IVA!CN6</f>
        <v>0</v>
      </c>
      <c r="CI113" s="53">
        <v>2007</v>
      </c>
      <c r="CJ113" s="376">
        <f>IVA!AQ37+IVA!AQ88+IVA!AQ105+IVA!AQ122+IVA!AQ156+IVA!AQ173+IVA!AQ222+IVA!AQ256</f>
        <v>14553281.153741954</v>
      </c>
      <c r="CK113" s="376">
        <f>IVA!AR37+IVA!AR88+IVA!AR105+IVA!AR122+IVA!AR156+IVA!AR173+IVA!AR222+IVA!AR256</f>
        <v>15222879.824684191</v>
      </c>
      <c r="CL113" s="376">
        <f>IVA!AS37+IVA!AS88+IVA!AS105+IVA!AS122+IVA!AS156+IVA!AS173+IVA!AS222+IVA!AS256</f>
        <v>17129366.622385006</v>
      </c>
      <c r="CM113" s="377">
        <f>IVA!AT37+IVA!AT88+IVA!AT105+IVA!AT122+IVA!AT156+IVA!AT173+IVA!AT222+IVA!AT256</f>
        <v>16925016.759643435</v>
      </c>
      <c r="CN113" s="375">
        <f>IVA!AU37+IVA!AU88+IVA!AU105+IVA!AU122+IVA!AU156+IVA!AU173+IVA!AU222+IVA!AU256</f>
        <v>63830544.360454582</v>
      </c>
      <c r="CP113" s="63"/>
      <c r="CQ113" s="13"/>
      <c r="CS113" s="375"/>
      <c r="EJ113" s="31">
        <v>2061</v>
      </c>
      <c r="EK113" s="32">
        <v>16596.257000000001</v>
      </c>
      <c r="EL113" s="33">
        <v>15048.342000000001</v>
      </c>
    </row>
    <row r="114" spans="27:142" ht="12.75" customHeight="1">
      <c r="AA114" s="383">
        <v>1999</v>
      </c>
      <c r="AB114" s="383" t="s">
        <v>564</v>
      </c>
      <c r="AC114" s="384"/>
      <c r="AD114" s="385"/>
      <c r="AE114" s="386">
        <v>63295</v>
      </c>
      <c r="AF114" s="386">
        <v>108086</v>
      </c>
      <c r="AG114" s="386">
        <v>78817</v>
      </c>
      <c r="AH114" s="386">
        <v>124653</v>
      </c>
      <c r="AI114" s="386">
        <v>138001</v>
      </c>
      <c r="AJ114" s="386">
        <v>117286</v>
      </c>
      <c r="AK114" s="386">
        <v>124393</v>
      </c>
      <c r="AL114" s="386">
        <v>114177</v>
      </c>
      <c r="AM114" s="386">
        <v>116984</v>
      </c>
      <c r="AN114" s="386">
        <v>115526</v>
      </c>
      <c r="AO114" s="386">
        <v>117067</v>
      </c>
      <c r="AP114" s="386">
        <v>193082</v>
      </c>
      <c r="AQ114" s="126">
        <f>IVA!AE114+IVA!AF114+IVA!AG114</f>
        <v>250198</v>
      </c>
      <c r="AR114" s="126">
        <f>IVA!AH114+IVA!AI114+IVA!AJ114</f>
        <v>379940</v>
      </c>
      <c r="AS114" s="126">
        <f>IVA!AK114+IVA!AL114+IVA!AM114</f>
        <v>355554</v>
      </c>
      <c r="AT114" s="126">
        <f>IVA!AN114+IVA!AO114+IVA!AP114</f>
        <v>425675</v>
      </c>
      <c r="AU114" s="127">
        <f>IVA!AQ114+IVA!AR114+IVA!AS114+IVA!AT114</f>
        <v>1411367</v>
      </c>
      <c r="AV114" s="128">
        <f>IVA!AQ114/IVA!CJ8</f>
        <v>9.2410598863879804E-4</v>
      </c>
      <c r="AW114" s="128">
        <f>IVA!AR114/IVA!CK8</f>
        <v>1.3154457276189407E-3</v>
      </c>
      <c r="AX114" s="128">
        <f>IVA!AS114/IVA!CL8</f>
        <v>1.2471770839149071E-3</v>
      </c>
      <c r="AY114" s="128">
        <f>IVA!AT114/IVA!CM8</f>
        <v>1.4707415342992787E-3</v>
      </c>
      <c r="AZ114" s="269">
        <f>IVA!AU114/IVA!CN8</f>
        <v>4.9779625660884572E-3</v>
      </c>
      <c r="BA114" s="264">
        <v>1998</v>
      </c>
      <c r="BB114" s="391" t="s">
        <v>565</v>
      </c>
      <c r="BC114" s="392"/>
      <c r="BD114" s="392"/>
      <c r="BE114" s="392"/>
      <c r="BF114" s="393">
        <v>0</v>
      </c>
      <c r="BG114" s="393">
        <v>0</v>
      </c>
      <c r="BH114" s="393">
        <v>0</v>
      </c>
      <c r="BI114" s="393">
        <v>0</v>
      </c>
      <c r="BJ114" s="393">
        <v>0</v>
      </c>
      <c r="BK114" s="393">
        <v>0</v>
      </c>
      <c r="BL114" s="393">
        <v>0</v>
      </c>
      <c r="BM114" s="393">
        <v>0</v>
      </c>
      <c r="BN114" s="393">
        <v>0</v>
      </c>
      <c r="BO114" s="393">
        <v>0</v>
      </c>
      <c r="BP114" s="393">
        <v>0</v>
      </c>
      <c r="BQ114" s="394">
        <v>0</v>
      </c>
      <c r="BR114" s="173">
        <f>IVA!BF114+IVA!BG114+IVA!BH114</f>
        <v>0</v>
      </c>
      <c r="BS114" s="173">
        <f>IVA!BI114+IVA!BJ114+IVA!BK114</f>
        <v>0</v>
      </c>
      <c r="BT114" s="173">
        <f>IVA!BL114+IVA!BM114+IVA!BN114</f>
        <v>0</v>
      </c>
      <c r="BU114" s="174">
        <f>IVA!BO114+IVA!BP114+IVA!BQ114</f>
        <v>0</v>
      </c>
      <c r="BV114" s="135">
        <f>IVA!BR114+IVA!BS114+IVA!BT114+IVA!BU114</f>
        <v>0</v>
      </c>
      <c r="BW114" s="136">
        <f>IVA!BR114/IVA!CJ7</f>
        <v>0</v>
      </c>
      <c r="BX114" s="137">
        <f>IVA!BS114/IVA!CK7</f>
        <v>0</v>
      </c>
      <c r="BY114" s="136">
        <f>IVA!BT114/IVA!CL7</f>
        <v>0</v>
      </c>
      <c r="BZ114" s="136">
        <f>IVA!BU114/IVA!CM7</f>
        <v>0</v>
      </c>
      <c r="CA114" s="271">
        <f>IVA!BV114/IVA!CN7</f>
        <v>0</v>
      </c>
      <c r="CI114" s="53">
        <v>2008</v>
      </c>
      <c r="CJ114" s="376">
        <f>IVA!AQ38+IVA!AQ89+IVA!AQ106+IVA!AQ123+IVA!AQ157+IVA!AQ174+IVA!AQ223+IVA!AQ257</f>
        <v>19593754.029950086</v>
      </c>
      <c r="CK114" s="376">
        <f>IVA!AR38+IVA!AR89+IVA!AR106+IVA!AR123+IVA!AR157+IVA!AR174+IVA!AR223+IVA!AR257</f>
        <v>21115349.019187823</v>
      </c>
      <c r="CL114" s="376">
        <f>IVA!AS38+IVA!AS89+IVA!AS106+IVA!AS123+IVA!AS157+IVA!AS174+IVA!AS223+IVA!AS257</f>
        <v>23718852.48897035</v>
      </c>
      <c r="CM114" s="377">
        <f>IVA!AT38+IVA!AT89+IVA!AT106+IVA!AT123+IVA!AT157+IVA!AT174+IVA!AT223+IVA!AT257</f>
        <v>22982257.033042584</v>
      </c>
      <c r="CN114" s="375">
        <f>IVA!AU38+IVA!AU89+IVA!AU106+IVA!AU123+IVA!AU157+IVA!AU174+IVA!AU223+IVA!AU257</f>
        <v>87410212.571150839</v>
      </c>
      <c r="CP114" s="63"/>
      <c r="CQ114" s="13"/>
      <c r="CS114" s="375"/>
      <c r="EJ114" s="31">
        <v>2062</v>
      </c>
      <c r="EK114" s="32">
        <v>16791.327000000001</v>
      </c>
      <c r="EL114" s="33">
        <v>15254.736000000001</v>
      </c>
    </row>
    <row r="115" spans="27:142" ht="12.75" customHeight="1">
      <c r="AA115" s="383">
        <v>2000</v>
      </c>
      <c r="AB115" s="383" t="s">
        <v>564</v>
      </c>
      <c r="AC115" s="384"/>
      <c r="AD115" s="385"/>
      <c r="AE115" s="386">
        <v>57943.985990000001</v>
      </c>
      <c r="AF115" s="386">
        <v>108139.94775000001</v>
      </c>
      <c r="AG115" s="386">
        <v>78502.988230000003</v>
      </c>
      <c r="AH115" s="386">
        <v>114941.72248</v>
      </c>
      <c r="AI115" s="386">
        <v>103591.3824</v>
      </c>
      <c r="AJ115" s="386">
        <v>120510.85275000001</v>
      </c>
      <c r="AK115" s="386">
        <v>117703.9421</v>
      </c>
      <c r="AL115" s="386">
        <v>125663.44869999999</v>
      </c>
      <c r="AM115" s="386">
        <v>124285.66590000001</v>
      </c>
      <c r="AN115" s="386">
        <v>105768.6182</v>
      </c>
      <c r="AO115" s="386">
        <v>89761.765849999996</v>
      </c>
      <c r="AP115" s="386">
        <v>177771.94154999999</v>
      </c>
      <c r="AQ115" s="126">
        <f>IVA!AE115+IVA!AF115+IVA!AG115</f>
        <v>244586.92197000002</v>
      </c>
      <c r="AR115" s="126">
        <f>IVA!AH115+IVA!AI115+IVA!AJ115</f>
        <v>339043.95763000002</v>
      </c>
      <c r="AS115" s="126">
        <f>IVA!AK115+IVA!AL115+IVA!AM115</f>
        <v>367653.05670000002</v>
      </c>
      <c r="AT115" s="126">
        <f>IVA!AN115+IVA!AO115+IVA!AP115</f>
        <v>373302.32559999998</v>
      </c>
      <c r="AU115" s="127">
        <f>IVA!AQ115+IVA!AR115+IVA!AS115+IVA!AT115</f>
        <v>1324586.2619000003</v>
      </c>
      <c r="AV115" s="128">
        <f>IVA!AQ115/IVA!CJ9</f>
        <v>9.0439026922394298E-4</v>
      </c>
      <c r="AW115" s="128">
        <f>IVA!AR115/IVA!CK9</f>
        <v>1.1619211793964823E-3</v>
      </c>
      <c r="AX115" s="128">
        <f>IVA!AS115/IVA!CL9</f>
        <v>1.2788126235195364E-3</v>
      </c>
      <c r="AY115" s="128">
        <f>IVA!AT115/IVA!CM9</f>
        <v>1.3003469760348562E-3</v>
      </c>
      <c r="AZ115" s="269">
        <f>IVA!AU115/IVA!CN9</f>
        <v>4.6606925900916597E-3</v>
      </c>
      <c r="BA115" s="264">
        <v>1999</v>
      </c>
      <c r="BB115" s="391" t="s">
        <v>565</v>
      </c>
      <c r="BC115" s="392"/>
      <c r="BD115" s="392"/>
      <c r="BE115" s="392"/>
      <c r="BF115" s="393">
        <v>0</v>
      </c>
      <c r="BG115" s="393">
        <v>0</v>
      </c>
      <c r="BH115" s="393">
        <v>0</v>
      </c>
      <c r="BI115" s="393">
        <v>0</v>
      </c>
      <c r="BJ115" s="393">
        <v>0</v>
      </c>
      <c r="BK115" s="393">
        <v>0</v>
      </c>
      <c r="BL115" s="393">
        <v>0</v>
      </c>
      <c r="BM115" s="393">
        <v>0</v>
      </c>
      <c r="BN115" s="393">
        <v>0</v>
      </c>
      <c r="BO115" s="393">
        <v>0</v>
      </c>
      <c r="BP115" s="393">
        <v>0</v>
      </c>
      <c r="BQ115" s="394">
        <v>0</v>
      </c>
      <c r="BR115" s="173">
        <f>IVA!BF115+IVA!BG115+IVA!BH115</f>
        <v>0</v>
      </c>
      <c r="BS115" s="173">
        <f>IVA!BI115+IVA!BJ115+IVA!BK115</f>
        <v>0</v>
      </c>
      <c r="BT115" s="173">
        <f>IVA!BL115+IVA!BM115+IVA!BN115</f>
        <v>0</v>
      </c>
      <c r="BU115" s="174">
        <f>IVA!BO115+IVA!BP115+IVA!BQ115</f>
        <v>0</v>
      </c>
      <c r="BV115" s="135">
        <f>IVA!BR115+IVA!BS115+IVA!BT115+IVA!BU115</f>
        <v>0</v>
      </c>
      <c r="BW115" s="136">
        <f>IVA!BR115/IVA!CJ8</f>
        <v>0</v>
      </c>
      <c r="BX115" s="137">
        <f>IVA!BS115/IVA!CK8</f>
        <v>0</v>
      </c>
      <c r="BY115" s="136">
        <f>IVA!BT115/IVA!CL8</f>
        <v>0</v>
      </c>
      <c r="BZ115" s="136">
        <f>IVA!BU115/IVA!CM8</f>
        <v>0</v>
      </c>
      <c r="CA115" s="271">
        <f>IVA!BV115/IVA!CN8</f>
        <v>0</v>
      </c>
      <c r="CI115" s="53">
        <v>2009</v>
      </c>
      <c r="CJ115" s="376">
        <f>IVA!AQ39+IVA!AQ90+IVA!AQ107+IVA!AQ124+IVA!AQ158+IVA!AQ175+IVA!AQ224+IVA!AQ258</f>
        <v>24555790.606655002</v>
      </c>
      <c r="CK115" s="376">
        <f>IVA!AR39+IVA!AR90+IVA!AR107+IVA!AR124+IVA!AR158+IVA!AR175+IVA!AR224+IVA!AR258</f>
        <v>24330436.679265</v>
      </c>
      <c r="CL115" s="376">
        <f>IVA!AS39+IVA!AS90+IVA!AS107+IVA!AS124+IVA!AS158+IVA!AS175+IVA!AS224+IVA!AS258</f>
        <v>27489756.503337</v>
      </c>
      <c r="CM115" s="377">
        <f>IVA!AT39+IVA!AT90+IVA!AT107+IVA!AT124+IVA!AT158+IVA!AT175+IVA!AT224+IVA!AT258</f>
        <v>27096114.310242001</v>
      </c>
      <c r="CN115" s="375">
        <f>IVA!AU39+IVA!AU90+IVA!AU107+IVA!AU124+IVA!AU158+IVA!AU175+IVA!AU224+IVA!AU258</f>
        <v>103472098.099499</v>
      </c>
      <c r="CP115" s="63"/>
      <c r="CQ115" s="13"/>
      <c r="CS115" s="375"/>
      <c r="EJ115" s="31">
        <v>2063</v>
      </c>
      <c r="EK115" s="32">
        <v>16973.512999999999</v>
      </c>
      <c r="EL115" s="33">
        <v>15447.829</v>
      </c>
    </row>
    <row r="116" spans="27:142" ht="12.75" customHeight="1">
      <c r="AA116" s="383">
        <v>2001</v>
      </c>
      <c r="AB116" s="383" t="s">
        <v>564</v>
      </c>
      <c r="AC116" s="384"/>
      <c r="AD116" s="385"/>
      <c r="AE116" s="386">
        <v>64557.35843</v>
      </c>
      <c r="AF116" s="386">
        <v>106042.98718</v>
      </c>
      <c r="AG116" s="386">
        <v>96746.099770000001</v>
      </c>
      <c r="AH116" s="386">
        <v>97726.50808</v>
      </c>
      <c r="AI116" s="386">
        <v>132494.38878000001</v>
      </c>
      <c r="AJ116" s="386">
        <v>117523.0757</v>
      </c>
      <c r="AK116" s="386">
        <v>140646.20212999999</v>
      </c>
      <c r="AL116" s="386">
        <v>132009.09456999999</v>
      </c>
      <c r="AM116" s="386">
        <v>134489.89548000001</v>
      </c>
      <c r="AN116" s="386">
        <v>103161.54565</v>
      </c>
      <c r="AO116" s="386">
        <v>132676.52420000001</v>
      </c>
      <c r="AP116" s="386">
        <v>99070.756840000002</v>
      </c>
      <c r="AQ116" s="126">
        <f>IVA!AE116+IVA!AF116+IVA!AG116</f>
        <v>267346.44537999999</v>
      </c>
      <c r="AR116" s="126">
        <f>IVA!AH116+IVA!AI116+IVA!AJ116</f>
        <v>347743.97256000002</v>
      </c>
      <c r="AS116" s="126">
        <f>IVA!AK116+IVA!AL116+IVA!AM116</f>
        <v>407145.19217999995</v>
      </c>
      <c r="AT116" s="126">
        <f>IVA!AN116+IVA!AO116+IVA!AP116</f>
        <v>334908.82669000002</v>
      </c>
      <c r="AU116" s="127">
        <f>IVA!AQ116+IVA!AR116+IVA!AS116+IVA!AT116</f>
        <v>1357144.4368100001</v>
      </c>
      <c r="AV116" s="128">
        <f>IVA!AQ116/IVA!CJ10</f>
        <v>1.0152486618742191E-3</v>
      </c>
      <c r="AW116" s="128">
        <f>IVA!AR116/IVA!CK10</f>
        <v>1.2073350382688344E-3</v>
      </c>
      <c r="AX116" s="128">
        <f>IVA!AS116/IVA!CL10</f>
        <v>1.5003476894860099E-3</v>
      </c>
      <c r="AY116" s="128">
        <f>IVA!AT116/IVA!CM10</f>
        <v>1.3286714062292699E-3</v>
      </c>
      <c r="AZ116" s="269">
        <f>IVA!AU116/IVA!CN10</f>
        <v>5.0508413098835723E-3</v>
      </c>
      <c r="BA116" s="264">
        <v>2000</v>
      </c>
      <c r="BB116" s="391" t="s">
        <v>565</v>
      </c>
      <c r="BC116" s="392"/>
      <c r="BD116" s="392"/>
      <c r="BE116" s="392"/>
      <c r="BF116" s="393">
        <v>0</v>
      </c>
      <c r="BG116" s="393">
        <v>0</v>
      </c>
      <c r="BH116" s="393">
        <v>0</v>
      </c>
      <c r="BI116" s="393">
        <v>0</v>
      </c>
      <c r="BJ116" s="393">
        <v>0</v>
      </c>
      <c r="BK116" s="393">
        <v>0</v>
      </c>
      <c r="BL116" s="393">
        <v>0</v>
      </c>
      <c r="BM116" s="393">
        <v>0</v>
      </c>
      <c r="BN116" s="393">
        <v>0</v>
      </c>
      <c r="BO116" s="393">
        <v>0</v>
      </c>
      <c r="BP116" s="393">
        <v>0</v>
      </c>
      <c r="BQ116" s="394">
        <v>0</v>
      </c>
      <c r="BR116" s="173">
        <f>IVA!BF116+IVA!BG116+IVA!BH116</f>
        <v>0</v>
      </c>
      <c r="BS116" s="173">
        <f>IVA!BI116+IVA!BJ116+IVA!BK116</f>
        <v>0</v>
      </c>
      <c r="BT116" s="173">
        <f>IVA!BL116+IVA!BM116+IVA!BN116</f>
        <v>0</v>
      </c>
      <c r="BU116" s="174">
        <f>IVA!BO116+IVA!BP116+IVA!BQ116</f>
        <v>0</v>
      </c>
      <c r="BV116" s="135">
        <f>IVA!BR116+IVA!BS116+IVA!BT116+IVA!BU116</f>
        <v>0</v>
      </c>
      <c r="BW116" s="136">
        <f>IVA!BR116/IVA!CJ9</f>
        <v>0</v>
      </c>
      <c r="BX116" s="137">
        <f>IVA!BS116/IVA!CK9</f>
        <v>0</v>
      </c>
      <c r="BY116" s="136">
        <f>IVA!BT116/IVA!CL9</f>
        <v>0</v>
      </c>
      <c r="BZ116" s="136">
        <f>IVA!BU116/IVA!CM9</f>
        <v>0</v>
      </c>
      <c r="CA116" s="271">
        <f>IVA!BV116/IVA!CN9</f>
        <v>0</v>
      </c>
      <c r="CI116" s="53">
        <v>2010</v>
      </c>
      <c r="CJ116" s="376">
        <f>IVA!AQ40+IVA!AQ91+IVA!AQ108+IVA!AQ125+IVA!AQ159+IVA!AQ176+IVA!AQ225+IVA!AQ259+IVA!AQ196</f>
        <v>30756442.189346999</v>
      </c>
      <c r="CK116" s="376">
        <f>IVA!AR40+IVA!AR91+IVA!AR108+IVA!AR125+IVA!AR159+IVA!AR176+IVA!AR225+IVA!AR259+IVA!AR196</f>
        <v>33271206.421468999</v>
      </c>
      <c r="CL116" s="376">
        <f>IVA!AS40+IVA!AS91+IVA!AS108+IVA!AS125+IVA!AS159+IVA!AS176+IVA!AS225+IVA!AS259+IVA!AS196</f>
        <v>36700530.628006004</v>
      </c>
      <c r="CM116" s="376">
        <f>IVA!AT40+IVA!AT91+IVA!AT108+IVA!AT125+IVA!AT159+IVA!AT176+IVA!AT225+IVA!AT259+IVA!AT196</f>
        <v>37098425.208839007</v>
      </c>
      <c r="CN116" s="377">
        <f>IVA!AU40+IVA!AU91+IVA!AU108+IVA!AU125+IVA!AU159+IVA!AU176+IVA!AU225+IVA!AU259+IVA!AU196</f>
        <v>137826604.44766101</v>
      </c>
      <c r="CP116" s="63"/>
      <c r="CQ116" s="13"/>
      <c r="CS116" s="375"/>
      <c r="EJ116" s="31">
        <v>2064</v>
      </c>
      <c r="EK116" s="32">
        <v>17149.893</v>
      </c>
      <c r="EL116" s="33">
        <v>15631.406000000001</v>
      </c>
    </row>
    <row r="117" spans="27:142" ht="12.75" customHeight="1">
      <c r="AA117" s="383">
        <v>2002</v>
      </c>
      <c r="AB117" s="383" t="s">
        <v>564</v>
      </c>
      <c r="AC117" s="384"/>
      <c r="AD117" s="385"/>
      <c r="AE117" s="386">
        <v>140938.35918</v>
      </c>
      <c r="AF117" s="386">
        <v>110916.41313</v>
      </c>
      <c r="AG117" s="386">
        <v>100075.61822999999</v>
      </c>
      <c r="AH117" s="386">
        <v>91119.595740000004</v>
      </c>
      <c r="AI117" s="386">
        <v>143243.32487000001</v>
      </c>
      <c r="AJ117" s="386">
        <v>120302.19994000001</v>
      </c>
      <c r="AK117" s="386">
        <v>117485.29037</v>
      </c>
      <c r="AL117" s="386">
        <v>119910.51093</v>
      </c>
      <c r="AM117" s="386">
        <v>108536.17022</v>
      </c>
      <c r="AN117" s="386">
        <v>104012.03913999999</v>
      </c>
      <c r="AO117" s="386">
        <v>119116.23767</v>
      </c>
      <c r="AP117" s="386">
        <v>180831.02671000001</v>
      </c>
      <c r="AQ117" s="126">
        <f>IVA!AE117+IVA!AF117+IVA!AG117</f>
        <v>351930.39053999999</v>
      </c>
      <c r="AR117" s="126">
        <f>IVA!AH117+IVA!AI117+IVA!AJ117</f>
        <v>354665.12055000005</v>
      </c>
      <c r="AS117" s="126">
        <f>IVA!AK117+IVA!AL117+IVA!AM117</f>
        <v>345931.97152000002</v>
      </c>
      <c r="AT117" s="126">
        <f>IVA!AN117+IVA!AO117+IVA!AP117</f>
        <v>403959.30352000002</v>
      </c>
      <c r="AU117" s="127">
        <f>IVA!AQ117+IVA!AR117+IVA!AS117+IVA!AT117</f>
        <v>1456486.7861300001</v>
      </c>
      <c r="AV117" s="128">
        <f>IVA!AQ117/IVA!CJ11</f>
        <v>1.4845813055088016E-3</v>
      </c>
      <c r="AW117" s="128">
        <f>IVA!AR117/IVA!CK11</f>
        <v>1.0461844840120957E-3</v>
      </c>
      <c r="AX117" s="128">
        <f>IVA!AS117/IVA!CL11</f>
        <v>1.0357051443042754E-3</v>
      </c>
      <c r="AY117" s="128">
        <f>IVA!AT117/IVA!CM11</f>
        <v>1.187244639328977E-3</v>
      </c>
      <c r="AZ117" s="269">
        <f>IVA!AU117/IVA!CN11</f>
        <v>4.6595627225145464E-3</v>
      </c>
      <c r="BA117" s="264">
        <v>2001</v>
      </c>
      <c r="BB117" s="391" t="s">
        <v>565</v>
      </c>
      <c r="BC117" s="392"/>
      <c r="BD117" s="392"/>
      <c r="BE117" s="392"/>
      <c r="BF117" s="393">
        <v>0</v>
      </c>
      <c r="BG117" s="393">
        <v>0</v>
      </c>
      <c r="BH117" s="393">
        <v>0</v>
      </c>
      <c r="BI117" s="393">
        <v>55345.280753999999</v>
      </c>
      <c r="BJ117" s="393">
        <v>90047.781707999995</v>
      </c>
      <c r="BK117" s="393">
        <v>82454.923976999999</v>
      </c>
      <c r="BL117" s="393">
        <v>87547.637948999996</v>
      </c>
      <c r="BM117" s="393">
        <v>129495.838086</v>
      </c>
      <c r="BN117" s="393">
        <v>113142.392754</v>
      </c>
      <c r="BO117" s="393">
        <v>121960.707303</v>
      </c>
      <c r="BP117" s="393">
        <v>110589.411951</v>
      </c>
      <c r="BQ117" s="394">
        <v>89340.487542000003</v>
      </c>
      <c r="BR117" s="173">
        <f>IVA!BF117+IVA!BG117+IVA!BH117</f>
        <v>0</v>
      </c>
      <c r="BS117" s="173">
        <f>IVA!BI117+IVA!BJ117+IVA!BK117</f>
        <v>227847.986439</v>
      </c>
      <c r="BT117" s="173">
        <f>IVA!BL117+IVA!BM117+IVA!BN117</f>
        <v>330185.86878899997</v>
      </c>
      <c r="BU117" s="174">
        <f>IVA!BO117+IVA!BP117+IVA!BQ117</f>
        <v>321890.60679600004</v>
      </c>
      <c r="BV117" s="135">
        <f>IVA!BR117+IVA!BS117+IVA!BT117+IVA!BU117</f>
        <v>879924.46202400001</v>
      </c>
      <c r="BW117" s="136">
        <f>IVA!BR117/IVA!CJ10</f>
        <v>0</v>
      </c>
      <c r="BX117" s="137">
        <f>IVA!BS117/IVA!CK10</f>
        <v>7.910672193731349E-4</v>
      </c>
      <c r="BY117" s="136">
        <f>IVA!BT117/IVA!CL10</f>
        <v>1.2167492453637819E-3</v>
      </c>
      <c r="BZ117" s="136">
        <f>IVA!BU117/IVA!CM10</f>
        <v>1.2770247037397792E-3</v>
      </c>
      <c r="CA117" s="271">
        <f>IVA!BV117/IVA!CN10</f>
        <v>3.2747868994802555E-3</v>
      </c>
      <c r="CI117" s="53">
        <v>2011</v>
      </c>
      <c r="CJ117" s="376">
        <f>IVA!AQ41+IVA!AQ92+IVA!AQ109+IVA!AQ126+IVA!AQ160+IVA!AQ177+IVA!AQ226+IVA!AQ260+IVA!AQ197</f>
        <v>41588568.219901003</v>
      </c>
      <c r="CK117" s="376">
        <f>IVA!AR41+IVA!AR92+IVA!AR109+IVA!AR126+IVA!AR160+IVA!AR177+IVA!AR226+IVA!AR260+IVA!AR197</f>
        <v>44999336.979050994</v>
      </c>
      <c r="CL117" s="376">
        <f>IVA!AS41+IVA!AS92+IVA!AS109+IVA!AS126+IVA!AS160+IVA!AS177+IVA!AS226+IVA!AS260+IVA!AS197</f>
        <v>49458875.491515003</v>
      </c>
      <c r="CM117" s="376">
        <f>IVA!AT41+IVA!AT92+IVA!AT109+IVA!AT126+IVA!AT160+IVA!AT177+IVA!AT226+IVA!AT260+IVA!AT197</f>
        <v>48642979.960937001</v>
      </c>
      <c r="CN117" s="377">
        <f>IVA!AU41+IVA!AU92+IVA!AU109+IVA!AU126+IVA!AU160+IVA!AU177+IVA!AU226+IVA!AU260+IVA!AU197</f>
        <v>184689760.65140399</v>
      </c>
      <c r="CP117" s="63"/>
      <c r="CQ117" s="13"/>
      <c r="CS117" s="375"/>
      <c r="EJ117" s="31">
        <v>2065</v>
      </c>
      <c r="EK117" s="32">
        <v>17324.612000000001</v>
      </c>
      <c r="EL117" s="33">
        <v>15807.700999999999</v>
      </c>
    </row>
    <row r="118" spans="27:142" ht="12.75" customHeight="1">
      <c r="AA118" s="383">
        <v>2003</v>
      </c>
      <c r="AB118" s="383" t="s">
        <v>564</v>
      </c>
      <c r="AC118" s="384"/>
      <c r="AD118" s="385"/>
      <c r="AE118" s="386">
        <v>70456.441040000005</v>
      </c>
      <c r="AF118" s="386">
        <v>116072.15543</v>
      </c>
      <c r="AG118" s="386">
        <v>104366.03255</v>
      </c>
      <c r="AH118" s="386">
        <v>128298.10861</v>
      </c>
      <c r="AI118" s="386">
        <v>134193.81916000001</v>
      </c>
      <c r="AJ118" s="386">
        <v>130995.16439000001</v>
      </c>
      <c r="AK118" s="386">
        <v>103339.31845999999</v>
      </c>
      <c r="AL118" s="386">
        <v>140268.25081</v>
      </c>
      <c r="AM118" s="386">
        <v>126430.48570999999</v>
      </c>
      <c r="AN118" s="386">
        <v>137436.16349000001</v>
      </c>
      <c r="AO118" s="386">
        <v>129874.73434</v>
      </c>
      <c r="AP118" s="386">
        <v>207050.49249</v>
      </c>
      <c r="AQ118" s="126">
        <f>IVA!AE118+IVA!AF118+IVA!AG118</f>
        <v>290894.62901999999</v>
      </c>
      <c r="AR118" s="126">
        <f>IVA!AH118+IVA!AI118+IVA!AJ118</f>
        <v>393487.09216</v>
      </c>
      <c r="AS118" s="126">
        <f>IVA!AK118+IVA!AL118+IVA!AM118</f>
        <v>370038.05497999996</v>
      </c>
      <c r="AT118" s="126">
        <f>IVA!AN118+IVA!AO118+IVA!AP118</f>
        <v>474361.39032000001</v>
      </c>
      <c r="AU118" s="127">
        <f>IVA!AQ118+IVA!AR118+IVA!AS118+IVA!AT118</f>
        <v>1528781.1664799999</v>
      </c>
      <c r="AV118" s="128">
        <f>IVA!AQ118/IVA!CJ12</f>
        <v>8.8860230882020514E-4</v>
      </c>
      <c r="AW118" s="128">
        <f>IVA!AR118/IVA!CK12</f>
        <v>9.8588955467959673E-4</v>
      </c>
      <c r="AX118" s="128">
        <f>IVA!AS118/IVA!CL12</f>
        <v>9.7922875673521329E-4</v>
      </c>
      <c r="AY118" s="128">
        <f>IVA!AT118/IVA!CM12</f>
        <v>1.1880728998321778E-3</v>
      </c>
      <c r="AZ118" s="269">
        <f>IVA!AU118/IVA!CN12</f>
        <v>4.066887722082752E-3</v>
      </c>
      <c r="BA118" s="264">
        <v>2002</v>
      </c>
      <c r="BB118" s="391" t="s">
        <v>565</v>
      </c>
      <c r="BC118" s="392"/>
      <c r="BD118" s="392"/>
      <c r="BE118" s="392"/>
      <c r="BF118" s="393">
        <v>113452.716306</v>
      </c>
      <c r="BG118" s="393">
        <v>85972.116693000004</v>
      </c>
      <c r="BH118" s="393">
        <v>93851.480853000001</v>
      </c>
      <c r="BI118" s="393">
        <v>97737.267005999995</v>
      </c>
      <c r="BJ118" s="393">
        <v>151994.866002</v>
      </c>
      <c r="BK118" s="393">
        <v>121548.24915</v>
      </c>
      <c r="BL118" s="393">
        <v>141707.829639</v>
      </c>
      <c r="BM118" s="393">
        <v>129130.45514999999</v>
      </c>
      <c r="BN118" s="393">
        <v>125952.438108</v>
      </c>
      <c r="BO118" s="393">
        <v>138776.52746400001</v>
      </c>
      <c r="BP118" s="393">
        <v>131021.143887</v>
      </c>
      <c r="BQ118" s="394">
        <v>126055.489221</v>
      </c>
      <c r="BR118" s="173">
        <f>IVA!BF118+IVA!BG118+IVA!BH118</f>
        <v>293276.31385199999</v>
      </c>
      <c r="BS118" s="173">
        <f>IVA!BI118+IVA!BJ118+IVA!BK118</f>
        <v>371280.38215799996</v>
      </c>
      <c r="BT118" s="173">
        <f>IVA!BL118+IVA!BM118+IVA!BN118</f>
        <v>396790.72289700003</v>
      </c>
      <c r="BU118" s="174">
        <f>IVA!BO118+IVA!BP118+IVA!BQ118</f>
        <v>395853.16057200002</v>
      </c>
      <c r="BV118" s="135">
        <f>IVA!BR118+IVA!BS118+IVA!BT118+IVA!BU118</f>
        <v>1457200.5794790001</v>
      </c>
      <c r="BW118" s="136">
        <f>IVA!BR118/IVA!CJ11</f>
        <v>1.2371552573937914E-3</v>
      </c>
      <c r="BX118" s="137">
        <f>IVA!BS118/IVA!CK11</f>
        <v>1.0951958693581798E-3</v>
      </c>
      <c r="BY118" s="136">
        <f>IVA!BT118/IVA!CL11</f>
        <v>1.1879740144020647E-3</v>
      </c>
      <c r="BZ118" s="136">
        <f>IVA!BU118/IVA!CM11</f>
        <v>1.1634205197288427E-3</v>
      </c>
      <c r="CA118" s="271">
        <f>IVA!BV118/IVA!CN11</f>
        <v>4.6618462755905173E-3</v>
      </c>
      <c r="CI118" s="231">
        <v>2012</v>
      </c>
      <c r="CJ118" s="395">
        <f>IVA!AQ42+IVA!AQ93+IVA!AQ110+IVA!AQ127+IVA!AQ161+IVA!AQ178+IVA!AQ227+IVA!AQ261+IVA!AQ198</f>
        <v>54510660.507108666</v>
      </c>
      <c r="CK118" s="395">
        <f>IVA!AR42+IVA!AR93+IVA!AR110+IVA!AR127+IVA!AR161+IVA!AR178+IVA!AR227+IVA!AR261+IVA!AR198</f>
        <v>56628500.202184074</v>
      </c>
      <c r="CL118" s="395">
        <f>IVA!AS42+IVA!AS93+IVA!AS110+IVA!AS127+IVA!AS161+IVA!AS178+IVA!AS227+IVA!AS261+IVA!AS198</f>
        <v>64130757.491052985</v>
      </c>
      <c r="CM118" s="395">
        <f>IVA!AT42+IVA!AT93+IVA!AT110+IVA!AT127+IVA!AT161+IVA!AT178+IVA!AT227+IVA!AT261+IVA!AT198</f>
        <v>64642829.540523827</v>
      </c>
      <c r="CN118" s="396">
        <f>IVA!AU42+IVA!AU93+IVA!AU110+IVA!AU127+IVA!AU161+IVA!AU178+IVA!AU227+IVA!AU261+IVA!AU198</f>
        <v>239912747.74086955</v>
      </c>
      <c r="CO118" s="397"/>
      <c r="CQ118" s="364"/>
      <c r="CS118" s="398"/>
      <c r="EJ118" s="31">
        <v>2066</v>
      </c>
      <c r="EK118" s="32">
        <v>17482.685000000001</v>
      </c>
      <c r="EL118" s="33">
        <v>15962.498</v>
      </c>
    </row>
    <row r="119" spans="27:142" ht="12.75" customHeight="1">
      <c r="AA119" s="383">
        <v>2004</v>
      </c>
      <c r="AB119" s="383" t="s">
        <v>564</v>
      </c>
      <c r="AC119" s="384"/>
      <c r="AD119" s="385"/>
      <c r="AE119" s="386">
        <v>63950.052409999997</v>
      </c>
      <c r="AF119" s="386">
        <v>112985.20282000001</v>
      </c>
      <c r="AG119" s="386">
        <v>113687.32378000001</v>
      </c>
      <c r="AH119" s="386">
        <v>163347.05720000001</v>
      </c>
      <c r="AI119" s="386">
        <v>171090.1398</v>
      </c>
      <c r="AJ119" s="386">
        <v>126811.03015000001</v>
      </c>
      <c r="AK119" s="386">
        <v>122016.13582</v>
      </c>
      <c r="AL119" s="386">
        <v>150630.10774000001</v>
      </c>
      <c r="AM119" s="386">
        <v>89424.96845</v>
      </c>
      <c r="AN119" s="386">
        <v>136847.76256999999</v>
      </c>
      <c r="AO119" s="386">
        <v>142073.98616</v>
      </c>
      <c r="AP119" s="386">
        <v>284672.78021</v>
      </c>
      <c r="AQ119" s="126">
        <f>IVA!AE119+IVA!AF119+IVA!AG119</f>
        <v>290622.57900999999</v>
      </c>
      <c r="AR119" s="126">
        <f>IVA!AH119+IVA!AI119+IVA!AJ119</f>
        <v>461248.22715000005</v>
      </c>
      <c r="AS119" s="126">
        <f>IVA!AK119+IVA!AL119+IVA!AM119</f>
        <v>362071.21200999996</v>
      </c>
      <c r="AT119" s="126">
        <f>IVA!AN119+IVA!AO119+IVA!AP119</f>
        <v>563594.52893999999</v>
      </c>
      <c r="AU119" s="127">
        <f>IVA!AQ119+IVA!AR119+IVA!AS119+IVA!AT119</f>
        <v>1677536.5471100002</v>
      </c>
      <c r="AV119" s="128">
        <f>IVA!AQ119/IVA!CJ13</f>
        <v>7.3984216317012758E-4</v>
      </c>
      <c r="AW119" s="128">
        <f>IVA!AR119/IVA!CK13</f>
        <v>9.726602798230601E-4</v>
      </c>
      <c r="AX119" s="128">
        <f>IVA!AS119/IVA!CL13</f>
        <v>8.0090134763829111E-4</v>
      </c>
      <c r="AY119" s="128">
        <f>IVA!AT119/IVA!CM13</f>
        <v>1.195414904169054E-3</v>
      </c>
      <c r="AZ119" s="269">
        <f>IVA!AU119/IVA!CN13</f>
        <v>3.7474839370302631E-3</v>
      </c>
      <c r="BA119" s="264">
        <v>2003</v>
      </c>
      <c r="BB119" s="391" t="s">
        <v>565</v>
      </c>
      <c r="BC119" s="392"/>
      <c r="BD119" s="392"/>
      <c r="BE119" s="392"/>
      <c r="BF119" s="393">
        <v>154716.72858600001</v>
      </c>
      <c r="BG119" s="393">
        <v>118405.31155499999</v>
      </c>
      <c r="BH119" s="393">
        <v>126271.30124099999</v>
      </c>
      <c r="BI119" s="393">
        <v>138512.197824</v>
      </c>
      <c r="BJ119" s="393">
        <v>148260.89270999999</v>
      </c>
      <c r="BK119" s="393">
        <v>141884.77835099999</v>
      </c>
      <c r="BL119" s="393">
        <v>155488.95809999999</v>
      </c>
      <c r="BM119" s="393">
        <v>141026.18560500001</v>
      </c>
      <c r="BN119" s="393">
        <v>155078.719698</v>
      </c>
      <c r="BO119" s="393">
        <v>166880.988969</v>
      </c>
      <c r="BP119" s="393">
        <v>152335.24553700001</v>
      </c>
      <c r="BQ119" s="394">
        <v>171209.82207299999</v>
      </c>
      <c r="BR119" s="173">
        <f>IVA!BF119+IVA!BG119+IVA!BH119</f>
        <v>399393.34138200001</v>
      </c>
      <c r="BS119" s="173">
        <f>IVA!BI119+IVA!BJ119+IVA!BK119</f>
        <v>428657.86888499995</v>
      </c>
      <c r="BT119" s="173">
        <f>IVA!BL119+IVA!BM119+IVA!BN119</f>
        <v>451593.863403</v>
      </c>
      <c r="BU119" s="174">
        <f>IVA!BO119+IVA!BP119+IVA!BQ119</f>
        <v>490426.05657899997</v>
      </c>
      <c r="BV119" s="135">
        <f>IVA!BR119+IVA!BS119+IVA!BT119+IVA!BU119</f>
        <v>1770071.1302489997</v>
      </c>
      <c r="BW119" s="136">
        <f>IVA!BR119/IVA!CJ12</f>
        <v>1.2200357444724801E-3</v>
      </c>
      <c r="BX119" s="137">
        <f>IVA!BS119/IVA!CK12</f>
        <v>1.0740106191160542E-3</v>
      </c>
      <c r="BY119" s="136">
        <f>IVA!BT119/IVA!CL12</f>
        <v>1.1950492427955078E-3</v>
      </c>
      <c r="BZ119" s="136">
        <f>IVA!BU119/IVA!CM12</f>
        <v>1.2283080349351652E-3</v>
      </c>
      <c r="CA119" s="271">
        <f>IVA!BV119/IVA!CN12</f>
        <v>4.7087710816046168E-3</v>
      </c>
      <c r="CI119" s="237"/>
      <c r="CJ119" s="26"/>
      <c r="CK119" s="26"/>
      <c r="CL119" s="26"/>
      <c r="CM119" s="26"/>
      <c r="CN119" s="26"/>
      <c r="CO119" s="26"/>
      <c r="CP119" s="26"/>
      <c r="CQ119" s="27"/>
      <c r="EJ119" s="31">
        <v>2067</v>
      </c>
      <c r="EK119" s="32">
        <v>17635.867999999999</v>
      </c>
      <c r="EL119" s="33">
        <v>16106.481</v>
      </c>
    </row>
    <row r="120" spans="27:142" ht="12.75" customHeight="1">
      <c r="AA120" s="383">
        <v>2005</v>
      </c>
      <c r="AB120" s="383" t="s">
        <v>564</v>
      </c>
      <c r="AC120" s="384"/>
      <c r="AD120" s="385"/>
      <c r="AE120" s="386">
        <v>71794.95564</v>
      </c>
      <c r="AF120" s="386">
        <v>148553.37437999999</v>
      </c>
      <c r="AG120" s="386">
        <v>128482.50571</v>
      </c>
      <c r="AH120" s="386">
        <v>169773.50294000001</v>
      </c>
      <c r="AI120" s="386">
        <v>163080.65820999999</v>
      </c>
      <c r="AJ120" s="386">
        <v>156480.83170000001</v>
      </c>
      <c r="AK120" s="386">
        <v>127436.72893</v>
      </c>
      <c r="AL120" s="386">
        <v>155286.17952999999</v>
      </c>
      <c r="AM120" s="386">
        <v>162126.41769999999</v>
      </c>
      <c r="AN120" s="386">
        <v>168542.72967</v>
      </c>
      <c r="AO120" s="386">
        <v>162410.51394999999</v>
      </c>
      <c r="AP120" s="386">
        <v>297680.67002000002</v>
      </c>
      <c r="AQ120" s="126">
        <f>IVA!AE120+IVA!AF120+IVA!AG120</f>
        <v>348830.83572999999</v>
      </c>
      <c r="AR120" s="126">
        <f>IVA!AH120+IVA!AI120+IVA!AJ120</f>
        <v>489334.99285000004</v>
      </c>
      <c r="AS120" s="126">
        <f>IVA!AK120+IVA!AL120+IVA!AM120</f>
        <v>444849.32616</v>
      </c>
      <c r="AT120" s="126">
        <f>IVA!AN120+IVA!AO120+IVA!AP120</f>
        <v>628633.91363999993</v>
      </c>
      <c r="AU120" s="127">
        <f>IVA!AQ120+IVA!AR120+IVA!AS120+IVA!AT120</f>
        <v>1911649.0683799998</v>
      </c>
      <c r="AV120" s="128">
        <f>IVA!AQ120/IVA!CJ14</f>
        <v>7.6370036984088065E-4</v>
      </c>
      <c r="AW120" s="128">
        <f>IVA!AR120/IVA!CK14</f>
        <v>8.8581555745978165E-4</v>
      </c>
      <c r="AX120" s="128">
        <f>IVA!AS120/IVA!CL14</f>
        <v>8.173948965597115E-4</v>
      </c>
      <c r="AY120" s="128">
        <f>IVA!AT120/IVA!CM14</f>
        <v>1.0945114485802594E-3</v>
      </c>
      <c r="AZ120" s="269">
        <f>IVA!AU120/IVA!CN14</f>
        <v>3.5937392565205989E-3</v>
      </c>
      <c r="BA120" s="264">
        <v>2004</v>
      </c>
      <c r="BB120" s="391" t="s">
        <v>565</v>
      </c>
      <c r="BC120" s="392"/>
      <c r="BD120" s="392"/>
      <c r="BE120" s="392"/>
      <c r="BF120" s="393">
        <v>182068.65794400001</v>
      </c>
      <c r="BG120" s="393">
        <v>154327.23758399999</v>
      </c>
      <c r="BH120" s="393">
        <v>182176.47169499999</v>
      </c>
      <c r="BI120" s="393">
        <v>171541.43916899999</v>
      </c>
      <c r="BJ120" s="393">
        <v>201041.28809099999</v>
      </c>
      <c r="BK120" s="393">
        <v>195622.13400600001</v>
      </c>
      <c r="BL120" s="393">
        <v>201906.59344500001</v>
      </c>
      <c r="BM120" s="393">
        <v>195714.16894199999</v>
      </c>
      <c r="BN120" s="393">
        <v>199524.96722699999</v>
      </c>
      <c r="BO120" s="393">
        <v>193286.798289</v>
      </c>
      <c r="BP120" s="393">
        <v>205996.890591</v>
      </c>
      <c r="BQ120" s="394">
        <v>221352.09121799999</v>
      </c>
      <c r="BR120" s="173">
        <f>IVA!BF120+IVA!BG120+IVA!BH120</f>
        <v>518572.36722299992</v>
      </c>
      <c r="BS120" s="173">
        <f>IVA!BI120+IVA!BJ120+IVA!BK120</f>
        <v>568204.86126599996</v>
      </c>
      <c r="BT120" s="173">
        <f>IVA!BL120+IVA!BM120+IVA!BN120</f>
        <v>597145.72961400007</v>
      </c>
      <c r="BU120" s="174">
        <f>IVA!BO120+IVA!BP120+IVA!BQ120</f>
        <v>620635.78009800008</v>
      </c>
      <c r="BV120" s="135">
        <f>IVA!BR120+IVA!BS120+IVA!BT120+IVA!BU120</f>
        <v>2304558.7382009998</v>
      </c>
      <c r="BW120" s="136">
        <f>IVA!BR120/IVA!CJ13</f>
        <v>1.3201372833227683E-3</v>
      </c>
      <c r="BX120" s="137">
        <f>IVA!BS120/IVA!CK13</f>
        <v>1.1982057964118301E-3</v>
      </c>
      <c r="BY120" s="136">
        <f>IVA!BT120/IVA!CL13</f>
        <v>1.3208860680453502E-3</v>
      </c>
      <c r="BZ120" s="136">
        <f>IVA!BU120/IVA!CM13</f>
        <v>1.3164025260946439E-3</v>
      </c>
      <c r="CA120" s="271">
        <f>IVA!BV120/IVA!CN13</f>
        <v>5.1482019084646957E-3</v>
      </c>
      <c r="CI120" s="237"/>
      <c r="CJ120" s="26"/>
      <c r="CK120" s="26"/>
      <c r="CL120" s="26"/>
      <c r="CM120" s="26"/>
      <c r="CN120" s="26"/>
      <c r="CO120" s="26"/>
      <c r="CP120" s="26"/>
      <c r="CQ120" s="27"/>
      <c r="EJ120" s="31">
        <v>2068</v>
      </c>
      <c r="EK120" s="32">
        <v>17790.394</v>
      </c>
      <c r="EL120" s="33">
        <v>16248.315000000001</v>
      </c>
    </row>
    <row r="121" spans="27:142" ht="12.75" customHeight="1">
      <c r="AA121" s="383">
        <v>2006</v>
      </c>
      <c r="AB121" s="383" t="s">
        <v>564</v>
      </c>
      <c r="AC121" s="384"/>
      <c r="AD121" s="385"/>
      <c r="AE121" s="386">
        <v>50993.778330000001</v>
      </c>
      <c r="AF121" s="386">
        <v>172495.10665999999</v>
      </c>
      <c r="AG121" s="386">
        <v>136176.99366000001</v>
      </c>
      <c r="AH121" s="386">
        <v>163777.68247999999</v>
      </c>
      <c r="AI121" s="386">
        <v>192305.40104999999</v>
      </c>
      <c r="AJ121" s="386">
        <v>177883.09615</v>
      </c>
      <c r="AK121" s="386">
        <v>162935.86623000001</v>
      </c>
      <c r="AL121" s="386">
        <v>179528.14003000001</v>
      </c>
      <c r="AM121" s="386">
        <v>158475.04203000001</v>
      </c>
      <c r="AN121" s="386">
        <v>150607.65471</v>
      </c>
      <c r="AO121" s="386">
        <v>184812.66678999999</v>
      </c>
      <c r="AP121" s="386">
        <v>277055.94952000002</v>
      </c>
      <c r="AQ121" s="126">
        <f>IVA!AE121+IVA!AF121+IVA!AG121</f>
        <v>359665.87864999997</v>
      </c>
      <c r="AR121" s="126">
        <f>IVA!AH121+IVA!AI121+IVA!AJ121</f>
        <v>533966.17967999994</v>
      </c>
      <c r="AS121" s="126">
        <f>IVA!AK121+IVA!AL121+IVA!AM121</f>
        <v>500939.04829000006</v>
      </c>
      <c r="AT121" s="126">
        <f>IVA!AN121+IVA!AO121+IVA!AP121</f>
        <v>612476.27101999999</v>
      </c>
      <c r="AU121" s="127">
        <f>IVA!AQ121+IVA!AR121+IVA!AS121+IVA!AT121</f>
        <v>2007047.3776400001</v>
      </c>
      <c r="AV121" s="128">
        <f>IVA!AQ121/IVA!CJ15</f>
        <v>6.3322126404504267E-4</v>
      </c>
      <c r="AW121" s="128">
        <f>IVA!AR121/IVA!CK15</f>
        <v>7.8723739457602592E-4</v>
      </c>
      <c r="AX121" s="128">
        <f>IVA!AS121/IVA!CL15</f>
        <v>7.4968740728885311E-4</v>
      </c>
      <c r="AY121" s="128">
        <f>IVA!AT121/IVA!CM15</f>
        <v>8.7087804955596107E-4</v>
      </c>
      <c r="AZ121" s="269">
        <f>IVA!AU121/IVA!CN15</f>
        <v>3.0668212360201066E-3</v>
      </c>
      <c r="BA121" s="264">
        <v>2005</v>
      </c>
      <c r="BB121" s="391" t="s">
        <v>565</v>
      </c>
      <c r="BC121" s="392"/>
      <c r="BD121" s="392"/>
      <c r="BE121" s="392"/>
      <c r="BF121" s="393">
        <v>206516.64840000001</v>
      </c>
      <c r="BG121" s="393">
        <v>194424.11322299999</v>
      </c>
      <c r="BH121" s="393">
        <v>217165.17138000001</v>
      </c>
      <c r="BI121" s="393">
        <v>225246.92991000001</v>
      </c>
      <c r="BJ121" s="393">
        <v>231938.92733400001</v>
      </c>
      <c r="BK121" s="393">
        <v>241990.024668</v>
      </c>
      <c r="BL121" s="393">
        <v>239755.67347499999</v>
      </c>
      <c r="BM121" s="393">
        <v>242608.88729099999</v>
      </c>
      <c r="BN121" s="393">
        <v>244484.081049</v>
      </c>
      <c r="BO121" s="393">
        <v>238332.120024</v>
      </c>
      <c r="BP121" s="393">
        <v>256337.10434399999</v>
      </c>
      <c r="BQ121" s="394">
        <v>291487.68397200003</v>
      </c>
      <c r="BR121" s="173">
        <f>IVA!BF121+IVA!BG121+IVA!BH121</f>
        <v>618105.93300299998</v>
      </c>
      <c r="BS121" s="173">
        <f>IVA!BI121+IVA!BJ121+IVA!BK121</f>
        <v>699175.88191200001</v>
      </c>
      <c r="BT121" s="173">
        <f>IVA!BL121+IVA!BM121+IVA!BN121</f>
        <v>726848.64181499998</v>
      </c>
      <c r="BU121" s="174">
        <f>IVA!BO121+IVA!BP121+IVA!BQ121</f>
        <v>786156.90834000008</v>
      </c>
      <c r="BV121" s="135">
        <f>IVA!BR121+IVA!BS121+IVA!BT121+IVA!BU121</f>
        <v>2830287.3650700003</v>
      </c>
      <c r="BW121" s="136">
        <f>IVA!BR121/IVA!CJ14</f>
        <v>1.3532282163283445E-3</v>
      </c>
      <c r="BX121" s="137">
        <f>IVA!BS121/IVA!CK14</f>
        <v>1.2656786917917488E-3</v>
      </c>
      <c r="BY121" s="136">
        <f>IVA!BT121/IVA!CL14</f>
        <v>1.3355586609953621E-3</v>
      </c>
      <c r="BZ121" s="136">
        <f>IVA!BU121/IVA!CM14</f>
        <v>1.3687739682643823E-3</v>
      </c>
      <c r="CA121" s="271">
        <f>IVA!BV121/IVA!CN14</f>
        <v>5.3207018899686671E-3</v>
      </c>
      <c r="CI121" s="25" t="s">
        <v>566</v>
      </c>
      <c r="CJ121" s="26"/>
      <c r="CK121" s="26"/>
      <c r="CL121" s="26"/>
      <c r="CM121" s="26"/>
      <c r="CN121" s="26"/>
      <c r="CO121" s="26"/>
      <c r="CP121" s="26"/>
      <c r="CQ121" s="27"/>
      <c r="EJ121" s="31">
        <v>2069</v>
      </c>
      <c r="EK121" s="32">
        <v>17946.975999999999</v>
      </c>
      <c r="EL121" s="33">
        <v>16392.327000000001</v>
      </c>
    </row>
    <row r="122" spans="27:142" ht="12.75" customHeight="1">
      <c r="AA122" s="383">
        <v>2007</v>
      </c>
      <c r="AB122" s="383" t="s">
        <v>564</v>
      </c>
      <c r="AC122" s="384"/>
      <c r="AD122" s="385"/>
      <c r="AE122" s="386">
        <v>91520.328500000003</v>
      </c>
      <c r="AF122" s="386">
        <v>157802.06372000001</v>
      </c>
      <c r="AG122" s="386">
        <v>144240.03130999999</v>
      </c>
      <c r="AH122" s="386">
        <v>171566.08272000001</v>
      </c>
      <c r="AI122" s="386">
        <v>184852.19498</v>
      </c>
      <c r="AJ122" s="386">
        <v>162748.16385000001</v>
      </c>
      <c r="AK122" s="386">
        <v>167497.64621000001</v>
      </c>
      <c r="AL122" s="386">
        <v>224777.16239000001</v>
      </c>
      <c r="AM122" s="386">
        <v>237447.55387</v>
      </c>
      <c r="AN122" s="386">
        <v>176313.77909</v>
      </c>
      <c r="AO122" s="386">
        <v>223146.74531999999</v>
      </c>
      <c r="AP122" s="386">
        <v>229477.96216</v>
      </c>
      <c r="AQ122" s="126">
        <f>IVA!AE122+IVA!AF122+IVA!AG122</f>
        <v>393562.42353000003</v>
      </c>
      <c r="AR122" s="126">
        <f>IVA!AH122+IVA!AI122+IVA!AJ122</f>
        <v>519166.44154999999</v>
      </c>
      <c r="AS122" s="126">
        <f>IVA!AK122+IVA!AL122+IVA!AM122</f>
        <v>629722.36247000005</v>
      </c>
      <c r="AT122" s="126">
        <f>IVA!AN122+IVA!AO122+IVA!AP122</f>
        <v>628938.48656999995</v>
      </c>
      <c r="AU122" s="127">
        <f>IVA!AQ122+IVA!AR122+IVA!AS122+IVA!AT122</f>
        <v>2171389.7141199997</v>
      </c>
      <c r="AV122" s="128">
        <f>IVA!AQ122/IVA!CJ16</f>
        <v>5.7781657201374213E-4</v>
      </c>
      <c r="AW122" s="128">
        <f>IVA!AR122/IVA!CK16</f>
        <v>6.2166295285955464E-4</v>
      </c>
      <c r="AX122" s="128">
        <f>IVA!AS122/IVA!CL16</f>
        <v>7.610278193345201E-4</v>
      </c>
      <c r="AY122" s="128">
        <f>IVA!AT122/IVA!CM16</f>
        <v>6.9410454481084018E-4</v>
      </c>
      <c r="AZ122" s="269">
        <f>IVA!AU122/IVA!CN16</f>
        <v>2.6726249459698673E-3</v>
      </c>
      <c r="BA122" s="264">
        <v>2006</v>
      </c>
      <c r="BB122" s="391" t="s">
        <v>565</v>
      </c>
      <c r="BC122" s="392"/>
      <c r="BD122" s="392"/>
      <c r="BE122" s="392"/>
      <c r="BF122" s="393">
        <v>267747.40260899998</v>
      </c>
      <c r="BG122" s="393">
        <v>237691.57488900001</v>
      </c>
      <c r="BH122" s="393">
        <v>273170.314029</v>
      </c>
      <c r="BI122" s="393">
        <v>252155.11231500001</v>
      </c>
      <c r="BJ122" s="393">
        <v>304530.060069</v>
      </c>
      <c r="BK122" s="393">
        <v>306229.74264000001</v>
      </c>
      <c r="BL122" s="393">
        <v>296164.26646200003</v>
      </c>
      <c r="BM122" s="393">
        <v>301470.60826800001</v>
      </c>
      <c r="BN122" s="393">
        <v>281171.09002200002</v>
      </c>
      <c r="BO122" s="393">
        <v>287096.37612299999</v>
      </c>
      <c r="BP122" s="393">
        <v>337214.28621300001</v>
      </c>
      <c r="BQ122" s="394">
        <v>361064.64525</v>
      </c>
      <c r="BR122" s="173">
        <f>IVA!BF122+IVA!BG122+IVA!BH122</f>
        <v>778609.29152700002</v>
      </c>
      <c r="BS122" s="173">
        <f>IVA!BI122+IVA!BJ122+IVA!BK122</f>
        <v>862914.91502399999</v>
      </c>
      <c r="BT122" s="173">
        <f>IVA!BL122+IVA!BM122+IVA!BN122</f>
        <v>878805.96475200006</v>
      </c>
      <c r="BU122" s="174">
        <f>IVA!BO122+IVA!BP122+IVA!BQ122</f>
        <v>985375.30758600007</v>
      </c>
      <c r="BV122" s="135">
        <f>IVA!BR122+IVA!BS122+IVA!BT122+IVA!BU122</f>
        <v>3505705.4788890006</v>
      </c>
      <c r="BW122" s="136">
        <f>IVA!BR122/IVA!CJ15</f>
        <v>1.3708054865491537E-3</v>
      </c>
      <c r="BX122" s="137">
        <f>IVA!BS122/IVA!CK15</f>
        <v>1.2722133260413514E-3</v>
      </c>
      <c r="BY122" s="136">
        <f>IVA!BT122/IVA!CL15</f>
        <v>1.3151894775898986E-3</v>
      </c>
      <c r="BZ122" s="136">
        <f>IVA!BU122/IVA!CM15</f>
        <v>1.4011019961997497E-3</v>
      </c>
      <c r="CA122" s="271">
        <f>IVA!BV122/IVA!CN15</f>
        <v>5.3568102724764251E-3</v>
      </c>
      <c r="CI122" s="237"/>
      <c r="CJ122" s="26"/>
      <c r="CK122" s="26"/>
      <c r="CL122" s="26"/>
      <c r="CM122" s="26"/>
      <c r="CN122" s="26"/>
      <c r="CO122" s="26"/>
      <c r="CP122" s="26"/>
      <c r="CQ122" s="27"/>
      <c r="EJ122" s="31">
        <v>2070</v>
      </c>
      <c r="EK122" s="32">
        <v>18101.698</v>
      </c>
      <c r="EL122" s="33">
        <v>16536.846000000001</v>
      </c>
    </row>
    <row r="123" spans="27:142" ht="12.75" customHeight="1">
      <c r="AA123" s="383">
        <v>2008</v>
      </c>
      <c r="AB123" s="383" t="s">
        <v>564</v>
      </c>
      <c r="AC123" s="384"/>
      <c r="AD123" s="385"/>
      <c r="AE123" s="386">
        <v>153351.08616000001</v>
      </c>
      <c r="AF123" s="386">
        <v>217610.79157</v>
      </c>
      <c r="AG123" s="386">
        <v>196814.79829999999</v>
      </c>
      <c r="AH123" s="386">
        <v>210950.91367000001</v>
      </c>
      <c r="AI123" s="386">
        <v>200632.48509999999</v>
      </c>
      <c r="AJ123" s="386">
        <v>273575.62809000001</v>
      </c>
      <c r="AK123" s="386">
        <v>203292.12955000001</v>
      </c>
      <c r="AL123" s="386">
        <v>179226.63557000001</v>
      </c>
      <c r="AM123" s="386">
        <v>199563.62364999999</v>
      </c>
      <c r="AN123" s="386">
        <v>194372.84271</v>
      </c>
      <c r="AO123" s="386">
        <v>138709.67142</v>
      </c>
      <c r="AP123" s="386">
        <v>343784.00260000001</v>
      </c>
      <c r="AQ123" s="126">
        <f>IVA!AE123+IVA!AF123+IVA!AG123</f>
        <v>567776.67602999997</v>
      </c>
      <c r="AR123" s="126">
        <f>IVA!AH123+IVA!AI123+IVA!AJ123</f>
        <v>685159.02685999998</v>
      </c>
      <c r="AS123" s="126">
        <f>IVA!AK123+IVA!AL123+IVA!AM123</f>
        <v>582082.38876999996</v>
      </c>
      <c r="AT123" s="126">
        <f>IVA!AN123+IVA!AO123+IVA!AP123</f>
        <v>676866.51673000003</v>
      </c>
      <c r="AU123" s="127">
        <f>IVA!AQ123+IVA!AR123+IVA!AS123+IVA!AT123</f>
        <v>2511884.6083899997</v>
      </c>
      <c r="AV123" s="128">
        <f>IVA!AQ123/IVA!CJ17</f>
        <v>6.3964530338210296E-4</v>
      </c>
      <c r="AW123" s="128">
        <f>IVA!AR123/IVA!CK17</f>
        <v>6.1840647541194663E-4</v>
      </c>
      <c r="AX123" s="128">
        <f>IVA!AS123/IVA!CL17</f>
        <v>5.504060820063052E-4</v>
      </c>
      <c r="AY123" s="128">
        <f>IVA!AT123/IVA!CM17</f>
        <v>6.2795137224905056E-4</v>
      </c>
      <c r="AZ123" s="269">
        <f>IVA!AU123/IVA!CN17</f>
        <v>2.4322102645440652E-3</v>
      </c>
      <c r="BA123" s="264">
        <v>2007</v>
      </c>
      <c r="BB123" s="391" t="s">
        <v>565</v>
      </c>
      <c r="BC123" s="392"/>
      <c r="BD123" s="392"/>
      <c r="BE123" s="392"/>
      <c r="BF123" s="393">
        <v>318621.09464700002</v>
      </c>
      <c r="BG123" s="393">
        <v>338282.83000199997</v>
      </c>
      <c r="BH123" s="393">
        <v>307444.577322</v>
      </c>
      <c r="BI123" s="393">
        <v>315227.70287699997</v>
      </c>
      <c r="BJ123" s="393">
        <v>384099.62296200002</v>
      </c>
      <c r="BK123" s="393">
        <v>396959.95066500001</v>
      </c>
      <c r="BL123" s="393">
        <v>370753.80732899997</v>
      </c>
      <c r="BM123" s="393">
        <v>409098.46367099998</v>
      </c>
      <c r="BN123" s="393">
        <v>410128.369305</v>
      </c>
      <c r="BO123" s="393">
        <v>395036.82935399999</v>
      </c>
      <c r="BP123" s="393">
        <v>451490.31313199998</v>
      </c>
      <c r="BQ123" s="394">
        <v>422344.70030099998</v>
      </c>
      <c r="BR123" s="173">
        <f>IVA!BF123+IVA!BG123+IVA!BH123</f>
        <v>964348.50197099987</v>
      </c>
      <c r="BS123" s="173">
        <f>IVA!BI123+IVA!BJ123+IVA!BK123</f>
        <v>1096287.2765040002</v>
      </c>
      <c r="BT123" s="173">
        <f>IVA!BL123+IVA!BM123+IVA!BN123</f>
        <v>1189980.6403049999</v>
      </c>
      <c r="BU123" s="174">
        <f>IVA!BO123+IVA!BP123+IVA!BQ123</f>
        <v>1268871.8427869999</v>
      </c>
      <c r="BV123" s="135">
        <f>IVA!BR123+IVA!BS123+IVA!BT123+IVA!BU123</f>
        <v>4519488.2615670003</v>
      </c>
      <c r="BW123" s="136">
        <f>IVA!BR123/IVA!CJ16</f>
        <v>1.4158276103638124E-3</v>
      </c>
      <c r="BX123" s="137">
        <f>IVA!BS123/IVA!CK16</f>
        <v>1.3127219537902273E-3</v>
      </c>
      <c r="BY123" s="136">
        <f>IVA!BT123/IVA!CL16</f>
        <v>1.438107371936872E-3</v>
      </c>
      <c r="BZ123" s="136">
        <f>IVA!BU123/IVA!CM16</f>
        <v>1.4003431681596393E-3</v>
      </c>
      <c r="CA123" s="271">
        <f>IVA!BV123/IVA!CN16</f>
        <v>5.5627495112166797E-3</v>
      </c>
      <c r="CI123" s="237"/>
      <c r="CJ123" s="26"/>
      <c r="CK123" s="26"/>
      <c r="CL123" s="26"/>
      <c r="CM123" s="26"/>
      <c r="CN123" s="26"/>
      <c r="CO123" s="26"/>
      <c r="CP123" s="26"/>
      <c r="CQ123" s="27"/>
      <c r="EJ123" s="31">
        <v>2071</v>
      </c>
      <c r="EK123" s="32">
        <v>18244.916000000001</v>
      </c>
      <c r="EL123" s="33">
        <v>16672.206999999999</v>
      </c>
    </row>
    <row r="124" spans="27:142" ht="12.75" customHeight="1">
      <c r="AA124" s="383">
        <v>2009</v>
      </c>
      <c r="AB124" s="383" t="s">
        <v>564</v>
      </c>
      <c r="AC124" s="384"/>
      <c r="AD124" s="385"/>
      <c r="AE124" s="386">
        <v>148950</v>
      </c>
      <c r="AF124" s="386">
        <v>244545</v>
      </c>
      <c r="AG124" s="386">
        <v>175544</v>
      </c>
      <c r="AH124" s="386">
        <v>209580</v>
      </c>
      <c r="AI124" s="386">
        <v>216825</v>
      </c>
      <c r="AJ124" s="386">
        <v>206601</v>
      </c>
      <c r="AK124" s="386">
        <v>197734</v>
      </c>
      <c r="AL124" s="386">
        <v>182829</v>
      </c>
      <c r="AM124" s="386">
        <v>242406</v>
      </c>
      <c r="AN124" s="386">
        <v>259464</v>
      </c>
      <c r="AO124" s="386">
        <v>328363</v>
      </c>
      <c r="AP124" s="386">
        <v>437347</v>
      </c>
      <c r="AQ124" s="126">
        <f>IVA!AE124+IVA!AF124+IVA!AG124</f>
        <v>569039</v>
      </c>
      <c r="AR124" s="126">
        <f>IVA!AH124+IVA!AI124+IVA!AJ124</f>
        <v>633006</v>
      </c>
      <c r="AS124" s="126">
        <f>IVA!AK124+IVA!AL124+IVA!AM124</f>
        <v>622969</v>
      </c>
      <c r="AT124" s="126">
        <f>IVA!AN124+IVA!AO124+IVA!AP124</f>
        <v>1025174</v>
      </c>
      <c r="AU124" s="127">
        <f>IVA!AQ124+IVA!AR124+IVA!AS124+IVA!AT124</f>
        <v>2850188</v>
      </c>
      <c r="AV124" s="128">
        <f>IVA!AQ124/IVA!CJ18</f>
        <v>5.7307228272582441E-4</v>
      </c>
      <c r="AW124" s="128">
        <f>IVA!AR124/IVA!CK18</f>
        <v>5.2954709297762148E-4</v>
      </c>
      <c r="AX124" s="128">
        <f>IVA!AS124/IVA!CL18</f>
        <v>5.3300112451214209E-4</v>
      </c>
      <c r="AY124" s="128">
        <f>IVA!AT124/IVA!CM18</f>
        <v>8.3707917078242196E-4</v>
      </c>
      <c r="AZ124" s="269">
        <f>IVA!AU124/IVA!CN18</f>
        <v>2.4882511301470237E-3</v>
      </c>
      <c r="BA124" s="264">
        <v>2008</v>
      </c>
      <c r="BB124" s="391" t="s">
        <v>565</v>
      </c>
      <c r="BC124" s="392"/>
      <c r="BD124" s="392"/>
      <c r="BE124" s="392"/>
      <c r="BF124" s="393">
        <v>473898.35074800003</v>
      </c>
      <c r="BG124" s="393">
        <v>451529.49498600001</v>
      </c>
      <c r="BH124" s="393">
        <v>382273.06111499999</v>
      </c>
      <c r="BI124" s="393">
        <v>481518.15859499999</v>
      </c>
      <c r="BJ124" s="393">
        <v>505751.518278</v>
      </c>
      <c r="BK124" s="393">
        <v>458348.59185899998</v>
      </c>
      <c r="BL124" s="393">
        <v>519797.24009099999</v>
      </c>
      <c r="BM124" s="393">
        <v>523580.053992</v>
      </c>
      <c r="BN124" s="393">
        <v>505339.94596799999</v>
      </c>
      <c r="BO124" s="393">
        <v>524154.15405900002</v>
      </c>
      <c r="BP124" s="393">
        <v>512074.99694099999</v>
      </c>
      <c r="BQ124" s="394">
        <v>510281.50067400001</v>
      </c>
      <c r="BR124" s="173">
        <f>IVA!BF124+IVA!BG124+IVA!BH124</f>
        <v>1307700.9068489999</v>
      </c>
      <c r="BS124" s="173">
        <f>IVA!BI124+IVA!BJ124+IVA!BK124</f>
        <v>1445618.2687319999</v>
      </c>
      <c r="BT124" s="173">
        <f>IVA!BL124+IVA!BM124+IVA!BN124</f>
        <v>1548717.2400509999</v>
      </c>
      <c r="BU124" s="174">
        <f>IVA!BO124+IVA!BP124+IVA!BQ124</f>
        <v>1546510.6516740001</v>
      </c>
      <c r="BV124" s="135">
        <f>IVA!BR124+IVA!BS124+IVA!BT124+IVA!BU124</f>
        <v>5848547.0673060007</v>
      </c>
      <c r="BW124" s="136">
        <f>IVA!BR124/IVA!CJ17</f>
        <v>1.4732284340089428E-3</v>
      </c>
      <c r="BX124" s="137">
        <f>IVA!BS124/IVA!CK17</f>
        <v>1.3047769398218045E-3</v>
      </c>
      <c r="BY124" s="136">
        <f>IVA!BT124/IVA!CL17</f>
        <v>1.4644376890243112E-3</v>
      </c>
      <c r="BZ124" s="136">
        <f>IVA!BU124/IVA!CM17</f>
        <v>1.4347488934865482E-3</v>
      </c>
      <c r="CA124" s="271">
        <f>IVA!BV124/IVA!CN17</f>
        <v>5.66303729170435E-3</v>
      </c>
      <c r="CI124" s="233"/>
      <c r="CJ124" s="76"/>
      <c r="CK124" s="77"/>
      <c r="CL124" s="77"/>
      <c r="CM124" s="77"/>
      <c r="CN124" s="77"/>
      <c r="EJ124" s="31">
        <v>2072</v>
      </c>
      <c r="EK124" s="32">
        <v>18396.544999999998</v>
      </c>
      <c r="EL124" s="33">
        <v>16817.965</v>
      </c>
    </row>
    <row r="125" spans="27:142" ht="12.75" customHeight="1">
      <c r="AA125" s="383">
        <v>2010</v>
      </c>
      <c r="AB125" s="383" t="s">
        <v>564</v>
      </c>
      <c r="AC125" s="384"/>
      <c r="AD125" s="385"/>
      <c r="AE125" s="386">
        <v>131993</v>
      </c>
      <c r="AF125" s="386">
        <v>310924</v>
      </c>
      <c r="AG125" s="386">
        <v>246304</v>
      </c>
      <c r="AH125" s="386">
        <v>235479</v>
      </c>
      <c r="AI125" s="386">
        <v>384698</v>
      </c>
      <c r="AJ125" s="386">
        <v>288049</v>
      </c>
      <c r="AK125" s="386">
        <v>227821</v>
      </c>
      <c r="AL125" s="386">
        <v>298926</v>
      </c>
      <c r="AM125" s="386">
        <v>320192</v>
      </c>
      <c r="AN125" s="386">
        <v>340085</v>
      </c>
      <c r="AO125" s="386">
        <v>341358</v>
      </c>
      <c r="AP125" s="386">
        <v>514396</v>
      </c>
      <c r="AQ125" s="126">
        <f>IVA!AE125+IVA!AF125+IVA!AG125</f>
        <v>689221</v>
      </c>
      <c r="AR125" s="126">
        <f>IVA!AH125+IVA!AI125+IVA!AJ125</f>
        <v>908226</v>
      </c>
      <c r="AS125" s="126">
        <f>IVA!AK125+IVA!AL125+IVA!AM125</f>
        <v>846939</v>
      </c>
      <c r="AT125" s="126">
        <f>IVA!AN125+IVA!AO125+IVA!AP125</f>
        <v>1195839</v>
      </c>
      <c r="AU125" s="127">
        <f>IVA!AQ125+IVA!AR125+IVA!AS125+IVA!AT125</f>
        <v>3640225</v>
      </c>
      <c r="AV125" s="128">
        <f>IVA!AQ125/IVA!CJ19</f>
        <v>5.6615061348912134E-4</v>
      </c>
      <c r="AW125" s="128">
        <f>IVA!AR125/IVA!CK19</f>
        <v>6.0215781470788956E-4</v>
      </c>
      <c r="AX125" s="128">
        <f>IVA!AS125/IVA!CL19</f>
        <v>5.7777749880762955E-4</v>
      </c>
      <c r="AY125" s="128">
        <f>IVA!AT125/IVA!CM19</f>
        <v>7.5729226912553751E-4</v>
      </c>
      <c r="AZ125" s="269">
        <f>IVA!AU125/IVA!CN19</f>
        <v>2.5232810649066855E-3</v>
      </c>
      <c r="BA125" s="264">
        <v>2009</v>
      </c>
      <c r="BB125" s="391" t="s">
        <v>565</v>
      </c>
      <c r="BC125" s="392"/>
      <c r="BD125" s="392"/>
      <c r="BE125" s="392"/>
      <c r="BF125" s="393">
        <v>508417.5</v>
      </c>
      <c r="BG125" s="393">
        <v>455738.7</v>
      </c>
      <c r="BH125" s="393">
        <v>429488.7</v>
      </c>
      <c r="BI125" s="393">
        <v>500436.3</v>
      </c>
      <c r="BJ125" s="393">
        <v>515154</v>
      </c>
      <c r="BK125" s="393">
        <v>512405.1</v>
      </c>
      <c r="BL125" s="393">
        <v>533752.80000000005</v>
      </c>
      <c r="BM125" s="393">
        <v>507649.2</v>
      </c>
      <c r="BN125" s="393">
        <v>540745.80000000005</v>
      </c>
      <c r="BO125" s="393">
        <v>530837.4</v>
      </c>
      <c r="BP125" s="393">
        <v>523606.5</v>
      </c>
      <c r="BQ125" s="394">
        <v>610208.69999999995</v>
      </c>
      <c r="BR125" s="173">
        <f>IVA!BF125+IVA!BG125+IVA!BH125</f>
        <v>1393644.9</v>
      </c>
      <c r="BS125" s="173">
        <f>IVA!BI125+IVA!BJ125+IVA!BK125</f>
        <v>1527995.4</v>
      </c>
      <c r="BT125" s="173">
        <f>IVA!BL125+IVA!BM125+IVA!BN125</f>
        <v>1582147.8</v>
      </c>
      <c r="BU125" s="174">
        <f>IVA!BO125+IVA!BP125+IVA!BQ125</f>
        <v>1664652.5999999999</v>
      </c>
      <c r="BV125" s="135">
        <f>IVA!BR125+IVA!BS125+IVA!BT125+IVA!BU125</f>
        <v>6168440.6999999993</v>
      </c>
      <c r="BW125" s="136">
        <f>IVA!BR125/IVA!CJ18</f>
        <v>1.4035228941288789E-3</v>
      </c>
      <c r="BX125" s="137">
        <f>IVA!BS125/IVA!CK18</f>
        <v>1.2782588508689933E-3</v>
      </c>
      <c r="BY125" s="136">
        <f>IVA!BT125/IVA!CL18</f>
        <v>1.3536573353480057E-3</v>
      </c>
      <c r="BZ125" s="136">
        <f>IVA!BU125/IVA!CM18</f>
        <v>1.3592287924282147E-3</v>
      </c>
      <c r="CA125" s="271">
        <f>IVA!BV125/IVA!CN18</f>
        <v>5.3851288206321459E-3</v>
      </c>
      <c r="CI125" s="233"/>
      <c r="CJ125" s="91" t="s">
        <v>558</v>
      </c>
      <c r="CK125" s="92" t="s">
        <v>559</v>
      </c>
      <c r="CL125" s="92" t="s">
        <v>560</v>
      </c>
      <c r="CM125" s="92" t="s">
        <v>561</v>
      </c>
      <c r="CN125" s="92" t="s">
        <v>562</v>
      </c>
      <c r="EJ125" s="31">
        <v>2073</v>
      </c>
      <c r="EK125" s="32">
        <v>18545.705999999998</v>
      </c>
      <c r="EL125" s="33">
        <v>16963.044000000002</v>
      </c>
    </row>
    <row r="126" spans="27:142" ht="12.75" customHeight="1">
      <c r="AA126" s="383">
        <v>2011</v>
      </c>
      <c r="AB126" s="383" t="s">
        <v>564</v>
      </c>
      <c r="AC126" s="384"/>
      <c r="AD126" s="385"/>
      <c r="AE126" s="386">
        <v>136705</v>
      </c>
      <c r="AF126" s="386">
        <v>332772</v>
      </c>
      <c r="AG126" s="386">
        <v>228070</v>
      </c>
      <c r="AH126" s="386">
        <v>303387</v>
      </c>
      <c r="AI126" s="386">
        <v>412368</v>
      </c>
      <c r="AJ126" s="386">
        <v>349446</v>
      </c>
      <c r="AK126" s="386">
        <v>289540</v>
      </c>
      <c r="AL126" s="386">
        <v>310604</v>
      </c>
      <c r="AM126" s="386">
        <v>364774</v>
      </c>
      <c r="AN126" s="386">
        <v>366367</v>
      </c>
      <c r="AO126" s="386">
        <v>330674</v>
      </c>
      <c r="AP126" s="386">
        <v>602781</v>
      </c>
      <c r="AQ126" s="126">
        <f>IVA!AE126+IVA!AF126+IVA!AG126</f>
        <v>697547</v>
      </c>
      <c r="AR126" s="126">
        <f>IVA!AH126+IVA!AI126+IVA!AJ126</f>
        <v>1065201</v>
      </c>
      <c r="AS126" s="126">
        <f>IVA!AK126+IVA!AL126+IVA!AM126</f>
        <v>964918</v>
      </c>
      <c r="AT126" s="126">
        <f>IVA!AN126+IVA!AO126+IVA!AP126</f>
        <v>1299822</v>
      </c>
      <c r="AU126" s="127">
        <f>IVA!AQ126+IVA!AR126+IVA!AS126+IVA!AT126</f>
        <v>4027488</v>
      </c>
      <c r="AV126" s="128">
        <f>IVA!AQ126/IVA!CJ20</f>
        <v>4.4498335013205066E-4</v>
      </c>
      <c r="AW126" s="128">
        <f>IVA!AR126/IVA!CK20</f>
        <v>5.3900732005125762E-4</v>
      </c>
      <c r="AX126" s="128">
        <f>IVA!AS126/IVA!CL20</f>
        <v>5.1727388577441167E-4</v>
      </c>
      <c r="AY126" s="128">
        <f>IVA!AT126/IVA!CM20</f>
        <v>6.6355023354393891E-4</v>
      </c>
      <c r="AZ126" s="269">
        <f>IVA!AU126/IVA!CN20</f>
        <v>2.1864492961560181E-3</v>
      </c>
      <c r="BA126" s="264">
        <v>2010</v>
      </c>
      <c r="BB126" s="391" t="s">
        <v>565</v>
      </c>
      <c r="BC126" s="392"/>
      <c r="BD126" s="392"/>
      <c r="BE126" s="392"/>
      <c r="BF126" s="393">
        <v>583465.5</v>
      </c>
      <c r="BG126" s="393">
        <v>540616.19999999995</v>
      </c>
      <c r="BH126" s="393">
        <v>545902.19999999995</v>
      </c>
      <c r="BI126" s="393">
        <v>622359</v>
      </c>
      <c r="BJ126" s="393">
        <v>670904.4</v>
      </c>
      <c r="BK126" s="393">
        <v>656787.9</v>
      </c>
      <c r="BL126" s="393">
        <v>730894.5</v>
      </c>
      <c r="BM126" s="393">
        <v>666619.80000000005</v>
      </c>
      <c r="BN126" s="393">
        <v>753512.1</v>
      </c>
      <c r="BO126" s="393">
        <v>737330.7</v>
      </c>
      <c r="BP126" s="393">
        <v>691116.9</v>
      </c>
      <c r="BQ126" s="394">
        <v>865911.3</v>
      </c>
      <c r="BR126" s="173">
        <f>IVA!BF126+IVA!BG126+IVA!BH126</f>
        <v>1669983.9</v>
      </c>
      <c r="BS126" s="173">
        <f>IVA!BI126+IVA!BJ126+IVA!BK126</f>
        <v>1950051.2999999998</v>
      </c>
      <c r="BT126" s="173">
        <f>IVA!BL126+IVA!BM126+IVA!BN126</f>
        <v>2151026.4</v>
      </c>
      <c r="BU126" s="174">
        <f>IVA!BO126+IVA!BP126+IVA!BQ126</f>
        <v>2294358.9000000004</v>
      </c>
      <c r="BV126" s="135">
        <f>IVA!BR126+IVA!BS126+IVA!BT126+IVA!BU126</f>
        <v>8065420.5</v>
      </c>
      <c r="BW126" s="136">
        <f>IVA!BR126/IVA!CJ19</f>
        <v>1.3717841004582789E-3</v>
      </c>
      <c r="BX126" s="137">
        <f>IVA!BS126/IVA!CK19</f>
        <v>1.2928925502862494E-3</v>
      </c>
      <c r="BY126" s="136">
        <f>IVA!BT126/IVA!CL19</f>
        <v>1.467419322124946E-3</v>
      </c>
      <c r="BZ126" s="136">
        <f>IVA!BU126/IVA!CM19</f>
        <v>1.4529550027799498E-3</v>
      </c>
      <c r="CA126" s="271">
        <f>IVA!BV126/IVA!CN19</f>
        <v>5.5906771774162896E-3</v>
      </c>
      <c r="CI126" s="233"/>
      <c r="CJ126" s="279"/>
      <c r="CK126" s="279"/>
      <c r="CL126" s="279"/>
      <c r="CM126" s="279"/>
      <c r="CN126" s="279"/>
      <c r="EJ126" s="31">
        <v>2074</v>
      </c>
      <c r="EK126" s="32">
        <v>18684.123</v>
      </c>
      <c r="EL126" s="33">
        <v>17098.75</v>
      </c>
    </row>
    <row r="127" spans="27:142" ht="12.75" customHeight="1">
      <c r="AA127" s="399">
        <v>2012</v>
      </c>
      <c r="AB127" s="399" t="s">
        <v>564</v>
      </c>
      <c r="AC127" s="400"/>
      <c r="AD127" s="401"/>
      <c r="AE127" s="402">
        <v>160786.74215000001</v>
      </c>
      <c r="AF127" s="402">
        <v>429566.74187000003</v>
      </c>
      <c r="AG127" s="402">
        <v>318511.47318999999</v>
      </c>
      <c r="AH127" s="402">
        <v>430471.05297000002</v>
      </c>
      <c r="AI127" s="402">
        <v>499338.50795</v>
      </c>
      <c r="AJ127" s="402">
        <v>359589.50916999998</v>
      </c>
      <c r="AK127" s="402">
        <v>554242.62277999998</v>
      </c>
      <c r="AL127" s="402">
        <v>519201.84510999999</v>
      </c>
      <c r="AM127" s="402">
        <v>587472.5845</v>
      </c>
      <c r="AN127" s="402">
        <v>481885.58902999997</v>
      </c>
      <c r="AO127" s="402">
        <v>526811.37381000002</v>
      </c>
      <c r="AP127" s="402">
        <v>922152.32235000003</v>
      </c>
      <c r="AQ127" s="247">
        <f>IVA!AE127+IVA!AF127+IVA!AG127</f>
        <v>908864.95721000014</v>
      </c>
      <c r="AR127" s="247">
        <f>IVA!AH127+IVA!AI127+IVA!AJ127</f>
        <v>1289399.0700900001</v>
      </c>
      <c r="AS127" s="247">
        <f>IVA!AK127+IVA!AL127+IVA!AM127</f>
        <v>1660917.0523899999</v>
      </c>
      <c r="AT127" s="247">
        <f>IVA!AN127+IVA!AO127+IVA!AP127</f>
        <v>1930849.28519</v>
      </c>
      <c r="AU127" s="248">
        <f>IVA!AQ127+IVA!AR127+IVA!AS127+IVA!AT127</f>
        <v>5790030.3648800002</v>
      </c>
      <c r="AV127" s="250">
        <f>IVA!AQ127/IVA!CJ21</f>
        <v>4.847447816644311E-4</v>
      </c>
      <c r="AW127" s="250">
        <f>IVA!AR127/IVA!CK21</f>
        <v>5.6722716827972881E-4</v>
      </c>
      <c r="AX127" s="250">
        <f>IVA!AS127/IVA!CL21</f>
        <v>7.6087310574534208E-4</v>
      </c>
      <c r="AY127" s="250">
        <f>IVA!AT127/IVA!CM21</f>
        <v>8.3012384021530379E-4</v>
      </c>
      <c r="AZ127" s="294">
        <f>IVA!AU127/IVA!CN21</f>
        <v>2.6753107996271555E-3</v>
      </c>
      <c r="BA127" s="264">
        <v>2011</v>
      </c>
      <c r="BB127" s="391" t="s">
        <v>565</v>
      </c>
      <c r="BC127" s="392"/>
      <c r="BD127" s="392"/>
      <c r="BE127" s="392"/>
      <c r="BF127" s="393">
        <v>798552.3</v>
      </c>
      <c r="BG127" s="393">
        <v>785827.2</v>
      </c>
      <c r="BH127" s="393">
        <v>731175.6</v>
      </c>
      <c r="BI127" s="393">
        <v>806261.7</v>
      </c>
      <c r="BJ127" s="393">
        <v>885406.5</v>
      </c>
      <c r="BK127" s="393">
        <v>952731.9</v>
      </c>
      <c r="BL127" s="393">
        <v>987843.6</v>
      </c>
      <c r="BM127" s="393">
        <v>874647.6</v>
      </c>
      <c r="BN127" s="393">
        <v>1062715.2</v>
      </c>
      <c r="BO127" s="393">
        <v>943637.4</v>
      </c>
      <c r="BP127" s="393">
        <v>1005294.9</v>
      </c>
      <c r="BQ127" s="394">
        <v>1019733.9</v>
      </c>
      <c r="BR127" s="173">
        <f>IVA!BF127+IVA!BG127+IVA!BH127</f>
        <v>2315555.1</v>
      </c>
      <c r="BS127" s="173">
        <f>IVA!BI127+IVA!BJ127+IVA!BK127</f>
        <v>2644400.1</v>
      </c>
      <c r="BT127" s="173">
        <f>IVA!BL127+IVA!BM127+IVA!BN127</f>
        <v>2925206.4</v>
      </c>
      <c r="BU127" s="174">
        <f>IVA!BO127+IVA!BP127+IVA!BQ127</f>
        <v>2968666.2</v>
      </c>
      <c r="BV127" s="135">
        <f>IVA!BR127+IVA!BS127+IVA!BT127+IVA!BU127</f>
        <v>10853827.800000001</v>
      </c>
      <c r="BW127" s="136">
        <f>IVA!BR127/IVA!CJ20</f>
        <v>1.4771527449954707E-3</v>
      </c>
      <c r="BX127" s="137">
        <f>IVA!BS127/IVA!CK20</f>
        <v>1.3381052130483147E-3</v>
      </c>
      <c r="BY127" s="136">
        <f>IVA!BT127/IVA!CL20</f>
        <v>1.5681466002501537E-3</v>
      </c>
      <c r="BZ127" s="136">
        <f>IVA!BU127/IVA!CM20</f>
        <v>1.5154837741813861E-3</v>
      </c>
      <c r="CA127" s="271">
        <f>IVA!BV127/IVA!CN20</f>
        <v>5.8923438515294455E-3</v>
      </c>
      <c r="CI127" s="53">
        <v>1997</v>
      </c>
      <c r="CJ127" s="373">
        <f>IVA!BF181+IVA!BG181+IVA!BH181</f>
        <v>858969.87188317999</v>
      </c>
      <c r="CK127" s="373">
        <f>IVA!BG181+IVA!BH181+IVA!BI181</f>
        <v>839390.74062492605</v>
      </c>
      <c r="CL127" s="373">
        <f>IVA!BH181+IVA!BI181+IVA!BJ181</f>
        <v>933697.85916530807</v>
      </c>
      <c r="CM127" s="373">
        <f>IVA!BI181+IVA!BJ181+IVA!BK181</f>
        <v>957865.68930083804</v>
      </c>
      <c r="CN127" s="374">
        <f>IVA!BJ181+IVA!BK181+IVA!BL181</f>
        <v>951301.57199842203</v>
      </c>
      <c r="EJ127" s="31">
        <v>2075</v>
      </c>
      <c r="EK127" s="32">
        <v>18814.367999999999</v>
      </c>
      <c r="EL127" s="33">
        <v>17227.651000000002</v>
      </c>
    </row>
    <row r="128" spans="27:142" ht="12.75" customHeight="1">
      <c r="AA128" s="403">
        <v>1996</v>
      </c>
      <c r="AB128" s="403" t="s">
        <v>567</v>
      </c>
      <c r="AC128" s="404"/>
      <c r="AD128" s="405"/>
      <c r="AE128" s="406">
        <v>137341</v>
      </c>
      <c r="AF128" s="407">
        <v>180193</v>
      </c>
      <c r="AG128" s="406">
        <v>115787</v>
      </c>
      <c r="AH128" s="406">
        <v>175358</v>
      </c>
      <c r="AI128" s="406">
        <v>173767</v>
      </c>
      <c r="AJ128" s="406">
        <v>165025</v>
      </c>
      <c r="AK128" s="406">
        <v>13566</v>
      </c>
      <c r="AL128" s="406">
        <v>169106</v>
      </c>
      <c r="AM128" s="406">
        <v>197211</v>
      </c>
      <c r="AN128" s="406">
        <v>212825</v>
      </c>
      <c r="AO128" s="406">
        <v>231215</v>
      </c>
      <c r="AP128" s="406">
        <v>30627</v>
      </c>
      <c r="AQ128" s="153">
        <f>IVA!AE128+IVA!AF128+IVA!AG128</f>
        <v>433321</v>
      </c>
      <c r="AR128" s="153">
        <f>IVA!AH128+IVA!AI128+IVA!AJ128</f>
        <v>514150</v>
      </c>
      <c r="AS128" s="153">
        <f>IVA!AK128+IVA!AL128+IVA!AM128</f>
        <v>379883</v>
      </c>
      <c r="AT128" s="153">
        <f>IVA!AN128+IVA!AO128+IVA!AP128</f>
        <v>474667</v>
      </c>
      <c r="AU128" s="408">
        <f>IVA!AQ128+IVA!AR128+IVA!AS128+IVA!AT128</f>
        <v>1802021</v>
      </c>
      <c r="AV128" s="250"/>
      <c r="AW128" s="250"/>
      <c r="AX128" s="250"/>
      <c r="AY128" s="250"/>
      <c r="AZ128" s="294"/>
      <c r="BA128" s="295">
        <v>2012</v>
      </c>
      <c r="BB128" s="409" t="s">
        <v>565</v>
      </c>
      <c r="BC128" s="410"/>
      <c r="BD128" s="410"/>
      <c r="BE128" s="410"/>
      <c r="BF128" s="411">
        <v>976039.10082000005</v>
      </c>
      <c r="BG128" s="411">
        <v>962931.49896</v>
      </c>
      <c r="BH128" s="411">
        <v>1012421.337561</v>
      </c>
      <c r="BI128" s="411">
        <v>950215.81619100005</v>
      </c>
      <c r="BJ128" s="411">
        <v>1099632.2606339999</v>
      </c>
      <c r="BK128" s="411">
        <v>1125920.745903</v>
      </c>
      <c r="BL128" s="411">
        <v>1076815.3070159999</v>
      </c>
      <c r="BM128" s="411">
        <v>1164675.8938889999</v>
      </c>
      <c r="BN128" s="411">
        <v>1175860.7783609999</v>
      </c>
      <c r="BO128" s="411">
        <v>1101451.2941370001</v>
      </c>
      <c r="BP128" s="411">
        <v>1231962.587538</v>
      </c>
      <c r="BQ128" s="412">
        <v>1301441.7578819999</v>
      </c>
      <c r="BR128" s="257">
        <f>IVA!BF128+IVA!BG128+IVA!BH128</f>
        <v>2951391.937341</v>
      </c>
      <c r="BS128" s="257">
        <f>IVA!BI128+IVA!BJ128+IVA!BK128</f>
        <v>3175768.8227279996</v>
      </c>
      <c r="BT128" s="257">
        <f>IVA!BL128+IVA!BM128+IVA!BN128</f>
        <v>3417351.979266</v>
      </c>
      <c r="BU128" s="258">
        <f>IVA!BO128+IVA!BP128+IVA!BQ128</f>
        <v>3634855.6395570002</v>
      </c>
      <c r="BV128" s="259">
        <f>IVA!BR128+IVA!BS128+IVA!BT128+IVA!BU128</f>
        <v>13179368.378892001</v>
      </c>
      <c r="BW128" s="262">
        <f>IVA!BR128/IVA!CJ21</f>
        <v>1.5741302697645518E-3</v>
      </c>
      <c r="BX128" s="261">
        <f>IVA!BS128/IVA!CK21</f>
        <v>1.3970712390085056E-3</v>
      </c>
      <c r="BY128" s="262">
        <f>IVA!BT128/IVA!CL21</f>
        <v>1.5655033525891978E-3</v>
      </c>
      <c r="BZ128" s="262">
        <f>IVA!BU128/IVA!CM21</f>
        <v>1.5627218267532435E-3</v>
      </c>
      <c r="CA128" s="301">
        <f>IVA!BV128/IVA!CN21</f>
        <v>6.0895892308580587E-3</v>
      </c>
      <c r="CI128" s="53">
        <v>1998</v>
      </c>
      <c r="CJ128" s="376">
        <f>IVA!BF182+IVA!BG182+IVA!BH182</f>
        <v>919322.07513430493</v>
      </c>
      <c r="CK128" s="376">
        <f>IVA!BG182+IVA!BH182+IVA!BI182</f>
        <v>909021.46093474003</v>
      </c>
      <c r="CL128" s="376">
        <f>IVA!BH182+IVA!BI182+IVA!BJ182</f>
        <v>978151.77743734792</v>
      </c>
      <c r="CM128" s="376">
        <f>IVA!BI182+IVA!BJ182+IVA!BK182</f>
        <v>1025905.8967355631</v>
      </c>
      <c r="CN128" s="377">
        <f>IVA!BJ182+IVA!BK182+IVA!BL182</f>
        <v>1046133.2979873479</v>
      </c>
      <c r="EJ128" s="31">
        <v>2076</v>
      </c>
      <c r="EK128" s="32">
        <v>18934.394</v>
      </c>
      <c r="EL128" s="33">
        <v>17348.38</v>
      </c>
    </row>
    <row r="129" spans="27:142" ht="12.75" customHeight="1">
      <c r="AA129" s="403">
        <v>1997</v>
      </c>
      <c r="AB129" s="403" t="s">
        <v>567</v>
      </c>
      <c r="AC129" s="404"/>
      <c r="AD129" s="405"/>
      <c r="AE129" s="406">
        <v>138954</v>
      </c>
      <c r="AF129" s="407">
        <v>232738</v>
      </c>
      <c r="AG129" s="406">
        <v>193306</v>
      </c>
      <c r="AH129" s="406">
        <v>233489</v>
      </c>
      <c r="AI129" s="406">
        <v>225636</v>
      </c>
      <c r="AJ129" s="406">
        <v>211683</v>
      </c>
      <c r="AK129" s="406">
        <v>203243</v>
      </c>
      <c r="AL129" s="406">
        <v>170402</v>
      </c>
      <c r="AM129" s="406">
        <v>194590</v>
      </c>
      <c r="AN129" s="406">
        <v>197511</v>
      </c>
      <c r="AO129" s="406">
        <v>193197</v>
      </c>
      <c r="AP129" s="406">
        <v>249070</v>
      </c>
      <c r="AQ129" s="153">
        <f>IVA!AE129+IVA!AF129+IVA!AG129</f>
        <v>564998</v>
      </c>
      <c r="AR129" s="153">
        <f>IVA!AH129+IVA!AI129+IVA!AJ129</f>
        <v>670808</v>
      </c>
      <c r="AS129" s="153">
        <f>IVA!AK129+IVA!AL129+IVA!AM129</f>
        <v>568235</v>
      </c>
      <c r="AT129" s="153">
        <f>IVA!AN129+IVA!AO129+IVA!AP129</f>
        <v>639778</v>
      </c>
      <c r="AU129" s="408">
        <f>IVA!AQ129+IVA!AR129+IVA!AS129+IVA!AT129</f>
        <v>2443819</v>
      </c>
      <c r="AV129" s="128">
        <f>IVA!AQ129/IVA!CJ6</f>
        <v>2.0828651478286514E-3</v>
      </c>
      <c r="AW129" s="128">
        <f>IVA!AR129/IVA!CK6</f>
        <v>2.2369770928299866E-3</v>
      </c>
      <c r="AX129" s="128">
        <f>IVA!AS129/IVA!CL6</f>
        <v>1.9051347498941589E-3</v>
      </c>
      <c r="AY129" s="128">
        <f>IVA!AT129/IVA!CM6</f>
        <v>2.1182070168605086E-3</v>
      </c>
      <c r="AZ129" s="269">
        <f>IVA!AU129/IVA!CN6</f>
        <v>8.3446983826618408E-3</v>
      </c>
      <c r="BA129" s="295">
        <v>1996</v>
      </c>
      <c r="BB129" s="409"/>
      <c r="BC129" s="410"/>
      <c r="BD129" s="410"/>
      <c r="BE129" s="410"/>
      <c r="BF129" s="411"/>
      <c r="BG129" s="411"/>
      <c r="BH129" s="411"/>
      <c r="BI129" s="411"/>
      <c r="BJ129" s="411"/>
      <c r="BK129" s="411"/>
      <c r="BL129" s="411"/>
      <c r="BM129" s="411"/>
      <c r="BN129" s="411"/>
      <c r="BO129" s="411"/>
      <c r="BP129" s="411"/>
      <c r="BQ129" s="412"/>
      <c r="BR129" s="257"/>
      <c r="BS129" s="257"/>
      <c r="BT129" s="257"/>
      <c r="BU129" s="258"/>
      <c r="BV129" s="259"/>
      <c r="BW129" s="262"/>
      <c r="BX129" s="261"/>
      <c r="BY129" s="262"/>
      <c r="BZ129" s="262"/>
      <c r="CA129" s="301"/>
      <c r="CI129" s="53">
        <v>1999</v>
      </c>
      <c r="CJ129" s="376">
        <f>IVA!BF183+IVA!BG183+IVA!BH183</f>
        <v>903485.71303908899</v>
      </c>
      <c r="CK129" s="376">
        <f>IVA!BG183+IVA!BH183+IVA!BI183</f>
        <v>888108.17040913994</v>
      </c>
      <c r="CL129" s="376">
        <f>IVA!BH183+IVA!BI183+IVA!BJ183</f>
        <v>922907.79591597198</v>
      </c>
      <c r="CM129" s="376">
        <f>IVA!BI183+IVA!BJ183+IVA!BK183</f>
        <v>919115.41786834085</v>
      </c>
      <c r="CN129" s="377">
        <f>IVA!BJ183+IVA!BK183+IVA!BL183</f>
        <v>910398.23144022794</v>
      </c>
      <c r="EJ129" s="31">
        <v>2077</v>
      </c>
      <c r="EK129" s="32">
        <v>19047.841</v>
      </c>
      <c r="EL129" s="33">
        <v>17463.971000000001</v>
      </c>
    </row>
    <row r="130" spans="27:142" ht="12.75" customHeight="1">
      <c r="AA130" s="403">
        <v>1998</v>
      </c>
      <c r="AB130" s="403" t="s">
        <v>567</v>
      </c>
      <c r="AC130" s="404"/>
      <c r="AD130" s="405"/>
      <c r="AE130" s="406">
        <v>151466</v>
      </c>
      <c r="AF130" s="407">
        <v>229826</v>
      </c>
      <c r="AG130" s="406">
        <v>189709</v>
      </c>
      <c r="AH130" s="406">
        <v>172160</v>
      </c>
      <c r="AI130" s="406">
        <v>201791</v>
      </c>
      <c r="AJ130" s="406">
        <v>191932</v>
      </c>
      <c r="AK130" s="406">
        <v>188410</v>
      </c>
      <c r="AL130" s="406">
        <v>187487</v>
      </c>
      <c r="AM130" s="406">
        <v>195567</v>
      </c>
      <c r="AN130" s="406">
        <v>192385</v>
      </c>
      <c r="AO130" s="406">
        <v>198531</v>
      </c>
      <c r="AP130" s="406">
        <v>226091</v>
      </c>
      <c r="AQ130" s="153">
        <f>IVA!AE130+IVA!AF130+IVA!AG130</f>
        <v>571001</v>
      </c>
      <c r="AR130" s="153">
        <f>IVA!AH130+IVA!AI130+IVA!AJ130</f>
        <v>565883</v>
      </c>
      <c r="AS130" s="153">
        <f>IVA!AK130+IVA!AL130+IVA!AM130</f>
        <v>571464</v>
      </c>
      <c r="AT130" s="153">
        <f>IVA!AN130+IVA!AO130+IVA!AP130</f>
        <v>617007</v>
      </c>
      <c r="AU130" s="408">
        <f>IVA!AQ130+IVA!AR130+IVA!AS130+IVA!AT130</f>
        <v>2325355</v>
      </c>
      <c r="AV130" s="128">
        <f>IVA!AQ130/IVA!CJ7</f>
        <v>2.019355363483329E-3</v>
      </c>
      <c r="AW130" s="128">
        <f>IVA!AR130/IVA!CK7</f>
        <v>1.8129773225160695E-3</v>
      </c>
      <c r="AX130" s="128">
        <f>IVA!AS130/IVA!CL7</f>
        <v>1.870740431850097E-3</v>
      </c>
      <c r="AY130" s="128">
        <f>IVA!AT130/IVA!CM7</f>
        <v>2.0885379582069384E-3</v>
      </c>
      <c r="AZ130" s="269">
        <f>IVA!AU130/IVA!CN7</f>
        <v>7.7784504696597808E-3</v>
      </c>
      <c r="BA130" s="270">
        <v>1997</v>
      </c>
      <c r="BB130" s="413" t="s">
        <v>568</v>
      </c>
      <c r="BC130" s="414"/>
      <c r="BD130" s="414"/>
      <c r="BE130" s="414"/>
      <c r="BF130" s="415">
        <v>10464.972</v>
      </c>
      <c r="BG130" s="415">
        <v>9381.5159999999996</v>
      </c>
      <c r="BH130" s="415">
        <v>11666.987999999999</v>
      </c>
      <c r="BI130" s="415">
        <v>3225.06</v>
      </c>
      <c r="BJ130" s="415">
        <v>8726.7000000000007</v>
      </c>
      <c r="BK130" s="415">
        <v>9232.1759999999995</v>
      </c>
      <c r="BL130" s="415">
        <v>10443.768</v>
      </c>
      <c r="BM130" s="415">
        <v>10182.252</v>
      </c>
      <c r="BN130" s="415">
        <v>9606.0959999999995</v>
      </c>
      <c r="BO130" s="415">
        <v>8401.116</v>
      </c>
      <c r="BP130" s="415">
        <v>10457.904</v>
      </c>
      <c r="BQ130" s="416">
        <v>10501.907999999999</v>
      </c>
      <c r="BR130" s="173">
        <f>IVA!BF130+IVA!BG130+IVA!BH130</f>
        <v>31513.475999999995</v>
      </c>
      <c r="BS130" s="173">
        <f>IVA!BI130+IVA!BJ130+IVA!BK130</f>
        <v>21183.936000000002</v>
      </c>
      <c r="BT130" s="173">
        <f>IVA!BL130+IVA!BM130+IVA!BN130</f>
        <v>30232.116000000002</v>
      </c>
      <c r="BU130" s="174">
        <f>IVA!BO130+IVA!BP130+IVA!BQ130</f>
        <v>29360.928</v>
      </c>
      <c r="BV130" s="135">
        <f>IVA!BR130+IVA!BS130+IVA!BT130+IVA!BU130</f>
        <v>112290.45599999999</v>
      </c>
      <c r="BW130" s="136">
        <f>IVA!BR130/IVA!CJ6</f>
        <v>1.1617443043574429E-4</v>
      </c>
      <c r="BX130" s="137">
        <f>IVA!BS130/IVA!CK6</f>
        <v>7.0643134202300051E-5</v>
      </c>
      <c r="BY130" s="136">
        <f>IVA!BT130/IVA!CL6</f>
        <v>1.0135992107918591E-4</v>
      </c>
      <c r="BZ130" s="136">
        <f>IVA!BU130/IVA!CM6</f>
        <v>9.7209537857094458E-5</v>
      </c>
      <c r="CA130" s="271">
        <f>IVA!BV130/IVA!CN6</f>
        <v>3.8342855447623598E-4</v>
      </c>
      <c r="CI130" s="53">
        <v>2000</v>
      </c>
      <c r="CJ130" s="376">
        <f>IVA!BF184+IVA!BG184+IVA!BH184</f>
        <v>897102.5560312419</v>
      </c>
      <c r="CK130" s="376">
        <f>IVA!BG184+IVA!BH184+IVA!BI184</f>
        <v>881102.10006440803</v>
      </c>
      <c r="CL130" s="376">
        <f>IVA!BH184+IVA!BI184+IVA!BJ184</f>
        <v>953711.19491098612</v>
      </c>
      <c r="CM130" s="376">
        <f>IVA!BI184+IVA!BJ184+IVA!BK184</f>
        <v>1029577.925022892</v>
      </c>
      <c r="CN130" s="377">
        <f>IVA!BJ184+IVA!BK184+IVA!BL184</f>
        <v>1040116.9618938391</v>
      </c>
      <c r="EJ130" s="31">
        <v>2078</v>
      </c>
      <c r="EK130" s="32">
        <v>19159.449000000001</v>
      </c>
      <c r="EL130" s="33">
        <v>17579.165000000001</v>
      </c>
    </row>
    <row r="131" spans="27:142" ht="12.75" customHeight="1">
      <c r="AA131" s="403">
        <v>1999</v>
      </c>
      <c r="AB131" s="403" t="s">
        <v>567</v>
      </c>
      <c r="AC131" s="404"/>
      <c r="AD131" s="405"/>
      <c r="AE131" s="406">
        <v>153548</v>
      </c>
      <c r="AF131" s="407">
        <v>208524</v>
      </c>
      <c r="AG131" s="406">
        <v>178243</v>
      </c>
      <c r="AH131" s="406">
        <v>170981</v>
      </c>
      <c r="AI131" s="406">
        <v>189280</v>
      </c>
      <c r="AJ131" s="406">
        <v>168507</v>
      </c>
      <c r="AK131" s="406">
        <v>169822</v>
      </c>
      <c r="AL131" s="406">
        <v>178933</v>
      </c>
      <c r="AM131" s="406">
        <v>179500</v>
      </c>
      <c r="AN131" s="406">
        <v>175736</v>
      </c>
      <c r="AO131" s="406">
        <v>177882</v>
      </c>
      <c r="AP131" s="406">
        <v>225555</v>
      </c>
      <c r="AQ131" s="153">
        <f>IVA!AE131+IVA!AF131+IVA!AG131</f>
        <v>540315</v>
      </c>
      <c r="AR131" s="153">
        <f>IVA!AH131+IVA!AI131+IVA!AJ131</f>
        <v>528768</v>
      </c>
      <c r="AS131" s="153">
        <f>IVA!AK131+IVA!AL131+IVA!AM131</f>
        <v>528255</v>
      </c>
      <c r="AT131" s="153">
        <f>IVA!AN131+IVA!AO131+IVA!AP131</f>
        <v>579173</v>
      </c>
      <c r="AU131" s="408">
        <f>IVA!AQ131+IVA!AR131+IVA!AS131+IVA!AT131</f>
        <v>2176511</v>
      </c>
      <c r="AV131" s="128">
        <f>IVA!AQ131/IVA!CJ8</f>
        <v>1.9956527520258839E-3</v>
      </c>
      <c r="AW131" s="128">
        <f>IVA!AR131/IVA!CK8</f>
        <v>1.8307248684045166E-3</v>
      </c>
      <c r="AX131" s="128">
        <f>IVA!AS131/IVA!CL8</f>
        <v>1.8529605361308527E-3</v>
      </c>
      <c r="AY131" s="128">
        <f>IVA!AT131/IVA!CM8</f>
        <v>2.0010895322598605E-3</v>
      </c>
      <c r="AZ131" s="269">
        <f>IVA!AU131/IVA!CN8</f>
        <v>7.6766640304610735E-3</v>
      </c>
      <c r="BA131" s="264">
        <v>1998</v>
      </c>
      <c r="BB131" s="413" t="s">
        <v>568</v>
      </c>
      <c r="BC131" s="414"/>
      <c r="BD131" s="414"/>
      <c r="BE131" s="414"/>
      <c r="BF131" s="415">
        <v>11015.364</v>
      </c>
      <c r="BG131" s="415">
        <v>8918.4480000000003</v>
      </c>
      <c r="BH131" s="415">
        <v>7338.18</v>
      </c>
      <c r="BI131" s="415">
        <v>6809.9040000000005</v>
      </c>
      <c r="BJ131" s="415">
        <v>8864.8680000000004</v>
      </c>
      <c r="BK131" s="415">
        <v>7200.0119999999997</v>
      </c>
      <c r="BL131" s="415">
        <v>8237.64</v>
      </c>
      <c r="BM131" s="415">
        <v>8877.18</v>
      </c>
      <c r="BN131" s="415">
        <v>9889.5</v>
      </c>
      <c r="BO131" s="415">
        <v>8713.02</v>
      </c>
      <c r="BP131" s="415">
        <v>8750.4120000000003</v>
      </c>
      <c r="BQ131" s="416">
        <v>7501.6559999999999</v>
      </c>
      <c r="BR131" s="173">
        <f>IVA!BF131+IVA!BG131+IVA!BH131</f>
        <v>27271.991999999998</v>
      </c>
      <c r="BS131" s="173">
        <f>IVA!BI131+IVA!BJ131+IVA!BK131</f>
        <v>22874.784</v>
      </c>
      <c r="BT131" s="173">
        <f>IVA!BL131+IVA!BM131+IVA!BN131</f>
        <v>27004.32</v>
      </c>
      <c r="BU131" s="174">
        <f>IVA!BO131+IVA!BP131+IVA!BQ131</f>
        <v>24965.088</v>
      </c>
      <c r="BV131" s="135">
        <f>IVA!BR131+IVA!BS131+IVA!BT131+IVA!BU131</f>
        <v>102116.18399999999</v>
      </c>
      <c r="BW131" s="136">
        <f>IVA!BR131/IVA!CJ7</f>
        <v>9.6447892942524508E-5</v>
      </c>
      <c r="BX131" s="137">
        <f>IVA!BS131/IVA!CK7</f>
        <v>7.3286288242363574E-5</v>
      </c>
      <c r="BY131" s="136">
        <f>IVA!BT131/IVA!CL7</f>
        <v>8.8401147331447318E-5</v>
      </c>
      <c r="BZ131" s="136">
        <f>IVA!BU131/IVA!CM7</f>
        <v>8.4505579220294982E-5</v>
      </c>
      <c r="CA131" s="271">
        <f>IVA!BV131/IVA!CN7</f>
        <v>3.4158469540980388E-4</v>
      </c>
      <c r="CI131" s="53">
        <v>2001</v>
      </c>
      <c r="CJ131" s="376">
        <f>IVA!BF185+IVA!BG185+IVA!BH185</f>
        <v>892407.07194323</v>
      </c>
      <c r="CK131" s="376">
        <f>IVA!BG185+IVA!BH185+IVA!BI185</f>
        <v>846707.1422734299</v>
      </c>
      <c r="CL131" s="376">
        <f>IVA!BH185+IVA!BI185+IVA!BJ185</f>
        <v>934225.11595392087</v>
      </c>
      <c r="CM131" s="376">
        <f>IVA!BI185+IVA!BJ185+IVA!BK185</f>
        <v>1020034.2237178171</v>
      </c>
      <c r="CN131" s="377">
        <f>IVA!BJ185+IVA!BK185+IVA!BL185</f>
        <v>1011568.1249216</v>
      </c>
      <c r="EJ131" s="31">
        <v>2079</v>
      </c>
      <c r="EK131" s="32">
        <v>19269.874</v>
      </c>
      <c r="EL131" s="33">
        <v>17694.348000000002</v>
      </c>
    </row>
    <row r="132" spans="27:142" ht="12.75" customHeight="1">
      <c r="AA132" s="403">
        <v>2000</v>
      </c>
      <c r="AB132" s="403" t="s">
        <v>567</v>
      </c>
      <c r="AC132" s="404"/>
      <c r="AD132" s="405"/>
      <c r="AE132" s="406">
        <v>161086.20055000001</v>
      </c>
      <c r="AF132" s="407">
        <v>198917.21423000001</v>
      </c>
      <c r="AG132" s="406">
        <v>181194.23008000001</v>
      </c>
      <c r="AH132" s="406">
        <v>199011.51285999999</v>
      </c>
      <c r="AI132" s="406">
        <v>162268.89069999999</v>
      </c>
      <c r="AJ132" s="406">
        <v>178058.47805000001</v>
      </c>
      <c r="AK132" s="406">
        <v>171152.93859999999</v>
      </c>
      <c r="AL132" s="406">
        <v>172232.99400000001</v>
      </c>
      <c r="AM132" s="406">
        <v>198705.16500000001</v>
      </c>
      <c r="AN132" s="406">
        <v>172177.79259999999</v>
      </c>
      <c r="AO132" s="406">
        <v>161892.07263000001</v>
      </c>
      <c r="AP132" s="406">
        <v>196917.46465000001</v>
      </c>
      <c r="AQ132" s="153">
        <f>IVA!AE132+IVA!AF132+IVA!AG132</f>
        <v>541197.64486</v>
      </c>
      <c r="AR132" s="153">
        <f>IVA!AH132+IVA!AI132+IVA!AJ132</f>
        <v>539338.88161000004</v>
      </c>
      <c r="AS132" s="153">
        <f>IVA!AK132+IVA!AL132+IVA!AM132</f>
        <v>542091.09759999998</v>
      </c>
      <c r="AT132" s="153">
        <f>IVA!AN132+IVA!AO132+IVA!AP132</f>
        <v>530987.32987999998</v>
      </c>
      <c r="AU132" s="408">
        <f>IVA!AQ132+IVA!AR132+IVA!AS132+IVA!AT132</f>
        <v>2153614.95395</v>
      </c>
      <c r="AV132" s="128">
        <f>IVA!AQ132/IVA!CJ9</f>
        <v>2.0011449500081349E-3</v>
      </c>
      <c r="AW132" s="128">
        <f>IVA!AR132/IVA!CK9</f>
        <v>1.8483422438649018E-3</v>
      </c>
      <c r="AX132" s="128">
        <f>IVA!AS132/IVA!CL9</f>
        <v>1.8855628317925558E-3</v>
      </c>
      <c r="AY132" s="128">
        <f>IVA!AT132/IVA!CM9</f>
        <v>1.8496208605518546E-3</v>
      </c>
      <c r="AZ132" s="269">
        <f>IVA!AU132/IVA!CN9</f>
        <v>7.5777150545013917E-3</v>
      </c>
      <c r="BA132" s="264">
        <v>1999</v>
      </c>
      <c r="BB132" s="413" t="s">
        <v>568</v>
      </c>
      <c r="BC132" s="414"/>
      <c r="BD132" s="414"/>
      <c r="BE132" s="414"/>
      <c r="BF132" s="415">
        <v>8507.5920000000006</v>
      </c>
      <c r="BG132" s="415">
        <v>7788.9359999999997</v>
      </c>
      <c r="BH132" s="415">
        <v>7336.3559999999998</v>
      </c>
      <c r="BI132" s="415">
        <v>6368.9520000000002</v>
      </c>
      <c r="BJ132" s="415">
        <v>9134.82</v>
      </c>
      <c r="BK132" s="415">
        <v>7047.2520000000004</v>
      </c>
      <c r="BL132" s="415">
        <v>8432.8080000000009</v>
      </c>
      <c r="BM132" s="415">
        <v>8159.8919999999998</v>
      </c>
      <c r="BN132" s="415">
        <v>9179.2800000000007</v>
      </c>
      <c r="BO132" s="415">
        <v>7716.8879999999999</v>
      </c>
      <c r="BP132" s="415">
        <v>8482.74</v>
      </c>
      <c r="BQ132" s="416">
        <v>7455.8280000000004</v>
      </c>
      <c r="BR132" s="173">
        <f>IVA!BF132+IVA!BG132+IVA!BH132</f>
        <v>23632.883999999998</v>
      </c>
      <c r="BS132" s="173">
        <f>IVA!BI132+IVA!BJ132+IVA!BK132</f>
        <v>22551.024000000001</v>
      </c>
      <c r="BT132" s="173">
        <f>IVA!BL132+IVA!BM132+IVA!BN132</f>
        <v>25771.980000000003</v>
      </c>
      <c r="BU132" s="174">
        <f>IVA!BO132+IVA!BP132+IVA!BQ132</f>
        <v>23655.456000000002</v>
      </c>
      <c r="BV132" s="135">
        <f>IVA!BR132+IVA!BS132+IVA!BT132+IVA!BU132</f>
        <v>95611.344000000012</v>
      </c>
      <c r="BW132" s="136">
        <f>IVA!BR132/IVA!CJ8</f>
        <v>8.7288026415902718E-5</v>
      </c>
      <c r="BX132" s="137">
        <f>IVA!BS132/IVA!CK8</f>
        <v>7.8077191594020629E-5</v>
      </c>
      <c r="BY132" s="136">
        <f>IVA!BT132/IVA!CL8</f>
        <v>9.0400397304244383E-5</v>
      </c>
      <c r="BZ132" s="136">
        <f>IVA!BU132/IVA!CM8</f>
        <v>8.1731512661042071E-5</v>
      </c>
      <c r="CA132" s="271">
        <f>IVA!BV132/IVA!CN8</f>
        <v>3.372260307385721E-4</v>
      </c>
      <c r="CI132" s="53">
        <v>2002</v>
      </c>
      <c r="CJ132" s="376">
        <f>IVA!BF186+IVA!BG186+IVA!BH186</f>
        <v>669995.41386519803</v>
      </c>
      <c r="CK132" s="376">
        <f>IVA!BG186+IVA!BH186+IVA!BI186</f>
        <v>626815.12326168106</v>
      </c>
      <c r="CL132" s="376">
        <f>IVA!BH186+IVA!BI186+IVA!BJ186</f>
        <v>750969.58406600007</v>
      </c>
      <c r="CM132" s="376">
        <f>IVA!BI186+IVA!BJ186+IVA!BK186</f>
        <v>840176.30524929892</v>
      </c>
      <c r="CN132" s="377">
        <f>IVA!BJ186+IVA!BK186+IVA!BL186</f>
        <v>955921.26537097991</v>
      </c>
      <c r="EJ132" s="31">
        <v>2080</v>
      </c>
      <c r="EK132" s="32">
        <v>19375.028999999999</v>
      </c>
      <c r="EL132" s="33">
        <v>17805.098999999998</v>
      </c>
    </row>
    <row r="133" spans="27:142" ht="12.75" customHeight="1">
      <c r="AA133" s="403">
        <v>2001</v>
      </c>
      <c r="AB133" s="403" t="s">
        <v>567</v>
      </c>
      <c r="AC133" s="404"/>
      <c r="AD133" s="405"/>
      <c r="AE133" s="406">
        <v>135348.76618999999</v>
      </c>
      <c r="AF133" s="407">
        <v>179894.98316999999</v>
      </c>
      <c r="AG133" s="406">
        <v>171768.95061999999</v>
      </c>
      <c r="AH133" s="406">
        <v>162569.13803</v>
      </c>
      <c r="AI133" s="406">
        <v>161931.24604999999</v>
      </c>
      <c r="AJ133" s="406">
        <v>132447.36613000001</v>
      </c>
      <c r="AK133" s="406">
        <v>138218.42764000001</v>
      </c>
      <c r="AL133" s="406">
        <v>151187.20162000001</v>
      </c>
      <c r="AM133" s="406">
        <v>155072.84972</v>
      </c>
      <c r="AN133" s="406">
        <v>144783.011</v>
      </c>
      <c r="AO133" s="406">
        <v>153528.38918999999</v>
      </c>
      <c r="AP133" s="406">
        <v>134081.78857</v>
      </c>
      <c r="AQ133" s="153">
        <f>IVA!AE133+IVA!AF133+IVA!AG133</f>
        <v>487012.69998000003</v>
      </c>
      <c r="AR133" s="153">
        <f>IVA!AH133+IVA!AI133+IVA!AJ133</f>
        <v>456947.75020999997</v>
      </c>
      <c r="AS133" s="153">
        <f>IVA!AK133+IVA!AL133+IVA!AM133</f>
        <v>444478.47898000001</v>
      </c>
      <c r="AT133" s="153">
        <f>IVA!AN133+IVA!AO133+IVA!AP133</f>
        <v>432393.18875999993</v>
      </c>
      <c r="AU133" s="408">
        <f>IVA!AQ133+IVA!AR133+IVA!AS133+IVA!AT133</f>
        <v>1820832.1179299997</v>
      </c>
      <c r="AV133" s="128">
        <f>IVA!AQ133/IVA!CJ10</f>
        <v>1.8494317037492738E-3</v>
      </c>
      <c r="AW133" s="128">
        <f>IVA!AR133/IVA!CK10</f>
        <v>1.5864804943282209E-3</v>
      </c>
      <c r="AX133" s="128">
        <f>IVA!AS133/IVA!CL10</f>
        <v>1.6379224703433881E-3</v>
      </c>
      <c r="AY133" s="128">
        <f>IVA!AT133/IVA!CM10</f>
        <v>1.7154175117799647E-3</v>
      </c>
      <c r="AZ133" s="269">
        <f>IVA!AU133/IVA!CN10</f>
        <v>6.7765330131115435E-3</v>
      </c>
      <c r="BA133" s="264">
        <v>2000</v>
      </c>
      <c r="BB133" s="413" t="s">
        <v>568</v>
      </c>
      <c r="BC133" s="414"/>
      <c r="BD133" s="414"/>
      <c r="BE133" s="414"/>
      <c r="BF133" s="415">
        <v>9055.7306714400002</v>
      </c>
      <c r="BG133" s="415">
        <v>7820.9733265200002</v>
      </c>
      <c r="BH133" s="415">
        <v>10081.557115559999</v>
      </c>
      <c r="BI133" s="415">
        <v>9643.6155181199993</v>
      </c>
      <c r="BJ133" s="415">
        <v>6922.3460531999999</v>
      </c>
      <c r="BK133" s="415">
        <v>8537.2220204400001</v>
      </c>
      <c r="BL133" s="415">
        <v>7866.1713191999997</v>
      </c>
      <c r="BM133" s="415">
        <v>9409.6087007999995</v>
      </c>
      <c r="BN133" s="415">
        <v>8291.6453567999997</v>
      </c>
      <c r="BO133" s="415">
        <v>9879.9634667999999</v>
      </c>
      <c r="BP133" s="415">
        <v>7828.7778463200002</v>
      </c>
      <c r="BQ133" s="416">
        <v>8616.8112321600001</v>
      </c>
      <c r="BR133" s="173">
        <f>IVA!BF133+IVA!BG133+IVA!BH133</f>
        <v>26958.261113519999</v>
      </c>
      <c r="BS133" s="173">
        <f>IVA!BI133+IVA!BJ133+IVA!BK133</f>
        <v>25103.18359176</v>
      </c>
      <c r="BT133" s="173">
        <f>IVA!BL133+IVA!BM133+IVA!BN133</f>
        <v>25567.425376799998</v>
      </c>
      <c r="BU133" s="174">
        <f>IVA!BO133+IVA!BP133+IVA!BQ133</f>
        <v>26325.552545279999</v>
      </c>
      <c r="BV133" s="135">
        <f>IVA!BR133+IVA!BS133+IVA!BT133+IVA!BU133</f>
        <v>103954.42262735998</v>
      </c>
      <c r="BW133" s="136">
        <f>IVA!BR133/IVA!CJ9</f>
        <v>9.968149085770066E-5</v>
      </c>
      <c r="BX133" s="137">
        <f>IVA!BS133/IVA!CK9</f>
        <v>8.6029908597796826E-5</v>
      </c>
      <c r="BY133" s="136">
        <f>IVA!BT133/IVA!CL9</f>
        <v>8.8931523149078656E-5</v>
      </c>
      <c r="BZ133" s="136">
        <f>IVA!BU133/IVA!CM9</f>
        <v>9.170141811916308E-5</v>
      </c>
      <c r="CA133" s="271">
        <f>IVA!BV133/IVA!CN9</f>
        <v>3.6577429585569012E-4</v>
      </c>
      <c r="CI133" s="53">
        <v>2003</v>
      </c>
      <c r="CJ133" s="376">
        <f>IVA!BF187+IVA!BG187+IVA!BH187</f>
        <v>1011330.075315899</v>
      </c>
      <c r="CK133" s="376">
        <f>IVA!BG187+IVA!BH187+IVA!BI187</f>
        <v>992649.27362149209</v>
      </c>
      <c r="CL133" s="376">
        <f>IVA!BH187+IVA!BI187+IVA!BJ187</f>
        <v>1169909.1978184269</v>
      </c>
      <c r="CM133" s="376">
        <f>IVA!BI187+IVA!BJ187+IVA!BK187</f>
        <v>1282457.4487678041</v>
      </c>
      <c r="CN133" s="377">
        <f>IVA!BJ187+IVA!BK187+IVA!BL187</f>
        <v>1336403.681958813</v>
      </c>
      <c r="EJ133" s="31">
        <v>2081</v>
      </c>
      <c r="EK133" s="32">
        <v>19454.488000000001</v>
      </c>
      <c r="EL133" s="33">
        <v>17890.816999999999</v>
      </c>
    </row>
    <row r="134" spans="27:142" ht="12.75" customHeight="1">
      <c r="AA134" s="403">
        <v>2002</v>
      </c>
      <c r="AB134" s="403" t="s">
        <v>567</v>
      </c>
      <c r="AC134" s="404"/>
      <c r="AD134" s="405"/>
      <c r="AE134" s="406">
        <v>131568.77134000001</v>
      </c>
      <c r="AF134" s="407">
        <v>142488.43087000001</v>
      </c>
      <c r="AG134" s="406">
        <v>123083.36543000001</v>
      </c>
      <c r="AH134" s="406">
        <v>107579.05452000001</v>
      </c>
      <c r="AI134" s="406">
        <v>148699.03294</v>
      </c>
      <c r="AJ134" s="406">
        <v>130024.47143999999</v>
      </c>
      <c r="AK134" s="406">
        <v>147821.95089000001</v>
      </c>
      <c r="AL134" s="406">
        <v>179097.21403999999</v>
      </c>
      <c r="AM134" s="406">
        <v>142893.56492</v>
      </c>
      <c r="AN134" s="406">
        <v>153502.92100999999</v>
      </c>
      <c r="AO134" s="406">
        <v>118486.06577</v>
      </c>
      <c r="AP134" s="406">
        <v>153233.15820999999</v>
      </c>
      <c r="AQ134" s="153">
        <f>IVA!AE134+IVA!AF134+IVA!AG134</f>
        <v>397140.56764000002</v>
      </c>
      <c r="AR134" s="153">
        <f>IVA!AH134+IVA!AI134+IVA!AJ134</f>
        <v>386302.5589</v>
      </c>
      <c r="AS134" s="153">
        <f>IVA!AK134+IVA!AL134+IVA!AM134</f>
        <v>469812.72985</v>
      </c>
      <c r="AT134" s="153">
        <f>IVA!AN134+IVA!AO134+IVA!AP134</f>
        <v>425222.14498999994</v>
      </c>
      <c r="AU134" s="408">
        <f>IVA!AQ134+IVA!AR134+IVA!AS134+IVA!AT134</f>
        <v>1678478.00138</v>
      </c>
      <c r="AV134" s="128">
        <f>IVA!AQ134/IVA!CJ11</f>
        <v>1.675295678423333E-3</v>
      </c>
      <c r="AW134" s="128">
        <f>IVA!AR134/IVA!CK11</f>
        <v>1.1395080030103307E-3</v>
      </c>
      <c r="AX134" s="128">
        <f>IVA!AS134/IVA!CL11</f>
        <v>1.4065986992391878E-3</v>
      </c>
      <c r="AY134" s="128">
        <f>IVA!AT134/IVA!CM11</f>
        <v>1.2497365644615031E-3</v>
      </c>
      <c r="AZ134" s="269">
        <f>IVA!AU134/IVA!CN11</f>
        <v>5.3697524757995978E-3</v>
      </c>
      <c r="BA134" s="264">
        <v>2001</v>
      </c>
      <c r="BB134" s="413" t="s">
        <v>568</v>
      </c>
      <c r="BC134" s="414"/>
      <c r="BD134" s="414"/>
      <c r="BE134" s="414"/>
      <c r="BF134" s="415">
        <v>9164.1239165999996</v>
      </c>
      <c r="BG134" s="415">
        <v>7867.73155056</v>
      </c>
      <c r="BH134" s="415">
        <v>8214.8174348400007</v>
      </c>
      <c r="BI134" s="415">
        <v>7099.5608566800001</v>
      </c>
      <c r="BJ134" s="415">
        <v>7291.5066603599998</v>
      </c>
      <c r="BK134" s="415">
        <v>7937.7918214800002</v>
      </c>
      <c r="BL134" s="415">
        <v>6974.2583015999999</v>
      </c>
      <c r="BM134" s="415">
        <v>6890.0860869600001</v>
      </c>
      <c r="BN134" s="415">
        <v>6698.2744042800005</v>
      </c>
      <c r="BO134" s="415">
        <v>5344.75774404</v>
      </c>
      <c r="BP134" s="415">
        <v>8201.3303957999997</v>
      </c>
      <c r="BQ134" s="416">
        <v>3318.40767564</v>
      </c>
      <c r="BR134" s="173">
        <f>IVA!BF134+IVA!BG134+IVA!BH134</f>
        <v>25246.672901999998</v>
      </c>
      <c r="BS134" s="173">
        <f>IVA!BI134+IVA!BJ134+IVA!BK134</f>
        <v>22328.85933852</v>
      </c>
      <c r="BT134" s="173">
        <f>IVA!BL134+IVA!BM134+IVA!BN134</f>
        <v>20562.61879284</v>
      </c>
      <c r="BU134" s="174">
        <f>IVA!BO134+IVA!BP134+IVA!BQ134</f>
        <v>16864.495815480001</v>
      </c>
      <c r="BV134" s="135">
        <f>IVA!BR134+IVA!BS134+IVA!BT134+IVA!BU134</f>
        <v>85002.646848839999</v>
      </c>
      <c r="BW134" s="136">
        <f>IVA!BR134/IVA!CJ10</f>
        <v>9.5874290919033449E-5</v>
      </c>
      <c r="BX134" s="137">
        <f>IVA!BS134/IVA!CK10</f>
        <v>7.7523742670536271E-5</v>
      </c>
      <c r="BY134" s="136">
        <f>IVA!BT134/IVA!CL10</f>
        <v>7.5774141972379609E-5</v>
      </c>
      <c r="BZ134" s="136">
        <f>IVA!BU134/IVA!CM10</f>
        <v>6.6905890752298009E-5</v>
      </c>
      <c r="CA134" s="271">
        <f>IVA!BV134/IVA!CN10</f>
        <v>3.1635164873292885E-4</v>
      </c>
      <c r="CI134" s="53">
        <v>2004</v>
      </c>
      <c r="CJ134" s="376">
        <f>IVA!BF188+IVA!BG188+IVA!BH188</f>
        <v>1481666.6803757639</v>
      </c>
      <c r="CK134" s="376">
        <f>IVA!BG188+IVA!BH188+IVA!BI188</f>
        <v>1437101.692947723</v>
      </c>
      <c r="CL134" s="376">
        <f>IVA!BH188+IVA!BI188+IVA!BJ188</f>
        <v>1907226.682966942</v>
      </c>
      <c r="CM134" s="376">
        <f>IVA!BI188+IVA!BJ188+IVA!BK188</f>
        <v>2163423.5377503051</v>
      </c>
      <c r="CN134" s="377">
        <f>IVA!BJ188+IVA!BK188+IVA!BL188</f>
        <v>2283372.9602635312</v>
      </c>
      <c r="CP134" s="417"/>
      <c r="EJ134" s="31">
        <v>2082</v>
      </c>
      <c r="EK134" s="32">
        <v>19532.495999999999</v>
      </c>
      <c r="EL134" s="33">
        <v>17975.609</v>
      </c>
    </row>
    <row r="135" spans="27:142" ht="12.75" customHeight="1">
      <c r="AA135" s="403">
        <v>2003</v>
      </c>
      <c r="AB135" s="403" t="s">
        <v>567</v>
      </c>
      <c r="AC135" s="404"/>
      <c r="AD135" s="405"/>
      <c r="AE135" s="406">
        <v>123266.71459</v>
      </c>
      <c r="AF135" s="407">
        <v>161096.60114000001</v>
      </c>
      <c r="AG135" s="406">
        <v>155708.49700999999</v>
      </c>
      <c r="AH135" s="406">
        <v>126812.14303000001</v>
      </c>
      <c r="AI135" s="406">
        <v>114444.20982</v>
      </c>
      <c r="AJ135" s="406">
        <v>147513.13978999999</v>
      </c>
      <c r="AK135" s="406">
        <v>118523.65605000001</v>
      </c>
      <c r="AL135" s="406">
        <v>166149.19402</v>
      </c>
      <c r="AM135" s="406">
        <v>107680.48431</v>
      </c>
      <c r="AN135" s="406">
        <v>133091.60587</v>
      </c>
      <c r="AO135" s="406">
        <v>122125.34918</v>
      </c>
      <c r="AP135" s="406">
        <v>132696.30949000001</v>
      </c>
      <c r="AQ135" s="153">
        <f>IVA!AE135+IVA!AF135+IVA!AG135</f>
        <v>440071.81274000002</v>
      </c>
      <c r="AR135" s="153">
        <f>IVA!AH135+IVA!AI135+IVA!AJ135</f>
        <v>388769.49264000001</v>
      </c>
      <c r="AS135" s="153">
        <f>IVA!AK135+IVA!AL135+IVA!AM135</f>
        <v>392353.33438000001</v>
      </c>
      <c r="AT135" s="153">
        <f>IVA!AN135+IVA!AO135+IVA!AP135</f>
        <v>387913.26454</v>
      </c>
      <c r="AU135" s="408">
        <f>IVA!AQ135+IVA!AR135+IVA!AS135+IVA!AT135</f>
        <v>1609107.9043000001</v>
      </c>
      <c r="AV135" s="128">
        <f>IVA!AQ135/IVA!CJ12</f>
        <v>1.3442971778642604E-3</v>
      </c>
      <c r="AW135" s="128">
        <f>IVA!AR135/IVA!CK12</f>
        <v>9.7406951742145381E-4</v>
      </c>
      <c r="AX135" s="128">
        <f>IVA!AS135/IVA!CL12</f>
        <v>1.0382815028216719E-3</v>
      </c>
      <c r="AY135" s="128">
        <f>IVA!AT135/IVA!CM12</f>
        <v>9.71557227232398E-4</v>
      </c>
      <c r="AZ135" s="269">
        <f>IVA!AU135/IVA!CN12</f>
        <v>4.280574174374217E-3</v>
      </c>
      <c r="BA135" s="264">
        <v>2002</v>
      </c>
      <c r="BB135" s="413" t="s">
        <v>568</v>
      </c>
      <c r="BC135" s="414"/>
      <c r="BD135" s="414"/>
      <c r="BE135" s="414"/>
      <c r="BF135" s="415">
        <v>9180.6187225199992</v>
      </c>
      <c r="BG135" s="415">
        <v>6933.8773241999997</v>
      </c>
      <c r="BH135" s="415">
        <v>6303.0505858799997</v>
      </c>
      <c r="BI135" s="415">
        <v>5602.52160276</v>
      </c>
      <c r="BJ135" s="415">
        <v>11273.86025172</v>
      </c>
      <c r="BK135" s="415">
        <v>7031.6752315200001</v>
      </c>
      <c r="BL135" s="415">
        <v>7635.9504304800003</v>
      </c>
      <c r="BM135" s="415">
        <v>7635.9163034399999</v>
      </c>
      <c r="BN135" s="415">
        <v>6808.9793345999997</v>
      </c>
      <c r="BO135" s="415">
        <v>5964.0087194400003</v>
      </c>
      <c r="BP135" s="415">
        <v>6235.7490716399998</v>
      </c>
      <c r="BQ135" s="416">
        <v>6488.5296871199998</v>
      </c>
      <c r="BR135" s="173">
        <f>IVA!BF135+IVA!BG135+IVA!BH135</f>
        <v>22417.546632599999</v>
      </c>
      <c r="BS135" s="173">
        <f>IVA!BI135+IVA!BJ135+IVA!BK135</f>
        <v>23908.057086000001</v>
      </c>
      <c r="BT135" s="173">
        <f>IVA!BL135+IVA!BM135+IVA!BN135</f>
        <v>22080.846068520001</v>
      </c>
      <c r="BU135" s="174">
        <f>IVA!BO135+IVA!BP135+IVA!BQ135</f>
        <v>18688.2874782</v>
      </c>
      <c r="BV135" s="135">
        <f>IVA!BR135+IVA!BS135+IVA!BT135+IVA!BU135</f>
        <v>87094.73726532</v>
      </c>
      <c r="BW135" s="136">
        <f>IVA!BR135/IVA!CJ11</f>
        <v>9.4566060620863325E-5</v>
      </c>
      <c r="BX135" s="137">
        <f>IVA!BS135/IVA!CK11</f>
        <v>7.052353591314729E-5</v>
      </c>
      <c r="BY135" s="136">
        <f>IVA!BT135/IVA!CL11</f>
        <v>6.610908428981337E-5</v>
      </c>
      <c r="BZ135" s="136">
        <f>IVA!BU135/IVA!CM11</f>
        <v>5.4925258394583034E-5</v>
      </c>
      <c r="CA135" s="271">
        <f>IVA!BV135/IVA!CN11</f>
        <v>2.7863170126451211E-4</v>
      </c>
      <c r="CI135" s="53">
        <v>2005</v>
      </c>
      <c r="CJ135" s="376">
        <f>IVA!BF189+IVA!BG189+IVA!BH189</f>
        <v>1868108.2857439141</v>
      </c>
      <c r="CK135" s="376">
        <f>IVA!BG189+IVA!BH189+IVA!BI189</f>
        <v>1897618.295989332</v>
      </c>
      <c r="CL135" s="376">
        <f>IVA!BH189+IVA!BI189+IVA!BJ189</f>
        <v>2166617.9208659609</v>
      </c>
      <c r="CM135" s="376">
        <f>IVA!BI189+IVA!BJ189+IVA!BK189</f>
        <v>2387471.7433010358</v>
      </c>
      <c r="CN135" s="377">
        <f>IVA!BJ189+IVA!BK189+IVA!BL189</f>
        <v>2396642.66541223</v>
      </c>
      <c r="CP135" s="417"/>
      <c r="EJ135" s="31">
        <v>2083</v>
      </c>
      <c r="EK135" s="32">
        <v>19610.258999999998</v>
      </c>
      <c r="EL135" s="33">
        <v>18060.605</v>
      </c>
    </row>
    <row r="136" spans="27:142" ht="12.75" customHeight="1">
      <c r="AA136" s="403">
        <v>2004</v>
      </c>
      <c r="AB136" s="403" t="s">
        <v>567</v>
      </c>
      <c r="AC136" s="404"/>
      <c r="AD136" s="405"/>
      <c r="AE136" s="406">
        <v>101133.11747</v>
      </c>
      <c r="AF136" s="407">
        <v>155166.73913999999</v>
      </c>
      <c r="AG136" s="406">
        <v>175910.04008999999</v>
      </c>
      <c r="AH136" s="406">
        <v>128152.84766</v>
      </c>
      <c r="AI136" s="406">
        <v>136887.98318000001</v>
      </c>
      <c r="AJ136" s="406">
        <v>127368.80445</v>
      </c>
      <c r="AK136" s="406">
        <v>121098.13619999999</v>
      </c>
      <c r="AL136" s="406">
        <v>133378.68569000001</v>
      </c>
      <c r="AM136" s="406">
        <v>165539.45931000001</v>
      </c>
      <c r="AN136" s="406">
        <v>122466.06763999999</v>
      </c>
      <c r="AO136" s="406">
        <v>151470.62966999999</v>
      </c>
      <c r="AP136" s="406">
        <v>134086.26960999999</v>
      </c>
      <c r="AQ136" s="153">
        <f>IVA!AE136+IVA!AF136+IVA!AG136</f>
        <v>432209.89669999998</v>
      </c>
      <c r="AR136" s="153">
        <f>IVA!AH136+IVA!AI136+IVA!AJ136</f>
        <v>392409.63529000001</v>
      </c>
      <c r="AS136" s="153">
        <f>IVA!AK136+IVA!AL136+IVA!AM136</f>
        <v>420016.28120000003</v>
      </c>
      <c r="AT136" s="153">
        <f>IVA!AN136+IVA!AO136+IVA!AP136</f>
        <v>408022.96691999992</v>
      </c>
      <c r="AU136" s="408">
        <f>IVA!AQ136+IVA!AR136+IVA!AS136+IVA!AT136</f>
        <v>1652658.7801100002</v>
      </c>
      <c r="AV136" s="128">
        <f>IVA!AQ136/IVA!CJ13</f>
        <v>1.1002830750705798E-3</v>
      </c>
      <c r="AW136" s="128">
        <f>IVA!AR136/IVA!CK13</f>
        <v>8.2749643944390026E-4</v>
      </c>
      <c r="AX136" s="128">
        <f>IVA!AS136/IVA!CL13</f>
        <v>9.2907581294757212E-4</v>
      </c>
      <c r="AY136" s="128">
        <f>IVA!AT136/IVA!CM13</f>
        <v>8.6543908936946253E-4</v>
      </c>
      <c r="AZ136" s="269">
        <f>IVA!AU136/IVA!CN13</f>
        <v>3.6919089736219884E-3</v>
      </c>
      <c r="BA136" s="264">
        <v>2003</v>
      </c>
      <c r="BB136" s="413" t="s">
        <v>568</v>
      </c>
      <c r="BC136" s="414"/>
      <c r="BD136" s="414"/>
      <c r="BE136" s="414"/>
      <c r="BF136" s="415">
        <v>7684.6175776800001</v>
      </c>
      <c r="BG136" s="415">
        <v>6262.8425282400003</v>
      </c>
      <c r="BH136" s="415">
        <v>6074.44658196</v>
      </c>
      <c r="BI136" s="415">
        <v>7655.1711998399996</v>
      </c>
      <c r="BJ136" s="415">
        <v>7125.6306365999999</v>
      </c>
      <c r="BK136" s="415">
        <v>6388.5071381999996</v>
      </c>
      <c r="BL136" s="415">
        <v>7554.0228803999998</v>
      </c>
      <c r="BM136" s="415">
        <v>6307.40262024</v>
      </c>
      <c r="BN136" s="415">
        <v>7625.5462729199999</v>
      </c>
      <c r="BO136" s="415">
        <v>6979.0543659599998</v>
      </c>
      <c r="BP136" s="415">
        <v>7495.4491491600002</v>
      </c>
      <c r="BQ136" s="416">
        <v>8532.8647671599992</v>
      </c>
      <c r="BR136" s="173">
        <f>IVA!BF136+IVA!BG136+IVA!BH136</f>
        <v>20021.90668788</v>
      </c>
      <c r="BS136" s="173">
        <f>IVA!BI136+IVA!BJ136+IVA!BK136</f>
        <v>21169.30897464</v>
      </c>
      <c r="BT136" s="173">
        <f>IVA!BL136+IVA!BM136+IVA!BN136</f>
        <v>21486.971773559999</v>
      </c>
      <c r="BU136" s="174">
        <f>IVA!BO136+IVA!BP136+IVA!BQ136</f>
        <v>23007.368282279996</v>
      </c>
      <c r="BV136" s="135">
        <f>IVA!BR136+IVA!BS136+IVA!BT136+IVA!BU136</f>
        <v>85685.555718360003</v>
      </c>
      <c r="BW136" s="136">
        <f>IVA!BR136/IVA!CJ12</f>
        <v>6.1161364751803813E-5</v>
      </c>
      <c r="BX136" s="137">
        <f>IVA!BS136/IVA!CK12</f>
        <v>5.3040114945870192E-5</v>
      </c>
      <c r="BY136" s="136">
        <f>IVA!BT136/IVA!CL12</f>
        <v>5.6860802213883105E-5</v>
      </c>
      <c r="BZ136" s="136">
        <f>IVA!BU136/IVA!CM12</f>
        <v>5.7623641616775979E-5</v>
      </c>
      <c r="CA136" s="271">
        <f>IVA!BV136/IVA!CN12</f>
        <v>2.2794206401246552E-4</v>
      </c>
      <c r="CI136" s="53">
        <v>2006</v>
      </c>
      <c r="CJ136" s="376">
        <f>IVA!BF190+IVA!BG190+IVA!BH190</f>
        <v>2342233.2408672031</v>
      </c>
      <c r="CK136" s="376">
        <f>IVA!BG190+IVA!BH190+IVA!BI190</f>
        <v>2233987.4781333548</v>
      </c>
      <c r="CL136" s="376">
        <f>IVA!BH190+IVA!BI190+IVA!BJ190</f>
        <v>2487530.012731046</v>
      </c>
      <c r="CM136" s="376">
        <f>IVA!BI190+IVA!BJ190+IVA!BK190</f>
        <v>2768203.943838567</v>
      </c>
      <c r="CN136" s="377">
        <f>IVA!BJ190+IVA!BK190+IVA!BL190</f>
        <v>2917382.8755772361</v>
      </c>
      <c r="CP136" s="417"/>
      <c r="EJ136" s="31">
        <v>2084</v>
      </c>
      <c r="EK136" s="32">
        <v>19688.406999999999</v>
      </c>
      <c r="EL136" s="33">
        <v>18146.298999999999</v>
      </c>
    </row>
    <row r="137" spans="27:142" ht="12.75" customHeight="1">
      <c r="AA137" s="403">
        <v>2005</v>
      </c>
      <c r="AB137" s="403" t="s">
        <v>567</v>
      </c>
      <c r="AC137" s="404"/>
      <c r="AD137" s="405"/>
      <c r="AE137" s="406">
        <v>129862.34424999999</v>
      </c>
      <c r="AF137" s="407">
        <v>199065.58658999999</v>
      </c>
      <c r="AG137" s="406">
        <v>137249.22286000001</v>
      </c>
      <c r="AH137" s="406">
        <v>90520.507989999998</v>
      </c>
      <c r="AI137" s="406">
        <v>151719.85279999999</v>
      </c>
      <c r="AJ137" s="406">
        <v>144389.12723000001</v>
      </c>
      <c r="AK137" s="406">
        <v>131662.14335999999</v>
      </c>
      <c r="AL137" s="406">
        <v>134496.12736000001</v>
      </c>
      <c r="AM137" s="406">
        <v>136117.69050999999</v>
      </c>
      <c r="AN137" s="406">
        <v>179696.25784999999</v>
      </c>
      <c r="AO137" s="406">
        <v>144529.41654999999</v>
      </c>
      <c r="AP137" s="406">
        <v>189728.15778000001</v>
      </c>
      <c r="AQ137" s="153">
        <f>IVA!AE137+IVA!AF137+IVA!AG137</f>
        <v>466177.15370000002</v>
      </c>
      <c r="AR137" s="153">
        <f>IVA!AH137+IVA!AI137+IVA!AJ137</f>
        <v>386629.48802000005</v>
      </c>
      <c r="AS137" s="153">
        <f>IVA!AK137+IVA!AL137+IVA!AM137</f>
        <v>402275.96123000002</v>
      </c>
      <c r="AT137" s="153">
        <f>IVA!AN137+IVA!AO137+IVA!AP137</f>
        <v>513953.83218000003</v>
      </c>
      <c r="AU137" s="408">
        <f>IVA!AQ137+IVA!AR137+IVA!AS137+IVA!AT137</f>
        <v>1769036.4351300001</v>
      </c>
      <c r="AV137" s="128">
        <f>IVA!AQ137/IVA!CJ14</f>
        <v>1.0206083528912085E-3</v>
      </c>
      <c r="AW137" s="128">
        <f>IVA!AR137/IVA!CK14</f>
        <v>6.9989357079519208E-4</v>
      </c>
      <c r="AX137" s="128">
        <f>IVA!AS137/IVA!CL14</f>
        <v>7.3916784488909737E-4</v>
      </c>
      <c r="AY137" s="128">
        <f>IVA!AT137/IVA!CM14</f>
        <v>8.9484251669700839E-4</v>
      </c>
      <c r="AZ137" s="269">
        <f>IVA!AU137/IVA!CN14</f>
        <v>3.3256395163205731E-3</v>
      </c>
      <c r="BA137" s="264">
        <v>2004</v>
      </c>
      <c r="BB137" s="413" t="s">
        <v>568</v>
      </c>
      <c r="BC137" s="414"/>
      <c r="BD137" s="414"/>
      <c r="BE137" s="414"/>
      <c r="BF137" s="415">
        <v>7974.1860638400003</v>
      </c>
      <c r="BG137" s="415">
        <v>7278.5741127600004</v>
      </c>
      <c r="BH137" s="415">
        <v>7277.5871623200001</v>
      </c>
      <c r="BI137" s="415">
        <v>7597.0854045599999</v>
      </c>
      <c r="BJ137" s="415">
        <v>7778.2138782000002</v>
      </c>
      <c r="BK137" s="415">
        <v>7534.3063113600001</v>
      </c>
      <c r="BL137" s="415">
        <v>8058.1927117200003</v>
      </c>
      <c r="BM137" s="415">
        <v>8733.4014079200006</v>
      </c>
      <c r="BN137" s="415">
        <v>8181.8916903600002</v>
      </c>
      <c r="BO137" s="415">
        <v>7657.4234248800003</v>
      </c>
      <c r="BP137" s="415">
        <v>8071.9538706000003</v>
      </c>
      <c r="BQ137" s="416">
        <v>8645.1675123599998</v>
      </c>
      <c r="BR137" s="173">
        <f>IVA!BF137+IVA!BG137+IVA!BH137</f>
        <v>22530.347338920001</v>
      </c>
      <c r="BS137" s="173">
        <f>IVA!BI137+IVA!BJ137+IVA!BK137</f>
        <v>22909.605594119999</v>
      </c>
      <c r="BT137" s="173">
        <f>IVA!BL137+IVA!BM137+IVA!BN137</f>
        <v>24973.485810000002</v>
      </c>
      <c r="BU137" s="174">
        <f>IVA!BO137+IVA!BP137+IVA!BQ137</f>
        <v>24374.54480784</v>
      </c>
      <c r="BV137" s="135">
        <f>IVA!BR137+IVA!BS137+IVA!BT137+IVA!BU137</f>
        <v>94787.983550879988</v>
      </c>
      <c r="BW137" s="136">
        <f>IVA!BR137/IVA!CJ13</f>
        <v>5.735583576810576E-5</v>
      </c>
      <c r="BX137" s="137">
        <f>IVA!BS137/IVA!CK13</f>
        <v>4.8310783816988159E-5</v>
      </c>
      <c r="BY137" s="136">
        <f>IVA!BT137/IVA!CL13</f>
        <v>5.5241338656613029E-5</v>
      </c>
      <c r="BZ137" s="136">
        <f>IVA!BU137/IVA!CM13</f>
        <v>5.1699746270479414E-5</v>
      </c>
      <c r="CA137" s="271">
        <f>IVA!BV137/IVA!CN13</f>
        <v>2.117488566149964E-4</v>
      </c>
      <c r="CI137" s="53">
        <v>2007</v>
      </c>
      <c r="CJ137" s="376">
        <f>IVA!BF191+IVA!BG191+IVA!BH191</f>
        <v>2933075.1577082821</v>
      </c>
      <c r="CK137" s="376">
        <f>IVA!BG191+IVA!BH191+IVA!BI191</f>
        <v>2811271.7875129632</v>
      </c>
      <c r="CL137" s="376">
        <f>IVA!BH191+IVA!BI191+IVA!BJ191</f>
        <v>3185197.375824389</v>
      </c>
      <c r="CM137" s="376">
        <f>IVA!BI191+IVA!BJ191+IVA!BK191</f>
        <v>3554836.7520001009</v>
      </c>
      <c r="CN137" s="377">
        <f>IVA!BJ191+IVA!BK191+IVA!BL191</f>
        <v>3846194.7888724501</v>
      </c>
      <c r="CP137" s="417"/>
      <c r="EJ137" s="31">
        <v>2085</v>
      </c>
      <c r="EK137" s="32">
        <v>19767.972000000002</v>
      </c>
      <c r="EL137" s="33">
        <v>18233.643</v>
      </c>
    </row>
    <row r="138" spans="27:142" ht="12.75" customHeight="1">
      <c r="AA138" s="403">
        <v>2006</v>
      </c>
      <c r="AB138" s="403" t="s">
        <v>567</v>
      </c>
      <c r="AC138" s="404"/>
      <c r="AD138" s="405"/>
      <c r="AE138" s="406">
        <v>132766.32096000001</v>
      </c>
      <c r="AF138" s="407">
        <v>183308.22036000001</v>
      </c>
      <c r="AG138" s="406">
        <v>156602.74113000001</v>
      </c>
      <c r="AH138" s="406">
        <v>172473.66738999999</v>
      </c>
      <c r="AI138" s="406">
        <v>158532.69333000001</v>
      </c>
      <c r="AJ138" s="406">
        <v>157744.04939999999</v>
      </c>
      <c r="AK138" s="406">
        <v>185156.45439999999</v>
      </c>
      <c r="AL138" s="406">
        <v>181061.78448999999</v>
      </c>
      <c r="AM138" s="406">
        <v>180848.68547</v>
      </c>
      <c r="AN138" s="406">
        <v>188448.30807</v>
      </c>
      <c r="AO138" s="406">
        <v>179517.89047000001</v>
      </c>
      <c r="AP138" s="406">
        <v>175332.33358000001</v>
      </c>
      <c r="AQ138" s="153">
        <f>IVA!AE138+IVA!AF138+IVA!AG138</f>
        <v>472677.28245000006</v>
      </c>
      <c r="AR138" s="153">
        <f>IVA!AH138+IVA!AI138+IVA!AJ138</f>
        <v>488750.41012000002</v>
      </c>
      <c r="AS138" s="153">
        <f>IVA!AK138+IVA!AL138+IVA!AM138</f>
        <v>547066.92435999995</v>
      </c>
      <c r="AT138" s="153">
        <f>IVA!AN138+IVA!AO138+IVA!AP138</f>
        <v>543298.53211999999</v>
      </c>
      <c r="AU138" s="408">
        <f>IVA!AQ138+IVA!AR138+IVA!AS138+IVA!AT138</f>
        <v>2051793.1490500001</v>
      </c>
      <c r="AV138" s="128">
        <f>IVA!AQ138/IVA!CJ15</f>
        <v>8.3218710488138967E-4</v>
      </c>
      <c r="AW138" s="128">
        <f>IVA!AR138/IVA!CK15</f>
        <v>7.2057484931239827E-4</v>
      </c>
      <c r="AX138" s="128">
        <f>IVA!AS138/IVA!CL15</f>
        <v>8.1872073166775058E-4</v>
      </c>
      <c r="AY138" s="128">
        <f>IVA!AT138/IVA!CM15</f>
        <v>7.7251444401481469E-4</v>
      </c>
      <c r="AZ138" s="269">
        <f>IVA!AU138/IVA!CN15</f>
        <v>3.1351939528334229E-3</v>
      </c>
      <c r="BA138" s="264">
        <v>2005</v>
      </c>
      <c r="BB138" s="413" t="s">
        <v>568</v>
      </c>
      <c r="BC138" s="414"/>
      <c r="BD138" s="414"/>
      <c r="BE138" s="414"/>
      <c r="BF138" s="415">
        <v>9936.1415899999993</v>
      </c>
      <c r="BG138" s="415">
        <v>5546.0752300000004</v>
      </c>
      <c r="BH138" s="415">
        <v>6595.2632100000001</v>
      </c>
      <c r="BI138" s="415">
        <v>8979.6794699999991</v>
      </c>
      <c r="BJ138" s="415">
        <v>9240.8665999999994</v>
      </c>
      <c r="BK138" s="415">
        <v>9854.55242</v>
      </c>
      <c r="BL138" s="415">
        <v>10403.32372</v>
      </c>
      <c r="BM138" s="415">
        <v>9610.3340100000005</v>
      </c>
      <c r="BN138" s="415">
        <v>11908.428099999999</v>
      </c>
      <c r="BO138" s="415">
        <v>10699.06343</v>
      </c>
      <c r="BP138" s="415">
        <v>10294.924080000001</v>
      </c>
      <c r="BQ138" s="416">
        <v>13067.10572</v>
      </c>
      <c r="BR138" s="173">
        <f>IVA!BF138+IVA!BG138+IVA!BH138</f>
        <v>22077.480029999999</v>
      </c>
      <c r="BS138" s="173">
        <f>IVA!BI138+IVA!BJ138+IVA!BK138</f>
        <v>28075.098489999997</v>
      </c>
      <c r="BT138" s="173">
        <f>IVA!BL138+IVA!BM138+IVA!BN138</f>
        <v>31922.085829999996</v>
      </c>
      <c r="BU138" s="174">
        <f>IVA!BO138+IVA!BP138+IVA!BQ138</f>
        <v>34061.093229999999</v>
      </c>
      <c r="BV138" s="135">
        <f>IVA!BR138+IVA!BS138+IVA!BT138+IVA!BU138</f>
        <v>116135.75757999999</v>
      </c>
      <c r="BW138" s="136">
        <f>IVA!BR138/IVA!CJ14</f>
        <v>4.8334544819644276E-5</v>
      </c>
      <c r="BX138" s="137">
        <f>IVA!BS138/IVA!CK14</f>
        <v>5.0822768416402701E-5</v>
      </c>
      <c r="BY138" s="136">
        <f>IVA!BT138/IVA!CL14</f>
        <v>5.8655703202297681E-5</v>
      </c>
      <c r="BZ138" s="136">
        <f>IVA!BU138/IVA!CM14</f>
        <v>5.9303603707171078E-5</v>
      </c>
      <c r="CA138" s="271">
        <f>IVA!BV138/IVA!CN14</f>
        <v>2.1832544372524029E-4</v>
      </c>
      <c r="CI138" s="53">
        <v>2008</v>
      </c>
      <c r="CJ138" s="376">
        <f>IVA!BF192+IVA!BG192+IVA!BH192</f>
        <v>3938989.9522416601</v>
      </c>
      <c r="CK138" s="376">
        <f>IVA!BG192+IVA!BH192+IVA!BI192</f>
        <v>3827913.7373912102</v>
      </c>
      <c r="CL138" s="376">
        <f>IVA!BH192+IVA!BI192+IVA!BJ192</f>
        <v>4097426.2320662402</v>
      </c>
      <c r="CM138" s="376">
        <f>IVA!BI192+IVA!BJ192+IVA!BK192</f>
        <v>4574882.2366890498</v>
      </c>
      <c r="CN138" s="377">
        <f>IVA!BJ192+IVA!BK192+IVA!BL192</f>
        <v>4779307.6952537606</v>
      </c>
      <c r="EJ138" s="31">
        <v>2086</v>
      </c>
      <c r="EK138" s="32">
        <v>19830.966</v>
      </c>
      <c r="EL138" s="33">
        <v>18304.447</v>
      </c>
    </row>
    <row r="139" spans="27:142" ht="12.75" customHeight="1">
      <c r="AA139" s="403">
        <v>2007</v>
      </c>
      <c r="AB139" s="403" t="s">
        <v>567</v>
      </c>
      <c r="AC139" s="404"/>
      <c r="AD139" s="405"/>
      <c r="AE139" s="406">
        <v>128628.16019</v>
      </c>
      <c r="AF139" s="407">
        <v>273530.47635000001</v>
      </c>
      <c r="AG139" s="406">
        <v>196594.16764999999</v>
      </c>
      <c r="AH139" s="406">
        <v>214498.78505000001</v>
      </c>
      <c r="AI139" s="406">
        <v>153933.24153999999</v>
      </c>
      <c r="AJ139" s="406">
        <v>165289.53690000001</v>
      </c>
      <c r="AK139" s="406">
        <v>195082.05700999999</v>
      </c>
      <c r="AL139" s="406">
        <v>181846.78899999999</v>
      </c>
      <c r="AM139" s="406">
        <v>294833.95275</v>
      </c>
      <c r="AN139" s="406">
        <v>246349.57310000001</v>
      </c>
      <c r="AO139" s="406">
        <v>237850.37022000001</v>
      </c>
      <c r="AP139" s="406">
        <v>249326.12854999999</v>
      </c>
      <c r="AQ139" s="153">
        <f>IVA!AE139+IVA!AF139+IVA!AG139</f>
        <v>598752.80418999994</v>
      </c>
      <c r="AR139" s="153">
        <f>IVA!AH139+IVA!AI139+IVA!AJ139</f>
        <v>533721.56349000009</v>
      </c>
      <c r="AS139" s="153">
        <f>IVA!AK139+IVA!AL139+IVA!AM139</f>
        <v>671762.79875999992</v>
      </c>
      <c r="AT139" s="153">
        <f>IVA!AN139+IVA!AO139+IVA!AP139</f>
        <v>733526.07186999999</v>
      </c>
      <c r="AU139" s="408">
        <f>IVA!AQ139+IVA!AR139+IVA!AS139+IVA!AT139</f>
        <v>2537763.2383099999</v>
      </c>
      <c r="AV139" s="128">
        <f>IVA!AQ139/IVA!CJ16</f>
        <v>8.7907094812955124E-4</v>
      </c>
      <c r="AW139" s="128">
        <f>IVA!AR139/IVA!CK16</f>
        <v>6.3909162189570599E-4</v>
      </c>
      <c r="AX139" s="128">
        <f>IVA!AS139/IVA!CL16</f>
        <v>8.1183424365802452E-4</v>
      </c>
      <c r="AY139" s="128">
        <f>IVA!AT139/IVA!CM16</f>
        <v>8.0952873944619547E-4</v>
      </c>
      <c r="AZ139" s="269">
        <f>IVA!AU139/IVA!CN16</f>
        <v>3.1235707222742018E-3</v>
      </c>
      <c r="BA139" s="264">
        <v>2006</v>
      </c>
      <c r="BB139" s="413" t="s">
        <v>568</v>
      </c>
      <c r="BC139" s="414"/>
      <c r="BD139" s="414"/>
      <c r="BE139" s="414"/>
      <c r="BF139" s="415">
        <v>13540.177250000001</v>
      </c>
      <c r="BG139" s="415">
        <v>7038.3785799999996</v>
      </c>
      <c r="BH139" s="415">
        <v>9586.0643</v>
      </c>
      <c r="BI139" s="415">
        <v>9487.1318499999998</v>
      </c>
      <c r="BJ139" s="415">
        <v>10624.664919999999</v>
      </c>
      <c r="BK139" s="415">
        <v>12234.996419999999</v>
      </c>
      <c r="BL139" s="415">
        <v>13486.416929999999</v>
      </c>
      <c r="BM139" s="415">
        <v>12679.10266</v>
      </c>
      <c r="BN139" s="415">
        <v>13306.342350000001</v>
      </c>
      <c r="BO139" s="415">
        <v>13096.96185</v>
      </c>
      <c r="BP139" s="415">
        <v>18748.382229999999</v>
      </c>
      <c r="BQ139" s="416">
        <v>33336.371099999997</v>
      </c>
      <c r="BR139" s="173">
        <f>IVA!BF139+IVA!BG139+IVA!BH139</f>
        <v>30164.620130000003</v>
      </c>
      <c r="BS139" s="173">
        <f>IVA!BI139+IVA!BJ139+IVA!BK139</f>
        <v>32346.79319</v>
      </c>
      <c r="BT139" s="173">
        <f>IVA!BL139+IVA!BM139+IVA!BN139</f>
        <v>39471.861940000003</v>
      </c>
      <c r="BU139" s="174">
        <f>IVA!BO139+IVA!BP139+IVA!BQ139</f>
        <v>65181.715179999999</v>
      </c>
      <c r="BV139" s="135">
        <f>IVA!BR139+IVA!BS139+IVA!BT139+IVA!BU139</f>
        <v>167164.99044000002</v>
      </c>
      <c r="BW139" s="136">
        <f>IVA!BR139/IVA!CJ15</f>
        <v>5.3107286573449722E-5</v>
      </c>
      <c r="BX139" s="137">
        <f>IVA!BS139/IVA!CK15</f>
        <v>4.7689546946673279E-5</v>
      </c>
      <c r="BY139" s="136">
        <f>IVA!BT139/IVA!CL15</f>
        <v>5.907217243230603E-5</v>
      </c>
      <c r="BZ139" s="136">
        <f>IVA!BU139/IVA!CM15</f>
        <v>9.2681672202802687E-5</v>
      </c>
      <c r="CA139" s="271">
        <f>IVA!BV139/IVA!CN15</f>
        <v>2.5543250663236002E-4</v>
      </c>
      <c r="CI139" s="53">
        <v>2009</v>
      </c>
      <c r="CJ139" s="376">
        <f>IVA!BF193+IVA!BG193+IVA!BH193</f>
        <v>4263143.5412250003</v>
      </c>
      <c r="CK139" s="376">
        <f>IVA!BG193+IVA!BH193+IVA!BI193</f>
        <v>4211943.9418275002</v>
      </c>
      <c r="CL139" s="376">
        <f>IVA!BH193+IVA!BI193+IVA!BJ193</f>
        <v>4483976.9857724998</v>
      </c>
      <c r="CM139" s="376">
        <f>IVA!BI193+IVA!BJ193+IVA!BK193</f>
        <v>4833507.1681875</v>
      </c>
      <c r="CN139" s="377">
        <f>IVA!BJ193+IVA!BK193+IVA!BL193</f>
        <v>5070829.7384474995</v>
      </c>
      <c r="EJ139" s="31">
        <v>2087</v>
      </c>
      <c r="EK139" s="32">
        <v>19900.306</v>
      </c>
      <c r="EL139" s="33">
        <v>18381.552</v>
      </c>
    </row>
    <row r="140" spans="27:142" ht="12.75" customHeight="1">
      <c r="AA140" s="403">
        <v>2008</v>
      </c>
      <c r="AB140" s="403" t="s">
        <v>567</v>
      </c>
      <c r="AC140" s="404"/>
      <c r="AD140" s="405"/>
      <c r="AE140" s="406">
        <v>226619.43358000001</v>
      </c>
      <c r="AF140" s="407">
        <v>390355.48842000001</v>
      </c>
      <c r="AG140" s="406">
        <v>329055.24959000002</v>
      </c>
      <c r="AH140" s="406">
        <v>258449.70827</v>
      </c>
      <c r="AI140" s="406">
        <v>249854.60313999999</v>
      </c>
      <c r="AJ140" s="406">
        <v>277319.46308999998</v>
      </c>
      <c r="AK140" s="406">
        <v>274657.96827999997</v>
      </c>
      <c r="AL140" s="406">
        <v>295239.13744000002</v>
      </c>
      <c r="AM140" s="406">
        <v>279017.17374</v>
      </c>
      <c r="AN140" s="406">
        <v>286958.53954000003</v>
      </c>
      <c r="AO140" s="406">
        <v>289599.61992999999</v>
      </c>
      <c r="AP140" s="406">
        <v>452575.84739000001</v>
      </c>
      <c r="AQ140" s="153">
        <f>IVA!AE140+IVA!AF140+IVA!AG140</f>
        <v>946030.17159000004</v>
      </c>
      <c r="AR140" s="153">
        <f>IVA!AH140+IVA!AI140+IVA!AJ140</f>
        <v>785623.77449999994</v>
      </c>
      <c r="AS140" s="153">
        <f>IVA!AK140+IVA!AL140+IVA!AM140</f>
        <v>848914.27945999999</v>
      </c>
      <c r="AT140" s="153">
        <f>IVA!AN140+IVA!AO140+IVA!AP140</f>
        <v>1029134.0068600001</v>
      </c>
      <c r="AU140" s="408">
        <f>IVA!AQ140+IVA!AR140+IVA!AS140+IVA!AT140</f>
        <v>3609702.2324100002</v>
      </c>
      <c r="AV140" s="128">
        <f>IVA!AQ140/IVA!CJ17</f>
        <v>1.0657777637969319E-3</v>
      </c>
      <c r="AW140" s="128">
        <f>IVA!AR140/IVA!CK17</f>
        <v>7.0908330816992448E-4</v>
      </c>
      <c r="AX140" s="128">
        <f>IVA!AS140/IVA!CL17</f>
        <v>8.0271726396692145E-4</v>
      </c>
      <c r="AY140" s="128">
        <f>IVA!AT140/IVA!CM17</f>
        <v>9.5476153105928632E-4</v>
      </c>
      <c r="AZ140" s="269">
        <f>IVA!AU140/IVA!CN17</f>
        <v>3.4952062655626975E-3</v>
      </c>
      <c r="BA140" s="264">
        <v>2007</v>
      </c>
      <c r="BB140" s="413" t="s">
        <v>568</v>
      </c>
      <c r="BC140" s="414"/>
      <c r="BD140" s="414"/>
      <c r="BE140" s="414"/>
      <c r="BF140" s="415">
        <v>32798.954449999997</v>
      </c>
      <c r="BG140" s="415">
        <v>19232.343499999999</v>
      </c>
      <c r="BH140" s="415">
        <v>26479.094669999999</v>
      </c>
      <c r="BI140" s="415">
        <v>25842.938849999999</v>
      </c>
      <c r="BJ140" s="415">
        <v>29889.541389999999</v>
      </c>
      <c r="BK140" s="415">
        <v>32558.801599999999</v>
      </c>
      <c r="BL140" s="415">
        <v>34041.856350000002</v>
      </c>
      <c r="BM140" s="415">
        <v>35601.538099999998</v>
      </c>
      <c r="BN140" s="415">
        <v>36736.696109999997</v>
      </c>
      <c r="BO140" s="415">
        <v>36018.932419999997</v>
      </c>
      <c r="BP140" s="415">
        <v>37355.557889999996</v>
      </c>
      <c r="BQ140" s="416">
        <v>35858.60557</v>
      </c>
      <c r="BR140" s="173">
        <f>IVA!BF140+IVA!BG140+IVA!BH140</f>
        <v>78510.392619999999</v>
      </c>
      <c r="BS140" s="173">
        <f>IVA!BI140+IVA!BJ140+IVA!BK140</f>
        <v>88291.281839999996</v>
      </c>
      <c r="BT140" s="173">
        <f>IVA!BL140+IVA!BM140+IVA!BN140</f>
        <v>106380.09055999998</v>
      </c>
      <c r="BU140" s="174">
        <f>IVA!BO140+IVA!BP140+IVA!BQ140</f>
        <v>109233.09587999999</v>
      </c>
      <c r="BV140" s="135">
        <f>IVA!BR140+IVA!BS140+IVA!BT140+IVA!BU140</f>
        <v>382414.86089999997</v>
      </c>
      <c r="BW140" s="136">
        <f>IVA!BR140/IVA!CJ16</f>
        <v>1.152666088501292E-4</v>
      </c>
      <c r="BX140" s="137">
        <f>IVA!BS140/IVA!CK16</f>
        <v>1.0572220118184096E-4</v>
      </c>
      <c r="BY140" s="136">
        <f>IVA!BT140/IVA!CL16</f>
        <v>1.285617490570575E-4</v>
      </c>
      <c r="BZ140" s="136">
        <f>IVA!BU140/IVA!CM16</f>
        <v>1.2055103943082944E-4</v>
      </c>
      <c r="CA140" s="271">
        <f>IVA!BV140/IVA!CN16</f>
        <v>4.7069003334813356E-4</v>
      </c>
      <c r="CI140" s="53">
        <v>2010</v>
      </c>
      <c r="CJ140" s="376">
        <f>IVA!BF194+IVA!BG194+IVA!BH194</f>
        <v>5364454.4194950005</v>
      </c>
      <c r="CK140" s="376">
        <f>IVA!BG194+IVA!BH194+IVA!BI194</f>
        <v>5382818.0478525003</v>
      </c>
      <c r="CL140" s="376">
        <f>IVA!BH194+IVA!BI194+IVA!BJ194</f>
        <v>6144941.1713925004</v>
      </c>
      <c r="CM140" s="376">
        <f>IVA!BI194+IVA!BJ194+IVA!BK194</f>
        <v>6803520.7304999996</v>
      </c>
      <c r="CN140" s="377">
        <f>IVA!BJ194+IVA!BK194+IVA!BL194</f>
        <v>7177106.6829599999</v>
      </c>
      <c r="EJ140" s="31">
        <v>2088</v>
      </c>
      <c r="EK140" s="32">
        <v>19974.295999999998</v>
      </c>
      <c r="EL140" s="33">
        <v>18463.168000000001</v>
      </c>
    </row>
    <row r="141" spans="27:142" ht="12.75" customHeight="1">
      <c r="AA141" s="403">
        <v>2009</v>
      </c>
      <c r="AB141" s="403" t="s">
        <v>567</v>
      </c>
      <c r="AC141" s="404"/>
      <c r="AD141" s="405"/>
      <c r="AE141" s="406">
        <v>268323</v>
      </c>
      <c r="AF141" s="407">
        <v>432790</v>
      </c>
      <c r="AG141" s="406">
        <v>330795</v>
      </c>
      <c r="AH141" s="406">
        <v>328558</v>
      </c>
      <c r="AI141" s="406">
        <v>337656</v>
      </c>
      <c r="AJ141" s="406">
        <v>345150</v>
      </c>
      <c r="AK141" s="406">
        <v>350322</v>
      </c>
      <c r="AL141" s="406">
        <v>347398</v>
      </c>
      <c r="AM141" s="406">
        <v>414110</v>
      </c>
      <c r="AN141" s="406">
        <v>426994</v>
      </c>
      <c r="AO141" s="406">
        <v>472468</v>
      </c>
      <c r="AP141" s="406">
        <v>499063</v>
      </c>
      <c r="AQ141" s="153">
        <f>IVA!AE141+IVA!AF141+IVA!AG141</f>
        <v>1031908</v>
      </c>
      <c r="AR141" s="153">
        <f>IVA!AH141+IVA!AI141+IVA!AJ141</f>
        <v>1011364</v>
      </c>
      <c r="AS141" s="153">
        <f>IVA!AK141+IVA!AL141+IVA!AM141</f>
        <v>1111830</v>
      </c>
      <c r="AT141" s="153">
        <f>IVA!AN141+IVA!AO141+IVA!AP141</f>
        <v>1398525</v>
      </c>
      <c r="AU141" s="408">
        <f>IVA!AQ141+IVA!AR141+IVA!AS141+IVA!AT141</f>
        <v>4553627</v>
      </c>
      <c r="AV141" s="128">
        <f>IVA!AQ141/IVA!CJ18</f>
        <v>1.0392220447509573E-3</v>
      </c>
      <c r="AW141" s="128">
        <f>IVA!AR141/IVA!CK18</f>
        <v>8.4606601855625259E-4</v>
      </c>
      <c r="AX141" s="128">
        <f>IVA!AS141/IVA!CL18</f>
        <v>9.5126184491737956E-4</v>
      </c>
      <c r="AY141" s="128">
        <f>IVA!AT141/IVA!CM18</f>
        <v>1.1419292211063553E-3</v>
      </c>
      <c r="AZ141" s="269">
        <f>IVA!AU141/IVA!CN18</f>
        <v>3.9753754941842436E-3</v>
      </c>
      <c r="BA141" s="264">
        <v>2008</v>
      </c>
      <c r="BB141" s="413" t="s">
        <v>568</v>
      </c>
      <c r="BC141" s="414"/>
      <c r="BD141" s="414"/>
      <c r="BE141" s="414"/>
      <c r="BF141" s="415">
        <v>31730.757010000001</v>
      </c>
      <c r="BG141" s="415">
        <v>31146.770929999999</v>
      </c>
      <c r="BH141" s="415">
        <v>37486.530939999997</v>
      </c>
      <c r="BI141" s="415">
        <v>33799.19081</v>
      </c>
      <c r="BJ141" s="415">
        <v>37626.374819999997</v>
      </c>
      <c r="BK141" s="415">
        <v>40899.85411</v>
      </c>
      <c r="BL141" s="415">
        <v>38736.936670000003</v>
      </c>
      <c r="BM141" s="415">
        <v>39109.544410000002</v>
      </c>
      <c r="BN141" s="415">
        <v>33994.884319999997</v>
      </c>
      <c r="BO141" s="415">
        <v>37693.620320000002</v>
      </c>
      <c r="BP141" s="415">
        <v>39805.493000000002</v>
      </c>
      <c r="BQ141" s="416">
        <v>37030.224199999997</v>
      </c>
      <c r="BR141" s="173">
        <f>IVA!BF141+IVA!BG141+IVA!BH141</f>
        <v>100364.05888</v>
      </c>
      <c r="BS141" s="173">
        <f>IVA!BI141+IVA!BJ141+IVA!BK141</f>
        <v>112325.41974</v>
      </c>
      <c r="BT141" s="173">
        <f>IVA!BL141+IVA!BM141+IVA!BN141</f>
        <v>111841.3654</v>
      </c>
      <c r="BU141" s="174">
        <f>IVA!BO141+IVA!BP141+IVA!BQ141</f>
        <v>114529.33752</v>
      </c>
      <c r="BV141" s="135">
        <f>IVA!BR141+IVA!BS141+IVA!BT141+IVA!BU141</f>
        <v>439060.18154000002</v>
      </c>
      <c r="BW141" s="136">
        <f>IVA!BR141/IVA!CJ17</f>
        <v>1.1306804523890798E-4</v>
      </c>
      <c r="BX141" s="137">
        <f>IVA!BS141/IVA!CK17</f>
        <v>1.0138196272319473E-4</v>
      </c>
      <c r="BY141" s="136">
        <f>IVA!BT141/IVA!CL17</f>
        <v>1.0575507681331555E-4</v>
      </c>
      <c r="BZ141" s="136">
        <f>IVA!BU141/IVA!CM17</f>
        <v>1.0625264048501734E-4</v>
      </c>
      <c r="CA141" s="271">
        <f>IVA!BV141/IVA!CN17</f>
        <v>4.2513365332439936E-4</v>
      </c>
      <c r="CI141" s="53">
        <v>2011</v>
      </c>
      <c r="CJ141" s="376">
        <f>IVA!BF195+IVA!BG195+IVA!BH195</f>
        <v>7315484.9676374998</v>
      </c>
      <c r="CK141" s="376">
        <f>IVA!BG195+IVA!BH195+IVA!BI195</f>
        <v>7229481.5311575001</v>
      </c>
      <c r="CL141" s="376">
        <f>IVA!BH195+IVA!BI195+IVA!BJ195</f>
        <v>8238958.8355650008</v>
      </c>
      <c r="CM141" s="376">
        <f>IVA!BI195+IVA!BJ195+IVA!BK195</f>
        <v>9038753.2865925003</v>
      </c>
      <c r="CN141" s="377">
        <f>IVA!BJ195+IVA!BK195+IVA!BL195</f>
        <v>9464945.6154674999</v>
      </c>
      <c r="EJ141" s="31">
        <v>2089</v>
      </c>
      <c r="EK141" s="32">
        <v>20049.647000000001</v>
      </c>
      <c r="EL141" s="33">
        <v>18545.828000000001</v>
      </c>
    </row>
    <row r="142" spans="27:142" ht="12.75" customHeight="1">
      <c r="AA142" s="403">
        <v>2010</v>
      </c>
      <c r="AB142" s="403" t="s">
        <v>567</v>
      </c>
      <c r="AC142" s="404"/>
      <c r="AD142" s="405"/>
      <c r="AE142" s="406">
        <v>335333</v>
      </c>
      <c r="AF142" s="407">
        <v>519842</v>
      </c>
      <c r="AG142" s="406">
        <v>533167</v>
      </c>
      <c r="AH142" s="406">
        <v>465856</v>
      </c>
      <c r="AI142" s="406">
        <v>590097</v>
      </c>
      <c r="AJ142" s="406">
        <v>501237</v>
      </c>
      <c r="AK142" s="406">
        <v>499716</v>
      </c>
      <c r="AL142" s="406">
        <v>495111</v>
      </c>
      <c r="AM142" s="406">
        <v>578882</v>
      </c>
      <c r="AN142" s="406">
        <v>574644</v>
      </c>
      <c r="AO142" s="406">
        <v>598734</v>
      </c>
      <c r="AP142" s="406">
        <v>667454</v>
      </c>
      <c r="AQ142" s="153">
        <f>IVA!AE142+IVA!AF142+IVA!AG142</f>
        <v>1388342</v>
      </c>
      <c r="AR142" s="153">
        <f>IVA!AH142+IVA!AI142+IVA!AJ142</f>
        <v>1557190</v>
      </c>
      <c r="AS142" s="153">
        <f>IVA!AK142+IVA!AL142+IVA!AM142</f>
        <v>1573709</v>
      </c>
      <c r="AT142" s="153">
        <f>IVA!AN142+IVA!AO142+IVA!AP142</f>
        <v>1840832</v>
      </c>
      <c r="AU142" s="408">
        <f>IVA!AQ142+IVA!AR142+IVA!AS142+IVA!AT142</f>
        <v>6360073</v>
      </c>
      <c r="AV142" s="128">
        <f>IVA!AQ142/IVA!CJ19</f>
        <v>1.1404334386687488E-3</v>
      </c>
      <c r="AW142" s="128">
        <f>IVA!AR142/IVA!CK19</f>
        <v>1.0324237882255944E-3</v>
      </c>
      <c r="AX142" s="128">
        <f>IVA!AS142/IVA!CL19</f>
        <v>1.0735763140805369E-3</v>
      </c>
      <c r="AY142" s="128">
        <f>IVA!AT142/IVA!CM19</f>
        <v>1.1657487691561334E-3</v>
      </c>
      <c r="AZ142" s="269">
        <f>IVA!AU142/IVA!CN19</f>
        <v>4.4085878681466833E-3</v>
      </c>
      <c r="BA142" s="264">
        <v>2009</v>
      </c>
      <c r="BB142" s="413" t="s">
        <v>568</v>
      </c>
      <c r="BC142" s="414"/>
      <c r="BD142" s="414"/>
      <c r="BE142" s="414"/>
      <c r="BF142" s="415">
        <v>30886</v>
      </c>
      <c r="BG142" s="415">
        <v>17708</v>
      </c>
      <c r="BH142" s="415">
        <v>21394</v>
      </c>
      <c r="BI142" s="415">
        <v>23205</v>
      </c>
      <c r="BJ142" s="415">
        <v>26767</v>
      </c>
      <c r="BK142" s="415">
        <v>28029</v>
      </c>
      <c r="BL142" s="415">
        <v>32055</v>
      </c>
      <c r="BM142" s="415">
        <v>31751</v>
      </c>
      <c r="BN142" s="415">
        <v>41474</v>
      </c>
      <c r="BO142" s="415">
        <v>35958</v>
      </c>
      <c r="BP142" s="415">
        <v>36349</v>
      </c>
      <c r="BQ142" s="416">
        <v>46100</v>
      </c>
      <c r="BR142" s="173">
        <f>IVA!BF142+IVA!BG142+IVA!BH142</f>
        <v>69988</v>
      </c>
      <c r="BS142" s="173">
        <f>IVA!BI142+IVA!BJ142+IVA!BK142</f>
        <v>78001</v>
      </c>
      <c r="BT142" s="173">
        <f>IVA!BL142+IVA!BM142+IVA!BN142</f>
        <v>105280</v>
      </c>
      <c r="BU142" s="174">
        <f>IVA!BO142+IVA!BP142+IVA!BQ142</f>
        <v>118407</v>
      </c>
      <c r="BV142" s="135">
        <f>IVA!BR142+IVA!BS142+IVA!BT142+IVA!BU142</f>
        <v>371676</v>
      </c>
      <c r="BW142" s="136">
        <f>IVA!BR142/IVA!CJ18</f>
        <v>7.0484066862578826E-5</v>
      </c>
      <c r="BX142" s="137">
        <f>IVA!BS142/IVA!CK18</f>
        <v>6.5252466484278917E-5</v>
      </c>
      <c r="BY142" s="136">
        <f>IVA!BT142/IVA!CL18</f>
        <v>9.0075683362476016E-5</v>
      </c>
      <c r="BZ142" s="136">
        <f>IVA!BU142/IVA!CM18</f>
        <v>9.668215676054429E-5</v>
      </c>
      <c r="CA142" s="271">
        <f>IVA!BV142/IVA!CN18</f>
        <v>3.2447797375068771E-4</v>
      </c>
      <c r="CI142" s="231">
        <v>2012</v>
      </c>
      <c r="CJ142" s="395">
        <f>IVA!BF196+IVA!BG196+IVA!BH196</f>
        <v>9169093.4218065292</v>
      </c>
      <c r="CK142" s="395">
        <f>IVA!BG196+IVA!BH196+IVA!BI196</f>
        <v>8803742.7916355394</v>
      </c>
      <c r="CL142" s="395">
        <f>IVA!BH196+IVA!BI196+IVA!BJ196</f>
        <v>9681151.9969139602</v>
      </c>
      <c r="CM142" s="395">
        <f>IVA!BI196+IVA!BJ196+IVA!BK196</f>
        <v>10703006.23914233</v>
      </c>
      <c r="CN142" s="396">
        <f>IVA!BJ196+IVA!BK196+IVA!BL196</f>
        <v>11268197.431720519</v>
      </c>
      <c r="EJ142" s="31">
        <v>2090</v>
      </c>
      <c r="EK142" s="32">
        <v>20125.167000000001</v>
      </c>
      <c r="EL142" s="33">
        <v>18628.260999999999</v>
      </c>
    </row>
    <row r="143" spans="27:142" ht="12.75" customHeight="1">
      <c r="AA143" s="403">
        <v>2011</v>
      </c>
      <c r="AB143" s="403" t="s">
        <v>567</v>
      </c>
      <c r="AC143" s="404"/>
      <c r="AD143" s="405"/>
      <c r="AE143" s="406">
        <v>516535</v>
      </c>
      <c r="AF143" s="407">
        <v>689058</v>
      </c>
      <c r="AG143" s="406">
        <v>652679</v>
      </c>
      <c r="AH143" s="406">
        <v>605515</v>
      </c>
      <c r="AI143" s="406">
        <v>655350</v>
      </c>
      <c r="AJ143" s="406">
        <v>529559</v>
      </c>
      <c r="AK143" s="406">
        <v>486288</v>
      </c>
      <c r="AL143" s="406">
        <v>708807</v>
      </c>
      <c r="AM143" s="406">
        <v>643152</v>
      </c>
      <c r="AN143" s="406">
        <v>813944</v>
      </c>
      <c r="AO143" s="406">
        <v>778886</v>
      </c>
      <c r="AP143" s="406">
        <v>982612</v>
      </c>
      <c r="AQ143" s="153">
        <f>IVA!AE143+IVA!AF143+IVA!AG143</f>
        <v>1858272</v>
      </c>
      <c r="AR143" s="153">
        <f>IVA!AH143+IVA!AI143+IVA!AJ143</f>
        <v>1790424</v>
      </c>
      <c r="AS143" s="153">
        <f>IVA!AK143+IVA!AL143+IVA!AM143</f>
        <v>1838247</v>
      </c>
      <c r="AT143" s="153">
        <f>IVA!AN143+IVA!AO143+IVA!AP143</f>
        <v>2575442</v>
      </c>
      <c r="AU143" s="408">
        <f>IVA!AQ143+IVA!AR143+IVA!AS143+IVA!AT143</f>
        <v>8062385</v>
      </c>
      <c r="AV143" s="128">
        <f>IVA!AQ143/IVA!CJ20</f>
        <v>1.1854399775450056E-3</v>
      </c>
      <c r="AW143" s="128">
        <f>IVA!AR143/IVA!CK20</f>
        <v>9.0598078859807022E-4</v>
      </c>
      <c r="AX143" s="128">
        <f>IVA!AS143/IVA!CL20</f>
        <v>9.8544867926927981E-4</v>
      </c>
      <c r="AY143" s="128">
        <f>IVA!AT143/IVA!CM20</f>
        <v>1.3147455117538164E-3</v>
      </c>
      <c r="AZ143" s="269">
        <f>IVA!AU143/IVA!CN20</f>
        <v>4.3769208023931635E-3</v>
      </c>
      <c r="BA143" s="264">
        <v>2010</v>
      </c>
      <c r="BB143" s="413" t="s">
        <v>568</v>
      </c>
      <c r="BC143" s="414"/>
      <c r="BD143" s="414"/>
      <c r="BE143" s="414"/>
      <c r="BF143" s="415">
        <v>42508</v>
      </c>
      <c r="BG143" s="415">
        <v>25786</v>
      </c>
      <c r="BH143" s="415">
        <v>34598</v>
      </c>
      <c r="BI143" s="415">
        <v>38082</v>
      </c>
      <c r="BJ143" s="415">
        <v>41126</v>
      </c>
      <c r="BK143" s="415">
        <v>43351</v>
      </c>
      <c r="BL143" s="415">
        <v>47746</v>
      </c>
      <c r="BM143" s="415">
        <v>46823</v>
      </c>
      <c r="BN143" s="415">
        <v>50811</v>
      </c>
      <c r="BO143" s="415">
        <v>50292</v>
      </c>
      <c r="BP143" s="415">
        <v>53628</v>
      </c>
      <c r="BQ143" s="416">
        <v>63879</v>
      </c>
      <c r="BR143" s="173">
        <f>IVA!BF143+IVA!BG143+IVA!BH143</f>
        <v>102892</v>
      </c>
      <c r="BS143" s="173">
        <f>IVA!BI143+IVA!BJ143+IVA!BK143</f>
        <v>122559</v>
      </c>
      <c r="BT143" s="173">
        <f>IVA!BL143+IVA!BM143+IVA!BN143</f>
        <v>145380</v>
      </c>
      <c r="BU143" s="174">
        <f>IVA!BO143+IVA!BP143+IVA!BQ143</f>
        <v>167799</v>
      </c>
      <c r="BV143" s="135">
        <f>IVA!BR143+IVA!BS143+IVA!BT143+IVA!BU143</f>
        <v>538630</v>
      </c>
      <c r="BW143" s="136">
        <f>IVA!BR143/IVA!CJ19</f>
        <v>8.4519143965611427E-5</v>
      </c>
      <c r="BX143" s="137">
        <f>IVA!BS143/IVA!CK19</f>
        <v>8.1257153630026274E-5</v>
      </c>
      <c r="BY143" s="136">
        <f>IVA!BT143/IVA!CL19</f>
        <v>9.9177500122976008E-5</v>
      </c>
      <c r="BZ143" s="136">
        <f>IVA!BU143/IVA!CM19</f>
        <v>1.0626253656804642E-4</v>
      </c>
      <c r="CA143" s="271">
        <f>IVA!BV143/IVA!CN19</f>
        <v>3.7336013020917335E-4</v>
      </c>
      <c r="CI143" s="237"/>
      <c r="CJ143" s="26"/>
      <c r="CK143" s="26"/>
      <c r="CL143" s="26"/>
      <c r="CM143" s="26"/>
      <c r="CN143" s="26"/>
      <c r="CO143" s="26"/>
      <c r="CP143" s="26"/>
      <c r="CQ143" s="27"/>
      <c r="EJ143" s="31">
        <v>2091</v>
      </c>
      <c r="EK143" s="32">
        <v>20179.212</v>
      </c>
      <c r="EL143" s="33">
        <v>18688.534</v>
      </c>
    </row>
    <row r="144" spans="27:142" ht="12.75" customHeight="1">
      <c r="AA144" s="418">
        <v>2012</v>
      </c>
      <c r="AB144" s="418" t="s">
        <v>567</v>
      </c>
      <c r="AC144" s="419"/>
      <c r="AD144" s="420"/>
      <c r="AE144" s="421">
        <v>764608.20872999995</v>
      </c>
      <c r="AF144" s="422">
        <v>962961.67160999996</v>
      </c>
      <c r="AG144" s="421">
        <v>938057.42905000004</v>
      </c>
      <c r="AH144" s="421">
        <v>865606.15182000003</v>
      </c>
      <c r="AI144" s="421">
        <v>792309.53087999998</v>
      </c>
      <c r="AJ144" s="421">
        <v>746910.43284000002</v>
      </c>
      <c r="AK144" s="421">
        <v>1092541.88861</v>
      </c>
      <c r="AL144" s="421">
        <v>1004213.78066</v>
      </c>
      <c r="AM144" s="421">
        <v>1005332.5663900001</v>
      </c>
      <c r="AN144" s="421">
        <v>947419.32437000005</v>
      </c>
      <c r="AO144" s="421">
        <v>958304.29098000005</v>
      </c>
      <c r="AP144" s="421">
        <v>1271300.69224</v>
      </c>
      <c r="AQ144" s="325">
        <f>IVA!AE144+IVA!AF144+IVA!AG144</f>
        <v>2665627.3093900001</v>
      </c>
      <c r="AR144" s="325">
        <f>IVA!AH144+IVA!AI144+IVA!AJ144</f>
        <v>2404826.1155400001</v>
      </c>
      <c r="AS144" s="325">
        <f>IVA!AK144+IVA!AL144+IVA!AM144</f>
        <v>3102088.2356599998</v>
      </c>
      <c r="AT144" s="325">
        <f>IVA!AN144+IVA!AO144+IVA!AP144</f>
        <v>3177024.3075900003</v>
      </c>
      <c r="AU144" s="423">
        <f>IVA!AQ144+IVA!AR144+IVA!AS144+IVA!AT144</f>
        <v>11349565.968180001</v>
      </c>
      <c r="AV144" s="250">
        <f>IVA!AQ144/IVA!CJ21</f>
        <v>1.4217171845370641E-3</v>
      </c>
      <c r="AW144" s="250">
        <f>IVA!AR144/IVA!CK21</f>
        <v>1.0579212746195646E-3</v>
      </c>
      <c r="AX144" s="250">
        <f>IVA!AS144/IVA!CL21</f>
        <v>1.4210797021840026E-3</v>
      </c>
      <c r="AY144" s="250">
        <f>IVA!AT144/IVA!CM21</f>
        <v>1.3658878706395042E-3</v>
      </c>
      <c r="AZ144" s="294">
        <f>IVA!AU144/IVA!CN21</f>
        <v>5.2441204090960033E-3</v>
      </c>
      <c r="BA144" s="264">
        <v>2011</v>
      </c>
      <c r="BB144" s="413" t="s">
        <v>568</v>
      </c>
      <c r="BC144" s="414"/>
      <c r="BD144" s="414"/>
      <c r="BE144" s="414"/>
      <c r="BF144" s="415">
        <v>61944</v>
      </c>
      <c r="BG144" s="415">
        <v>35009</v>
      </c>
      <c r="BH144" s="415">
        <v>47163</v>
      </c>
      <c r="BI144" s="415">
        <v>57352</v>
      </c>
      <c r="BJ144" s="415">
        <v>51610</v>
      </c>
      <c r="BK144" s="415">
        <v>69736</v>
      </c>
      <c r="BL144" s="415">
        <v>70803</v>
      </c>
      <c r="BM144" s="415">
        <v>67205</v>
      </c>
      <c r="BN144" s="415">
        <v>76174</v>
      </c>
      <c r="BO144" s="415">
        <v>75309</v>
      </c>
      <c r="BP144" s="415">
        <v>79522</v>
      </c>
      <c r="BQ144" s="416">
        <v>83121</v>
      </c>
      <c r="BR144" s="173">
        <f>IVA!BF144+IVA!BG144+IVA!BH144</f>
        <v>144116</v>
      </c>
      <c r="BS144" s="173">
        <f>IVA!BI144+IVA!BJ144+IVA!BK144</f>
        <v>178698</v>
      </c>
      <c r="BT144" s="173">
        <f>IVA!BL144+IVA!BM144+IVA!BN144</f>
        <v>214182</v>
      </c>
      <c r="BU144" s="174">
        <f>IVA!BO144+IVA!BP144+IVA!BQ144</f>
        <v>237952</v>
      </c>
      <c r="BV144" s="135">
        <f>IVA!BR144+IVA!BS144+IVA!BT144+IVA!BU144</f>
        <v>774948</v>
      </c>
      <c r="BW144" s="136">
        <f>IVA!BR144/IVA!CJ20</f>
        <v>9.1935339823166914E-5</v>
      </c>
      <c r="BX144" s="137">
        <f>IVA!BS144/IVA!CK20</f>
        <v>9.0423807411483509E-5</v>
      </c>
      <c r="BY144" s="136">
        <f>IVA!BT144/IVA!CL20</f>
        <v>1.1481882958234279E-4</v>
      </c>
      <c r="BZ144" s="136">
        <f>IVA!BU144/IVA!CM20</f>
        <v>1.2147286718662044E-4</v>
      </c>
      <c r="CA144" s="271">
        <f>IVA!BV144/IVA!CN20</f>
        <v>4.207050422391113E-4</v>
      </c>
      <c r="CI144" s="237"/>
      <c r="CJ144" s="26"/>
      <c r="CK144" s="26"/>
      <c r="CL144" s="26"/>
      <c r="CM144" s="26"/>
      <c r="CN144" s="26"/>
      <c r="CO144" s="26"/>
      <c r="CP144" s="26"/>
      <c r="CQ144" s="27"/>
      <c r="EJ144" s="31">
        <v>2092</v>
      </c>
      <c r="EK144" s="32">
        <v>20238.383000000002</v>
      </c>
      <c r="EL144" s="33">
        <v>18753.311000000002</v>
      </c>
    </row>
    <row r="145" spans="27:142" ht="12.75" customHeight="1">
      <c r="AA145" s="403">
        <v>1996</v>
      </c>
      <c r="AB145" s="403" t="s">
        <v>569</v>
      </c>
      <c r="AC145" s="404"/>
      <c r="AD145" s="405"/>
      <c r="AE145" s="406">
        <f>IVA!AE128*0.21</f>
        <v>28841.61</v>
      </c>
      <c r="AF145" s="407">
        <f>IVA!AF128*0.21</f>
        <v>37840.53</v>
      </c>
      <c r="AG145" s="406">
        <f>IVA!AG128*0.21</f>
        <v>24315.27</v>
      </c>
      <c r="AH145" s="406">
        <f>IVA!AH128*0.21</f>
        <v>36825.18</v>
      </c>
      <c r="AI145" s="406">
        <f>IVA!AI128*0.21</f>
        <v>36491.07</v>
      </c>
      <c r="AJ145" s="406">
        <f>IVA!AJ128*0.21</f>
        <v>34655.25</v>
      </c>
      <c r="AK145" s="406">
        <f>IVA!AK128*0.21</f>
        <v>2848.8599999999997</v>
      </c>
      <c r="AL145" s="406">
        <f>IVA!AL128*0.21</f>
        <v>35512.26</v>
      </c>
      <c r="AM145" s="406">
        <f>IVA!AM128*0.21</f>
        <v>41414.31</v>
      </c>
      <c r="AN145" s="406">
        <f>IVA!AN128*0.21</f>
        <v>44693.25</v>
      </c>
      <c r="AO145" s="406">
        <f>IVA!AO128*0.21</f>
        <v>48555.15</v>
      </c>
      <c r="AP145" s="406">
        <f>IVA!AP128*0.21</f>
        <v>6431.67</v>
      </c>
      <c r="AQ145" s="153">
        <f>IVA!AE145+IVA!AF145+IVA!AG145</f>
        <v>90997.41</v>
      </c>
      <c r="AR145" s="153">
        <f>IVA!AH145+IVA!AI145+IVA!AJ145</f>
        <v>107971.5</v>
      </c>
      <c r="AS145" s="153">
        <f>IVA!AK145+IVA!AL145+IVA!AM145</f>
        <v>79775.429999999993</v>
      </c>
      <c r="AT145" s="153">
        <f>IVA!AN145+IVA!AO145+IVA!AP145</f>
        <v>99680.069999999992</v>
      </c>
      <c r="AU145" s="408">
        <f>IVA!AQ145+IVA!AR145+IVA!AS145+IVA!AT145</f>
        <v>378424.41</v>
      </c>
      <c r="AV145" s="250"/>
      <c r="AW145" s="250"/>
      <c r="AX145" s="250"/>
      <c r="AY145" s="250"/>
      <c r="AZ145" s="294"/>
      <c r="BA145" s="295">
        <v>2012</v>
      </c>
      <c r="BB145" s="424" t="s">
        <v>568</v>
      </c>
      <c r="BC145" s="425"/>
      <c r="BD145" s="425"/>
      <c r="BE145" s="425"/>
      <c r="BF145" s="426">
        <v>78373.573340000003</v>
      </c>
      <c r="BG145" s="426">
        <v>42793.61363</v>
      </c>
      <c r="BH145" s="426">
        <v>53223.307180000003</v>
      </c>
      <c r="BI145" s="426">
        <v>54447.247159999999</v>
      </c>
      <c r="BJ145" s="426">
        <v>63825.01324</v>
      </c>
      <c r="BK145" s="426">
        <v>69855.053119999997</v>
      </c>
      <c r="BL145" s="426">
        <v>59146.438430000002</v>
      </c>
      <c r="BM145" s="426">
        <v>55154.221259999998</v>
      </c>
      <c r="BN145" s="426">
        <v>60502.603519999997</v>
      </c>
      <c r="BO145" s="426">
        <v>54113.51352</v>
      </c>
      <c r="BP145" s="426">
        <v>60898.412909999999</v>
      </c>
      <c r="BQ145" s="427">
        <v>68380.934720000005</v>
      </c>
      <c r="BR145" s="257">
        <f>IVA!BF145+IVA!BG145+IVA!BH145</f>
        <v>174390.49415000001</v>
      </c>
      <c r="BS145" s="257">
        <f>IVA!BI145+IVA!BJ145+IVA!BK145</f>
        <v>188127.31352</v>
      </c>
      <c r="BT145" s="257">
        <f>IVA!BL145+IVA!BM145+IVA!BN145</f>
        <v>174803.26321</v>
      </c>
      <c r="BU145" s="258">
        <f>IVA!BO145+IVA!BP145+IVA!BQ145</f>
        <v>183392.86115000001</v>
      </c>
      <c r="BV145" s="259">
        <f>IVA!BR145+IVA!BS145+IVA!BT145+IVA!BU145</f>
        <v>720713.93203000003</v>
      </c>
      <c r="BW145" s="262">
        <f>IVA!BR145/IVA!CJ21</f>
        <v>9.3011487944915424E-5</v>
      </c>
      <c r="BX145" s="261">
        <f>IVA!BS145/IVA!CK21</f>
        <v>8.2760198761872779E-5</v>
      </c>
      <c r="BY145" s="262">
        <f>IVA!BT145/IVA!CL21</f>
        <v>8.0078112017470415E-5</v>
      </c>
      <c r="BZ145" s="262">
        <f>IVA!BU145/IVA!CM21</f>
        <v>7.8845504583714501E-5</v>
      </c>
      <c r="CA145" s="301">
        <f>IVA!BV145/IVA!CN21</f>
        <v>3.3300926666929005E-4</v>
      </c>
      <c r="CI145" s="25" t="s">
        <v>570</v>
      </c>
      <c r="CJ145" s="26"/>
      <c r="CK145" s="26"/>
      <c r="CL145" s="26"/>
      <c r="CM145" s="26"/>
      <c r="CN145" s="26"/>
      <c r="CO145" s="26"/>
      <c r="CP145" s="26"/>
      <c r="CQ145" s="27"/>
      <c r="EJ145" s="31">
        <v>2093</v>
      </c>
      <c r="EK145" s="32">
        <v>20301.29</v>
      </c>
      <c r="EL145" s="33">
        <v>18821.381000000001</v>
      </c>
    </row>
    <row r="146" spans="27:142" ht="12.75" customHeight="1">
      <c r="AA146" s="403">
        <v>1997</v>
      </c>
      <c r="AB146" s="403" t="s">
        <v>569</v>
      </c>
      <c r="AC146" s="404"/>
      <c r="AD146" s="405"/>
      <c r="AE146" s="406">
        <f>IVA!AE129*0.21</f>
        <v>29180.34</v>
      </c>
      <c r="AF146" s="407">
        <f>IVA!AF129*0.21</f>
        <v>48874.979999999996</v>
      </c>
      <c r="AG146" s="406">
        <f>IVA!AG129*0.21</f>
        <v>40594.26</v>
      </c>
      <c r="AH146" s="406">
        <f>IVA!AH129*0.21</f>
        <v>49032.689999999995</v>
      </c>
      <c r="AI146" s="406">
        <f>IVA!AI129*0.21</f>
        <v>47383.56</v>
      </c>
      <c r="AJ146" s="406">
        <f>IVA!AJ129*0.21</f>
        <v>44453.43</v>
      </c>
      <c r="AK146" s="406">
        <f>IVA!AK129*0.21</f>
        <v>42681.03</v>
      </c>
      <c r="AL146" s="406">
        <f>IVA!AL129*0.21</f>
        <v>35784.42</v>
      </c>
      <c r="AM146" s="406">
        <f>IVA!AM129*0.21</f>
        <v>40863.9</v>
      </c>
      <c r="AN146" s="406">
        <f>IVA!AN129*0.21</f>
        <v>41477.31</v>
      </c>
      <c r="AO146" s="406">
        <f>IVA!AO129*0.21</f>
        <v>40571.369999999995</v>
      </c>
      <c r="AP146" s="406">
        <f>IVA!AP129*0.21</f>
        <v>52304.7</v>
      </c>
      <c r="AQ146" s="153">
        <f>IVA!AE146+IVA!AF146+IVA!AG146</f>
        <v>118649.57999999999</v>
      </c>
      <c r="AR146" s="153">
        <f>IVA!AH146+IVA!AI146+IVA!AJ146</f>
        <v>140869.68</v>
      </c>
      <c r="AS146" s="153">
        <f>IVA!AK146+IVA!AL146+IVA!AM146</f>
        <v>119329.35</v>
      </c>
      <c r="AT146" s="153">
        <f>IVA!AN146+IVA!AO146+IVA!AP146</f>
        <v>134353.38</v>
      </c>
      <c r="AU146" s="408">
        <f>IVA!AQ146+IVA!AR146+IVA!AS146+IVA!AT146</f>
        <v>513201.99</v>
      </c>
      <c r="AV146" s="128">
        <f>IVA!AQ146/IVA!CJ6</f>
        <v>4.3740168104401678E-4</v>
      </c>
      <c r="AW146" s="128">
        <f>IVA!AR146/IVA!CK6</f>
        <v>4.6976518949429712E-4</v>
      </c>
      <c r="AX146" s="128">
        <f>IVA!AS146/IVA!CL6</f>
        <v>4.0007829747777337E-4</v>
      </c>
      <c r="AY146" s="128">
        <f>IVA!AT146/IVA!CM6</f>
        <v>4.4482347354070682E-4</v>
      </c>
      <c r="AZ146" s="269">
        <f>IVA!AU146/IVA!CN6</f>
        <v>1.7523866603589866E-3</v>
      </c>
      <c r="BA146" s="295">
        <v>1996</v>
      </c>
      <c r="BB146" s="424"/>
      <c r="BC146" s="425"/>
      <c r="BD146" s="425"/>
      <c r="BE146" s="428"/>
      <c r="BF146" s="426"/>
      <c r="BG146" s="426"/>
      <c r="BH146" s="426"/>
      <c r="BI146" s="426"/>
      <c r="BJ146" s="426"/>
      <c r="BK146" s="426"/>
      <c r="BL146" s="426"/>
      <c r="BM146" s="426"/>
      <c r="BN146" s="426"/>
      <c r="BO146" s="426"/>
      <c r="BP146" s="426"/>
      <c r="BQ146" s="427"/>
      <c r="BR146" s="257"/>
      <c r="BS146" s="257"/>
      <c r="BT146" s="257"/>
      <c r="BU146" s="258"/>
      <c r="BV146" s="259"/>
      <c r="BW146" s="262"/>
      <c r="BX146" s="261"/>
      <c r="BY146" s="262"/>
      <c r="BZ146" s="262"/>
      <c r="CA146" s="301"/>
      <c r="CI146" s="237"/>
      <c r="CJ146" s="26"/>
      <c r="CK146" s="26"/>
      <c r="CL146" s="26"/>
      <c r="CM146" s="26"/>
      <c r="CN146" s="26"/>
      <c r="CO146" s="26"/>
      <c r="CP146" s="26"/>
      <c r="CQ146" s="27"/>
      <c r="EJ146" s="31">
        <v>2094</v>
      </c>
      <c r="EK146" s="32">
        <v>20366.207999999999</v>
      </c>
      <c r="EL146" s="33">
        <v>18891.276999999998</v>
      </c>
    </row>
    <row r="147" spans="27:142" ht="12.75" customHeight="1">
      <c r="AA147" s="403">
        <v>1998</v>
      </c>
      <c r="AB147" s="403" t="s">
        <v>569</v>
      </c>
      <c r="AC147" s="404"/>
      <c r="AD147" s="405"/>
      <c r="AE147" s="406">
        <f>IVA!AE130*0.21</f>
        <v>31807.86</v>
      </c>
      <c r="AF147" s="407">
        <f>IVA!AF130*0.21</f>
        <v>48263.46</v>
      </c>
      <c r="AG147" s="406">
        <f>IVA!AG130*0.21</f>
        <v>39838.89</v>
      </c>
      <c r="AH147" s="406">
        <f>IVA!AH130*0.21</f>
        <v>36153.599999999999</v>
      </c>
      <c r="AI147" s="406">
        <f>IVA!AI130*0.21</f>
        <v>42376.11</v>
      </c>
      <c r="AJ147" s="406">
        <f>IVA!AJ130*0.21</f>
        <v>40305.72</v>
      </c>
      <c r="AK147" s="406">
        <f>IVA!AK130*0.21</f>
        <v>39566.1</v>
      </c>
      <c r="AL147" s="406">
        <f>IVA!AL130*0.21</f>
        <v>39372.269999999997</v>
      </c>
      <c r="AM147" s="406">
        <f>IVA!AM130*0.21</f>
        <v>41069.07</v>
      </c>
      <c r="AN147" s="406">
        <f>IVA!AN130*0.21</f>
        <v>40400.85</v>
      </c>
      <c r="AO147" s="406">
        <f>IVA!AO130*0.21</f>
        <v>41691.51</v>
      </c>
      <c r="AP147" s="406">
        <f>IVA!AP130*0.21</f>
        <v>47479.11</v>
      </c>
      <c r="AQ147" s="153">
        <f>IVA!AE147+IVA!AF147+IVA!AG147</f>
        <v>119910.21</v>
      </c>
      <c r="AR147" s="153">
        <f>IVA!AH147+IVA!AI147+IVA!AJ147</f>
        <v>118835.43</v>
      </c>
      <c r="AS147" s="153">
        <f>IVA!AK147+IVA!AL147+IVA!AM147</f>
        <v>120007.44</v>
      </c>
      <c r="AT147" s="153">
        <f>IVA!AN147+IVA!AO147+IVA!AP147</f>
        <v>129571.47</v>
      </c>
      <c r="AU147" s="408">
        <f>IVA!AQ147+IVA!AR147+IVA!AS147+IVA!AT147</f>
        <v>488324.55000000005</v>
      </c>
      <c r="AV147" s="128">
        <f>IVA!AQ147/IVA!CJ7</f>
        <v>4.2406462633149907E-4</v>
      </c>
      <c r="AW147" s="128">
        <f>IVA!AR147/IVA!CK7</f>
        <v>3.8072523772837458E-4</v>
      </c>
      <c r="AX147" s="128">
        <f>IVA!AS147/IVA!CL7</f>
        <v>3.9285549068852037E-4</v>
      </c>
      <c r="AY147" s="128">
        <f>IVA!AT147/IVA!CM7</f>
        <v>4.3859297122345709E-4</v>
      </c>
      <c r="AZ147" s="269">
        <f>IVA!AU147/IVA!CN7</f>
        <v>1.6334745986285541E-3</v>
      </c>
      <c r="BA147" s="270">
        <v>1997</v>
      </c>
      <c r="BB147" s="429" t="s">
        <v>571</v>
      </c>
      <c r="BC147" s="430"/>
      <c r="BD147" s="430"/>
      <c r="BE147" s="430"/>
      <c r="BF147" s="431">
        <v>3010.4501645715</v>
      </c>
      <c r="BG147" s="431">
        <v>2698.7732395395001</v>
      </c>
      <c r="BH147" s="431">
        <v>3356.2331504234999</v>
      </c>
      <c r="BI147" s="431">
        <v>927.75044288250001</v>
      </c>
      <c r="BJ147" s="431">
        <v>2510.4028420875002</v>
      </c>
      <c r="BK147" s="431">
        <v>2655.8127206220001</v>
      </c>
      <c r="BL147" s="431">
        <v>3004.350426771</v>
      </c>
      <c r="BM147" s="431">
        <v>2929.1203272315001</v>
      </c>
      <c r="BN147" s="431">
        <v>2763.3779893619999</v>
      </c>
      <c r="BO147" s="431">
        <v>2416.7423519895001</v>
      </c>
      <c r="BP147" s="431">
        <v>3008.416918638</v>
      </c>
      <c r="BQ147" s="432">
        <v>3021.0755142885</v>
      </c>
      <c r="BR147" s="173">
        <f>IVA!BF147+IVA!BG147+IVA!BH147</f>
        <v>9065.4565545344994</v>
      </c>
      <c r="BS147" s="173">
        <f>IVA!BI147+IVA!BJ147+IVA!BK147</f>
        <v>6093.9660055920003</v>
      </c>
      <c r="BT147" s="173">
        <f>IVA!BL147+IVA!BM147+IVA!BN147</f>
        <v>8696.8487433645005</v>
      </c>
      <c r="BU147" s="174">
        <f>IVA!BO147+IVA!BP147+IVA!BQ147</f>
        <v>8446.2347849159996</v>
      </c>
      <c r="BV147" s="135">
        <f>IVA!BR147+IVA!BS147+IVA!BT147+IVA!BU147</f>
        <v>32302.506088406997</v>
      </c>
      <c r="BW147" s="136">
        <f>IVA!BR147/IVA!CJ6</f>
        <v>3.341980592248949E-5</v>
      </c>
      <c r="BX147" s="137">
        <f>IVA!BS147/IVA!CK6</f>
        <v>2.0321854180322771E-5</v>
      </c>
      <c r="BY147" s="136">
        <f>IVA!BT147/IVA!CL6</f>
        <v>2.9158127809017497E-5</v>
      </c>
      <c r="BZ147" s="136">
        <f>IVA!BU147/IVA!CM6</f>
        <v>2.7964190371441937E-5</v>
      </c>
      <c r="CA147" s="271">
        <f>IVA!BV147/IVA!CN6</f>
        <v>1.10300587036869E-4</v>
      </c>
      <c r="CI147" s="237"/>
      <c r="CJ147" s="26"/>
      <c r="CK147" s="26"/>
      <c r="CL147" s="26"/>
      <c r="CM147" s="26"/>
      <c r="CN147" s="26"/>
      <c r="CO147" s="26"/>
      <c r="CP147" s="26"/>
      <c r="CQ147" s="27"/>
      <c r="EJ147" s="31">
        <v>2095</v>
      </c>
      <c r="EK147" s="32">
        <v>20432.789000000001</v>
      </c>
      <c r="EL147" s="33">
        <v>18962.853999999999</v>
      </c>
    </row>
    <row r="148" spans="27:142" ht="12.75" customHeight="1">
      <c r="AA148" s="403">
        <v>1999</v>
      </c>
      <c r="AB148" s="403" t="s">
        <v>569</v>
      </c>
      <c r="AC148" s="404"/>
      <c r="AD148" s="405"/>
      <c r="AE148" s="406">
        <f>IVA!AE131*0.21</f>
        <v>32245.079999999998</v>
      </c>
      <c r="AF148" s="407">
        <f>IVA!AF131*0.21</f>
        <v>43790.04</v>
      </c>
      <c r="AG148" s="406">
        <f>IVA!AG131*0.21</f>
        <v>37431.03</v>
      </c>
      <c r="AH148" s="406">
        <f>IVA!AH131*0.21</f>
        <v>35906.01</v>
      </c>
      <c r="AI148" s="406">
        <f>IVA!AI131*0.21</f>
        <v>39748.799999999996</v>
      </c>
      <c r="AJ148" s="406">
        <f>IVA!AJ131*0.21</f>
        <v>35386.47</v>
      </c>
      <c r="AK148" s="406">
        <f>IVA!AK131*0.21</f>
        <v>35662.619999999995</v>
      </c>
      <c r="AL148" s="406">
        <f>IVA!AL131*0.21</f>
        <v>37575.93</v>
      </c>
      <c r="AM148" s="406">
        <f>IVA!AM131*0.21</f>
        <v>37695</v>
      </c>
      <c r="AN148" s="406">
        <f>IVA!AN131*0.21</f>
        <v>36904.559999999998</v>
      </c>
      <c r="AO148" s="406">
        <f>IVA!AO131*0.21</f>
        <v>37355.22</v>
      </c>
      <c r="AP148" s="406">
        <f>IVA!AP131*0.21</f>
        <v>47366.549999999996</v>
      </c>
      <c r="AQ148" s="153">
        <f>IVA!AE148+IVA!AF148+IVA!AG148</f>
        <v>113466.15</v>
      </c>
      <c r="AR148" s="153">
        <f>IVA!AH148+IVA!AI148+IVA!AJ148</f>
        <v>111041.28</v>
      </c>
      <c r="AS148" s="153">
        <f>IVA!AK148+IVA!AL148+IVA!AM148</f>
        <v>110933.54999999999</v>
      </c>
      <c r="AT148" s="153">
        <f>IVA!AN148+IVA!AO148+IVA!AP148</f>
        <v>121626.32999999999</v>
      </c>
      <c r="AU148" s="408">
        <f>IVA!AQ148+IVA!AR148+IVA!AS148+IVA!AT148</f>
        <v>457067.30999999994</v>
      </c>
      <c r="AV148" s="128">
        <f>IVA!AQ148/IVA!CJ8</f>
        <v>4.1908707792543564E-4</v>
      </c>
      <c r="AW148" s="128">
        <f>IVA!AR148/IVA!CK8</f>
        <v>3.8445222236494847E-4</v>
      </c>
      <c r="AX148" s="128">
        <f>IVA!AS148/IVA!CL8</f>
        <v>3.8912171258747902E-4</v>
      </c>
      <c r="AY148" s="128">
        <f>IVA!AT148/IVA!CM8</f>
        <v>4.202288017745707E-4</v>
      </c>
      <c r="AZ148" s="269">
        <f>IVA!AU148/IVA!CN8</f>
        <v>1.6120994463968252E-3</v>
      </c>
      <c r="BA148" s="264">
        <v>1998</v>
      </c>
      <c r="BB148" s="429" t="s">
        <v>571</v>
      </c>
      <c r="BC148" s="430"/>
      <c r="BD148" s="430"/>
      <c r="BE148" s="430"/>
      <c r="BF148" s="431">
        <v>3168.7809930704998</v>
      </c>
      <c r="BG148" s="431">
        <v>2565.562836606</v>
      </c>
      <c r="BH148" s="431">
        <v>2110.9683990224999</v>
      </c>
      <c r="BI148" s="431">
        <v>1958.999662638</v>
      </c>
      <c r="BJ148" s="431">
        <v>2550.1495206585</v>
      </c>
      <c r="BK148" s="431">
        <v>2071.2217204515</v>
      </c>
      <c r="BL148" s="431">
        <v>2369.7153412050002</v>
      </c>
      <c r="BM148" s="431">
        <v>2553.6913038974999</v>
      </c>
      <c r="BN148" s="431">
        <v>2844.9045924375</v>
      </c>
      <c r="BO148" s="431">
        <v>2506.4675273775001</v>
      </c>
      <c r="BP148" s="431">
        <v>2517.2240542515001</v>
      </c>
      <c r="BQ148" s="432">
        <v>2157.9954098070002</v>
      </c>
      <c r="BR148" s="173">
        <f>IVA!BF148+IVA!BG148+IVA!BH148</f>
        <v>7845.3122286990001</v>
      </c>
      <c r="BS148" s="173">
        <f>IVA!BI148+IVA!BJ148+IVA!BK148</f>
        <v>6580.3709037480003</v>
      </c>
      <c r="BT148" s="173">
        <f>IVA!BL148+IVA!BM148+IVA!BN148</f>
        <v>7768.3112375399996</v>
      </c>
      <c r="BU148" s="174">
        <f>IVA!BO148+IVA!BP148+IVA!BQ148</f>
        <v>7181.6869914360004</v>
      </c>
      <c r="BV148" s="135">
        <f>IVA!BR148+IVA!BS148+IVA!BT148+IVA!BU148</f>
        <v>29375.681361422998</v>
      </c>
      <c r="BW148" s="136">
        <f>IVA!BR148/IVA!CJ7</f>
        <v>2.7745088585177038E-5</v>
      </c>
      <c r="BX148" s="137">
        <f>IVA!BS148/IVA!CK7</f>
        <v>2.1082208198938117E-5</v>
      </c>
      <c r="BY148" s="136">
        <f>IVA!BT148/IVA!CL7</f>
        <v>2.543028768087148E-5</v>
      </c>
      <c r="BZ148" s="136">
        <f>IVA!BU148/IVA!CM7</f>
        <v>2.4309652703413535E-5</v>
      </c>
      <c r="CA148" s="271">
        <f>IVA!BV148/IVA!CN7</f>
        <v>9.8263397409142599E-5</v>
      </c>
      <c r="CI148" s="233"/>
      <c r="CJ148" s="76"/>
      <c r="CK148" s="77"/>
      <c r="CL148" s="77"/>
      <c r="CM148" s="77"/>
      <c r="CN148" s="77"/>
      <c r="CO148" s="77"/>
      <c r="CP148" s="77"/>
      <c r="CQ148" s="77"/>
      <c r="EJ148" s="31">
        <v>2096</v>
      </c>
      <c r="EK148" s="32">
        <v>20472.237000000001</v>
      </c>
      <c r="EL148" s="33">
        <v>19006.811000000002</v>
      </c>
    </row>
    <row r="149" spans="27:142" ht="12.75" customHeight="1">
      <c r="AA149" s="403">
        <v>2000</v>
      </c>
      <c r="AB149" s="403" t="s">
        <v>569</v>
      </c>
      <c r="AC149" s="404"/>
      <c r="AD149" s="405"/>
      <c r="AE149" s="406">
        <f>IVA!AE132*0.21</f>
        <v>33828.102115499998</v>
      </c>
      <c r="AF149" s="407">
        <f>IVA!AF132*0.21</f>
        <v>41772.614988300003</v>
      </c>
      <c r="AG149" s="406">
        <f>IVA!AG132*0.21</f>
        <v>38050.788316799997</v>
      </c>
      <c r="AH149" s="406">
        <f>IVA!AH132*0.21</f>
        <v>41792.417700599995</v>
      </c>
      <c r="AI149" s="406">
        <f>IVA!AI132*0.21</f>
        <v>34076.467046999998</v>
      </c>
      <c r="AJ149" s="406">
        <f>IVA!AJ132*0.21</f>
        <v>37392.280390499996</v>
      </c>
      <c r="AK149" s="406">
        <f>IVA!AK132*0.21</f>
        <v>35942.117105999998</v>
      </c>
      <c r="AL149" s="406">
        <f>IVA!AL132*0.21</f>
        <v>36168.928740000003</v>
      </c>
      <c r="AM149" s="406">
        <f>IVA!AM132*0.21</f>
        <v>41728.084649999997</v>
      </c>
      <c r="AN149" s="406">
        <f>IVA!AN132*0.21</f>
        <v>36157.336445999994</v>
      </c>
      <c r="AO149" s="406">
        <f>IVA!AO132*0.21</f>
        <v>33997.335252299999</v>
      </c>
      <c r="AP149" s="406">
        <f>IVA!AP132*0.21</f>
        <v>41352.667576500004</v>
      </c>
      <c r="AQ149" s="153">
        <f>IVA!AE149+IVA!AF149+IVA!AG149</f>
        <v>113651.50542060001</v>
      </c>
      <c r="AR149" s="153">
        <f>IVA!AH149+IVA!AI149+IVA!AJ149</f>
        <v>113261.16513809998</v>
      </c>
      <c r="AS149" s="153">
        <f>IVA!AK149+IVA!AL149+IVA!AM149</f>
        <v>113839.130496</v>
      </c>
      <c r="AT149" s="153">
        <f>IVA!AN149+IVA!AO149+IVA!AP149</f>
        <v>111507.3392748</v>
      </c>
      <c r="AU149" s="408">
        <f>IVA!AQ149+IVA!AR149+IVA!AS149+IVA!AT149</f>
        <v>452259.14032949996</v>
      </c>
      <c r="AV149" s="128">
        <f>IVA!AQ149/IVA!CJ9</f>
        <v>4.202404395017083E-4</v>
      </c>
      <c r="AW149" s="128">
        <f>IVA!AR149/IVA!CK9</f>
        <v>3.8815187121162931E-4</v>
      </c>
      <c r="AX149" s="128">
        <f>IVA!AS149/IVA!CL9</f>
        <v>3.9596819467643672E-4</v>
      </c>
      <c r="AY149" s="128">
        <f>IVA!AT149/IVA!CM9</f>
        <v>3.8842038071588948E-4</v>
      </c>
      <c r="AZ149" s="269">
        <f>IVA!AU149/IVA!CN9</f>
        <v>1.591320161445292E-3</v>
      </c>
      <c r="BA149" s="264">
        <v>1999</v>
      </c>
      <c r="BB149" s="429" t="s">
        <v>571</v>
      </c>
      <c r="BC149" s="430"/>
      <c r="BD149" s="430"/>
      <c r="BE149" s="430"/>
      <c r="BF149" s="431">
        <v>2447.3722181490002</v>
      </c>
      <c r="BG149" s="431">
        <v>2240.637018717</v>
      </c>
      <c r="BH149" s="431">
        <v>2110.4436903945002</v>
      </c>
      <c r="BI149" s="431">
        <v>1832.151351819</v>
      </c>
      <c r="BJ149" s="431">
        <v>2627.8063976025001</v>
      </c>
      <c r="BK149" s="431">
        <v>2027.2773728565001</v>
      </c>
      <c r="BL149" s="431">
        <v>2425.8591644009998</v>
      </c>
      <c r="BM149" s="431">
        <v>2347.3496359364999</v>
      </c>
      <c r="BN149" s="431">
        <v>2640.59617041</v>
      </c>
      <c r="BO149" s="431">
        <v>2219.911027911</v>
      </c>
      <c r="BP149" s="431">
        <v>2440.2230630925001</v>
      </c>
      <c r="BQ149" s="432">
        <v>2144.8121055285001</v>
      </c>
      <c r="BR149" s="173">
        <f>IVA!BF149+IVA!BG149+IVA!BH149</f>
        <v>6798.4529272605014</v>
      </c>
      <c r="BS149" s="173">
        <f>IVA!BI149+IVA!BJ149+IVA!BK149</f>
        <v>6487.2351222779998</v>
      </c>
      <c r="BT149" s="173">
        <f>IVA!BL149+IVA!BM149+IVA!BN149</f>
        <v>7413.8049707474993</v>
      </c>
      <c r="BU149" s="174">
        <f>IVA!BO149+IVA!BP149+IVA!BQ149</f>
        <v>6804.9461965319997</v>
      </c>
      <c r="BV149" s="135">
        <f>IVA!BR149+IVA!BS149+IVA!BT149+IVA!BU149</f>
        <v>27504.439216818002</v>
      </c>
      <c r="BW149" s="136">
        <f>IVA!BR149/IVA!CJ8</f>
        <v>2.5110077073199611E-5</v>
      </c>
      <c r="BX149" s="137">
        <f>IVA!BS149/IVA!CK8</f>
        <v>2.2460403552298076E-5</v>
      </c>
      <c r="BY149" s="136">
        <f>IVA!BT149/IVA!CL8</f>
        <v>2.6005410329037806E-5</v>
      </c>
      <c r="BZ149" s="136">
        <f>IVA!BU149/IVA!CM8</f>
        <v>2.3511639184616232E-5</v>
      </c>
      <c r="CA149" s="271">
        <f>IVA!BV149/IVA!CN8</f>
        <v>9.7009543812895816E-5</v>
      </c>
      <c r="CI149" s="233"/>
      <c r="CJ149" s="91" t="s">
        <v>558</v>
      </c>
      <c r="CK149" s="92" t="s">
        <v>559</v>
      </c>
      <c r="CL149" s="92" t="s">
        <v>560</v>
      </c>
      <c r="CM149" s="92" t="s">
        <v>561</v>
      </c>
      <c r="CN149" s="92" t="s">
        <v>562</v>
      </c>
      <c r="CO149" s="92" t="s">
        <v>572</v>
      </c>
      <c r="CP149" s="92" t="s">
        <v>573</v>
      </c>
      <c r="CQ149" s="92" t="s">
        <v>574</v>
      </c>
      <c r="EJ149" s="31">
        <v>2097</v>
      </c>
      <c r="EK149" s="32">
        <v>20514.716</v>
      </c>
      <c r="EL149" s="33">
        <v>19053.580000000002</v>
      </c>
    </row>
    <row r="150" spans="27:142" ht="12.75" customHeight="1">
      <c r="AA150" s="403">
        <v>2001</v>
      </c>
      <c r="AB150" s="403" t="s">
        <v>569</v>
      </c>
      <c r="AC150" s="404"/>
      <c r="AD150" s="405"/>
      <c r="AE150" s="406">
        <f>IVA!AE133*0.21</f>
        <v>28423.240899899996</v>
      </c>
      <c r="AF150" s="407">
        <f>IVA!AF133*0.21</f>
        <v>37777.946465699999</v>
      </c>
      <c r="AG150" s="406">
        <f>IVA!AG133*0.21</f>
        <v>36071.479630199996</v>
      </c>
      <c r="AH150" s="406">
        <f>IVA!AH133*0.21</f>
        <v>34139.518986299998</v>
      </c>
      <c r="AI150" s="406">
        <f>IVA!AI133*0.21</f>
        <v>34005.561670499999</v>
      </c>
      <c r="AJ150" s="406">
        <f>IVA!AJ133*0.21</f>
        <v>27813.946887300001</v>
      </c>
      <c r="AK150" s="406">
        <f>IVA!AK133*0.21</f>
        <v>29025.869804400001</v>
      </c>
      <c r="AL150" s="406">
        <f>IVA!AL133*0.21</f>
        <v>31749.312340200002</v>
      </c>
      <c r="AM150" s="406">
        <f>IVA!AM133*0.21</f>
        <v>32565.298441199997</v>
      </c>
      <c r="AN150" s="406">
        <f>IVA!AN133*0.21</f>
        <v>30404.43231</v>
      </c>
      <c r="AO150" s="406">
        <f>IVA!AO133*0.21</f>
        <v>32240.961729899995</v>
      </c>
      <c r="AP150" s="406">
        <f>IVA!AP133*0.21</f>
        <v>28157.1755997</v>
      </c>
      <c r="AQ150" s="153">
        <f>IVA!AE150+IVA!AF150+IVA!AG150</f>
        <v>102272.66699579998</v>
      </c>
      <c r="AR150" s="153">
        <f>IVA!AH150+IVA!AI150+IVA!AJ150</f>
        <v>95959.027544099998</v>
      </c>
      <c r="AS150" s="153">
        <f>IVA!AK150+IVA!AL150+IVA!AM150</f>
        <v>93340.480585800004</v>
      </c>
      <c r="AT150" s="153">
        <f>IVA!AN150+IVA!AO150+IVA!AP150</f>
        <v>90802.569639599998</v>
      </c>
      <c r="AU150" s="408">
        <f>IVA!AQ150+IVA!AR150+IVA!AS150+IVA!AT150</f>
        <v>382374.74476530001</v>
      </c>
      <c r="AV150" s="128">
        <f>IVA!AQ150/IVA!CJ10</f>
        <v>3.883806577873474E-4</v>
      </c>
      <c r="AW150" s="128">
        <f>IVA!AR150/IVA!CK10</f>
        <v>3.331609038089264E-4</v>
      </c>
      <c r="AX150" s="128">
        <f>IVA!AS150/IVA!CL10</f>
        <v>3.4396371877211152E-4</v>
      </c>
      <c r="AY150" s="128">
        <f>IVA!AT150/IVA!CM10</f>
        <v>3.6023767747379263E-4</v>
      </c>
      <c r="AZ150" s="269">
        <f>IVA!AU150/IVA!CN10</f>
        <v>1.4230719327534243E-3</v>
      </c>
      <c r="BA150" s="264">
        <v>2000</v>
      </c>
      <c r="BB150" s="429" t="s">
        <v>571</v>
      </c>
      <c r="BC150" s="430"/>
      <c r="BD150" s="430"/>
      <c r="BE150" s="430"/>
      <c r="BF150" s="431">
        <v>2605.0548334149098</v>
      </c>
      <c r="BG150" s="431">
        <v>2249.8531709336098</v>
      </c>
      <c r="BH150" s="431">
        <v>2900.1535099830699</v>
      </c>
      <c r="BI150" s="431">
        <v>2774.1711992720702</v>
      </c>
      <c r="BJ150" s="431">
        <v>1991.3457785722501</v>
      </c>
      <c r="BK150" s="431">
        <v>2455.89586254192</v>
      </c>
      <c r="BL150" s="431">
        <v>2262.8552415078798</v>
      </c>
      <c r="BM150" s="431">
        <v>2706.8546444153699</v>
      </c>
      <c r="BN150" s="431">
        <v>2385.2510192045502</v>
      </c>
      <c r="BO150" s="431">
        <v>2842.16122552344</v>
      </c>
      <c r="BP150" s="431">
        <v>2252.0982909316699</v>
      </c>
      <c r="BQ150" s="432">
        <v>2478.7912277202099</v>
      </c>
      <c r="BR150" s="173">
        <f>IVA!BF150+IVA!BG150+IVA!BH150</f>
        <v>7755.061514331589</v>
      </c>
      <c r="BS150" s="173">
        <f>IVA!BI150+IVA!BJ150+IVA!BK150</f>
        <v>7221.4128403862405</v>
      </c>
      <c r="BT150" s="173">
        <f>IVA!BL150+IVA!BM150+IVA!BN150</f>
        <v>7354.9609051278003</v>
      </c>
      <c r="BU150" s="174">
        <f>IVA!BO150+IVA!BP150+IVA!BQ150</f>
        <v>7573.0507441753198</v>
      </c>
      <c r="BV150" s="135">
        <f>IVA!BR150+IVA!BS150+IVA!BT150+IVA!BU150</f>
        <v>29904.486004020953</v>
      </c>
      <c r="BW150" s="136">
        <f>IVA!BR150/IVA!CJ9</f>
        <v>2.867529512332161E-5</v>
      </c>
      <c r="BX150" s="137">
        <f>IVA!BS150/IVA!CK9</f>
        <v>2.4748155321993078E-5</v>
      </c>
      <c r="BY150" s="136">
        <f>IVA!BT150/IVA!CL9</f>
        <v>2.5582860470122418E-5</v>
      </c>
      <c r="BZ150" s="136">
        <f>IVA!BU150/IVA!CM9</f>
        <v>2.6379673951184444E-5</v>
      </c>
      <c r="CA150" s="271">
        <f>IVA!BV150/IVA!CN9</f>
        <v>1.0522200051321563E-4</v>
      </c>
      <c r="CI150" s="233"/>
      <c r="CJ150" s="279"/>
      <c r="CK150" s="279"/>
      <c r="CL150" s="279"/>
      <c r="CM150" s="279"/>
      <c r="CN150" s="279"/>
      <c r="CO150" s="372"/>
      <c r="CP150" s="372"/>
      <c r="CQ150" s="372"/>
      <c r="EJ150" s="31">
        <v>2098</v>
      </c>
      <c r="EK150" s="32">
        <v>20560.705999999998</v>
      </c>
      <c r="EL150" s="33">
        <v>19103.785</v>
      </c>
    </row>
    <row r="151" spans="27:142" ht="12.75" customHeight="1">
      <c r="AA151" s="403">
        <v>2002</v>
      </c>
      <c r="AB151" s="403" t="s">
        <v>569</v>
      </c>
      <c r="AC151" s="404"/>
      <c r="AD151" s="405"/>
      <c r="AE151" s="406">
        <f>IVA!AE134*0.21</f>
        <v>27629.441981399999</v>
      </c>
      <c r="AF151" s="407">
        <f>IVA!AF134*0.21</f>
        <v>29922.570482700001</v>
      </c>
      <c r="AG151" s="406">
        <f>IVA!AG134*0.21</f>
        <v>25847.506740299999</v>
      </c>
      <c r="AH151" s="406">
        <f>IVA!AH134*0.21</f>
        <v>22591.601449199999</v>
      </c>
      <c r="AI151" s="406">
        <f>IVA!AI134*0.21</f>
        <v>31226.796917399999</v>
      </c>
      <c r="AJ151" s="406">
        <f>IVA!AJ134*0.21</f>
        <v>27305.139002399999</v>
      </c>
      <c r="AK151" s="406">
        <f>IVA!AK134*0.21</f>
        <v>31042.609686899999</v>
      </c>
      <c r="AL151" s="406">
        <f>IVA!AL134*0.21</f>
        <v>37610.414948399994</v>
      </c>
      <c r="AM151" s="406">
        <f>IVA!AM134*0.21</f>
        <v>30007.648633199999</v>
      </c>
      <c r="AN151" s="406">
        <f>IVA!AN134*0.21</f>
        <v>32235.613412099996</v>
      </c>
      <c r="AO151" s="406">
        <f>IVA!AO134*0.21</f>
        <v>24882.0738117</v>
      </c>
      <c r="AP151" s="406">
        <f>IVA!AP134*0.21</f>
        <v>32178.963224099996</v>
      </c>
      <c r="AQ151" s="153">
        <f>IVA!AE151+IVA!AF151+IVA!AG151</f>
        <v>83399.5192044</v>
      </c>
      <c r="AR151" s="153">
        <f>IVA!AH151+IVA!AI151+IVA!AJ151</f>
        <v>81123.537368999998</v>
      </c>
      <c r="AS151" s="153">
        <f>IVA!AK151+IVA!AL151+IVA!AM151</f>
        <v>98660.673268499988</v>
      </c>
      <c r="AT151" s="153">
        <f>IVA!AN151+IVA!AO151+IVA!AP151</f>
        <v>89296.650447899985</v>
      </c>
      <c r="AU151" s="408">
        <f>IVA!AQ151+IVA!AR151+IVA!AS151+IVA!AT151</f>
        <v>352480.38028979994</v>
      </c>
      <c r="AV151" s="128">
        <f>IVA!AQ151/IVA!CJ11</f>
        <v>3.518120924688999E-4</v>
      </c>
      <c r="AW151" s="128">
        <f>IVA!AR151/IVA!CK11</f>
        <v>2.3929668063216942E-4</v>
      </c>
      <c r="AX151" s="128">
        <f>IVA!AS151/IVA!CL11</f>
        <v>2.9538572684022939E-4</v>
      </c>
      <c r="AY151" s="128">
        <f>IVA!AT151/IVA!CM11</f>
        <v>2.6244467853691564E-4</v>
      </c>
      <c r="AZ151" s="269">
        <f>IVA!AU151/IVA!CN11</f>
        <v>1.1276480199179152E-3</v>
      </c>
      <c r="BA151" s="264">
        <v>2001</v>
      </c>
      <c r="BB151" s="429" t="s">
        <v>571</v>
      </c>
      <c r="BC151" s="430"/>
      <c r="BD151" s="430"/>
      <c r="BE151" s="430"/>
      <c r="BF151" s="431">
        <v>2636.2362319633598</v>
      </c>
      <c r="BG151" s="431">
        <v>2263.3040720211902</v>
      </c>
      <c r="BH151" s="431">
        <v>2363.1499920533902</v>
      </c>
      <c r="BI151" s="431">
        <v>2042.3250200170301</v>
      </c>
      <c r="BJ151" s="431">
        <v>2097.5419165627</v>
      </c>
      <c r="BK151" s="431">
        <v>2283.4582543850802</v>
      </c>
      <c r="BL151" s="431">
        <v>2006.2793337446001</v>
      </c>
      <c r="BM151" s="431">
        <v>1982.06557976462</v>
      </c>
      <c r="BN151" s="431">
        <v>1926.8872657002601</v>
      </c>
      <c r="BO151" s="431">
        <v>1537.52220551952</v>
      </c>
      <c r="BP151" s="431">
        <v>2359.2701862691401</v>
      </c>
      <c r="BQ151" s="432">
        <v>954.60369442419596</v>
      </c>
      <c r="BR151" s="173">
        <f>IVA!BF151+IVA!BG151+IVA!BH151</f>
        <v>7262.6902960379393</v>
      </c>
      <c r="BS151" s="173">
        <f>IVA!BI151+IVA!BJ151+IVA!BK151</f>
        <v>6423.3251909648106</v>
      </c>
      <c r="BT151" s="173">
        <f>IVA!BL151+IVA!BM151+IVA!BN151</f>
        <v>5915.2321792094799</v>
      </c>
      <c r="BU151" s="174">
        <f>IVA!BO151+IVA!BP151+IVA!BQ151</f>
        <v>4851.3960862128561</v>
      </c>
      <c r="BV151" s="135">
        <f>IVA!BR151+IVA!BS151+IVA!BT151+IVA!BU151</f>
        <v>24452.643752425087</v>
      </c>
      <c r="BW151" s="136">
        <f>IVA!BR151/IVA!CJ10</f>
        <v>2.7580080947696774E-5</v>
      </c>
      <c r="BX151" s="137">
        <f>IVA!BS151/IVA!CK10</f>
        <v>2.2301193341053801E-5</v>
      </c>
      <c r="BY151" s="136">
        <f>IVA!BT151/IVA!CL10</f>
        <v>2.1797887100989317E-5</v>
      </c>
      <c r="BZ151" s="136">
        <f>IVA!BU151/IVA!CM10</f>
        <v>1.9246764332103162E-5</v>
      </c>
      <c r="CA151" s="271">
        <f>IVA!BV151/IVA!CN10</f>
        <v>9.1004626958439156E-5</v>
      </c>
      <c r="CI151" s="53">
        <v>1997</v>
      </c>
      <c r="CJ151" s="373">
        <f>IVA!CJ127+IVA!CJ103</f>
        <v>6196261.7280871803</v>
      </c>
      <c r="CK151" s="373">
        <f>IVA!CK127+IVA!CK103</f>
        <v>5872379.6156769255</v>
      </c>
      <c r="CL151" s="373">
        <f>IVA!CL127+IVA!CL103</f>
        <v>6456497.2579543078</v>
      </c>
      <c r="CM151" s="373">
        <f>IVA!CM127+IVA!CM103</f>
        <v>6359149.5387478378</v>
      </c>
      <c r="CN151" s="374">
        <f>IVA!CN127+IVA!CN103</f>
        <v>22245665.551490422</v>
      </c>
      <c r="CO151" s="375"/>
      <c r="CP151" s="376"/>
      <c r="CQ151" s="376"/>
      <c r="EJ151" s="31">
        <v>2099</v>
      </c>
      <c r="EK151" s="32">
        <v>20609.864000000001</v>
      </c>
      <c r="EL151" s="33">
        <v>19157.194</v>
      </c>
    </row>
    <row r="152" spans="27:142" ht="12.75" customHeight="1">
      <c r="AA152" s="403">
        <v>2003</v>
      </c>
      <c r="AB152" s="403" t="s">
        <v>569</v>
      </c>
      <c r="AC152" s="404"/>
      <c r="AD152" s="405"/>
      <c r="AE152" s="406">
        <f>IVA!AE135*0.21</f>
        <v>25886.010063900001</v>
      </c>
      <c r="AF152" s="407">
        <f>IVA!AF135*0.21</f>
        <v>33830.286239400004</v>
      </c>
      <c r="AG152" s="406">
        <f>IVA!AG135*0.21</f>
        <v>32698.784372099995</v>
      </c>
      <c r="AH152" s="406">
        <f>IVA!AH135*0.21</f>
        <v>26630.550036299999</v>
      </c>
      <c r="AI152" s="406">
        <f>IVA!AI135*0.21</f>
        <v>24033.2840622</v>
      </c>
      <c r="AJ152" s="406">
        <f>IVA!AJ135*0.21</f>
        <v>30977.759355899994</v>
      </c>
      <c r="AK152" s="406">
        <f>IVA!AK135*0.21</f>
        <v>24889.967770499999</v>
      </c>
      <c r="AL152" s="406">
        <f>IVA!AL135*0.21</f>
        <v>34891.3307442</v>
      </c>
      <c r="AM152" s="406">
        <f>IVA!AM135*0.21</f>
        <v>22612.901705099997</v>
      </c>
      <c r="AN152" s="406">
        <f>IVA!AN135*0.21</f>
        <v>27949.237232699998</v>
      </c>
      <c r="AO152" s="406">
        <f>IVA!AO135*0.21</f>
        <v>25646.323327800001</v>
      </c>
      <c r="AP152" s="406">
        <f>IVA!AP135*0.21</f>
        <v>27866.224992900003</v>
      </c>
      <c r="AQ152" s="153">
        <f>IVA!AE152+IVA!AF152+IVA!AG152</f>
        <v>92415.080675400008</v>
      </c>
      <c r="AR152" s="153">
        <f>IVA!AH152+IVA!AI152+IVA!AJ152</f>
        <v>81641.59345439999</v>
      </c>
      <c r="AS152" s="153">
        <f>IVA!AK152+IVA!AL152+IVA!AM152</f>
        <v>82394.200219799997</v>
      </c>
      <c r="AT152" s="153">
        <f>IVA!AN152+IVA!AO152+IVA!AP152</f>
        <v>81461.785553399997</v>
      </c>
      <c r="AU152" s="408">
        <f>IVA!AQ152+IVA!AR152+IVA!AS152+IVA!AT152</f>
        <v>337912.65990299999</v>
      </c>
      <c r="AV152" s="128">
        <f>IVA!AQ152/IVA!CJ12</f>
        <v>2.8230240735149472E-4</v>
      </c>
      <c r="AW152" s="128">
        <f>IVA!AR152/IVA!CK12</f>
        <v>2.0455459865850528E-4</v>
      </c>
      <c r="AX152" s="128">
        <f>IVA!AS152/IVA!CL12</f>
        <v>2.1803911559255111E-4</v>
      </c>
      <c r="AY152" s="128">
        <f>IVA!AT152/IVA!CM12</f>
        <v>2.0402701771880357E-4</v>
      </c>
      <c r="AZ152" s="269">
        <f>IVA!AU152/IVA!CN12</f>
        <v>8.9892057661858555E-4</v>
      </c>
      <c r="BA152" s="264">
        <v>2002</v>
      </c>
      <c r="BB152" s="429" t="s">
        <v>571</v>
      </c>
      <c r="BC152" s="430"/>
      <c r="BD152" s="430"/>
      <c r="BE152" s="430"/>
      <c r="BF152" s="431">
        <v>2640.9812796516399</v>
      </c>
      <c r="BG152" s="431">
        <v>1994.6629701213201</v>
      </c>
      <c r="BH152" s="431">
        <v>1813.1935444800899</v>
      </c>
      <c r="BI152" s="431">
        <v>1611.6729295639</v>
      </c>
      <c r="BJ152" s="431">
        <v>3243.14240402617</v>
      </c>
      <c r="BK152" s="431">
        <v>2022.7964162677899</v>
      </c>
      <c r="BL152" s="431">
        <v>2196.6277817177502</v>
      </c>
      <c r="BM152" s="431">
        <v>2196.6179644193198</v>
      </c>
      <c r="BN152" s="431">
        <v>1958.7336648784601</v>
      </c>
      <c r="BO152" s="431">
        <v>1715.6616406564699</v>
      </c>
      <c r="BP152" s="431">
        <v>1793.8329714542199</v>
      </c>
      <c r="BQ152" s="432">
        <v>1866.5501698826799</v>
      </c>
      <c r="BR152" s="173">
        <f>IVA!BF152+IVA!BG152+IVA!BH152</f>
        <v>6448.8377942530506</v>
      </c>
      <c r="BS152" s="173">
        <f>IVA!BI152+IVA!BJ152+IVA!BK152</f>
        <v>6877.6117498578596</v>
      </c>
      <c r="BT152" s="173">
        <f>IVA!BL152+IVA!BM152+IVA!BN152</f>
        <v>6351.9794110155308</v>
      </c>
      <c r="BU152" s="174">
        <f>IVA!BO152+IVA!BP152+IVA!BQ152</f>
        <v>5376.0447819933697</v>
      </c>
      <c r="BV152" s="135">
        <f>IVA!BR152+IVA!BS152+IVA!BT152+IVA!BU152</f>
        <v>25054.47373711981</v>
      </c>
      <c r="BW152" s="136">
        <f>IVA!BR152/IVA!CJ11</f>
        <v>2.7203743379242335E-5</v>
      </c>
      <c r="BX152" s="137">
        <f>IVA!BS152/IVA!CK11</f>
        <v>2.0287449435688726E-5</v>
      </c>
      <c r="BY152" s="136">
        <f>IVA!BT152/IVA!CL11</f>
        <v>1.90175476513401E-5</v>
      </c>
      <c r="BZ152" s="136">
        <f>IVA!BU152/IVA!CM11</f>
        <v>1.5800305358973223E-5</v>
      </c>
      <c r="CA152" s="271">
        <f>IVA!BV152/IVA!CN11</f>
        <v>8.0153759697263176E-5</v>
      </c>
      <c r="CI152" s="53">
        <v>1998</v>
      </c>
      <c r="CJ152" s="376">
        <f>IVA!CJ128+IVA!CJ104</f>
        <v>6348841.4196293056</v>
      </c>
      <c r="CK152" s="376">
        <f>IVA!CK128+IVA!CK104</f>
        <v>6289435.8819537405</v>
      </c>
      <c r="CL152" s="376">
        <f>IVA!CL128+IVA!CL104</f>
        <v>6683919.9833183475</v>
      </c>
      <c r="CM152" s="376">
        <f>IVA!CM128+IVA!CM104</f>
        <v>6371952.1251785634</v>
      </c>
      <c r="CN152" s="377">
        <f>IVA!CN128+IVA!CN104</f>
        <v>22907881.497825351</v>
      </c>
      <c r="CO152" s="375"/>
      <c r="CP152" s="376"/>
      <c r="CQ152" s="376"/>
      <c r="EJ152" s="31">
        <v>2100</v>
      </c>
      <c r="EK152" s="32">
        <v>20660.789000000001</v>
      </c>
      <c r="EL152" s="33">
        <v>19212.477999999999</v>
      </c>
    </row>
    <row r="153" spans="27:142" ht="12.75" customHeight="1">
      <c r="AA153" s="403">
        <v>2004</v>
      </c>
      <c r="AB153" s="403" t="s">
        <v>569</v>
      </c>
      <c r="AC153" s="404"/>
      <c r="AD153" s="405"/>
      <c r="AE153" s="406">
        <f>IVA!AE136*0.21</f>
        <v>21237.9546687</v>
      </c>
      <c r="AF153" s="407">
        <f>IVA!AF136*0.21</f>
        <v>32585.015219399997</v>
      </c>
      <c r="AG153" s="406">
        <f>IVA!AG136*0.21</f>
        <v>36941.108418899996</v>
      </c>
      <c r="AH153" s="406">
        <f>IVA!AH136*0.21</f>
        <v>26912.098008599998</v>
      </c>
      <c r="AI153" s="406">
        <f>IVA!AI136*0.21</f>
        <v>28746.476467800003</v>
      </c>
      <c r="AJ153" s="406">
        <f>IVA!AJ136*0.21</f>
        <v>26747.448934499997</v>
      </c>
      <c r="AK153" s="406">
        <f>IVA!AK136*0.21</f>
        <v>25430.608601999997</v>
      </c>
      <c r="AL153" s="406">
        <f>IVA!AL136*0.21</f>
        <v>28009.523994900002</v>
      </c>
      <c r="AM153" s="406">
        <f>IVA!AM136*0.21</f>
        <v>34763.286455100002</v>
      </c>
      <c r="AN153" s="406">
        <f>IVA!AN136*0.21</f>
        <v>25717.874204399999</v>
      </c>
      <c r="AO153" s="406">
        <f>IVA!AO136*0.21</f>
        <v>31808.832230699998</v>
      </c>
      <c r="AP153" s="406">
        <f>IVA!AP136*0.21</f>
        <v>28158.116618099997</v>
      </c>
      <c r="AQ153" s="153">
        <f>IVA!AE153+IVA!AF153+IVA!AG153</f>
        <v>90764.078306999989</v>
      </c>
      <c r="AR153" s="153">
        <f>IVA!AH153+IVA!AI153+IVA!AJ153</f>
        <v>82406.023410900001</v>
      </c>
      <c r="AS153" s="153">
        <f>IVA!AK153+IVA!AL153+IVA!AM153</f>
        <v>88203.419052000012</v>
      </c>
      <c r="AT153" s="153">
        <f>IVA!AN153+IVA!AO153+IVA!AP153</f>
        <v>85684.823053200002</v>
      </c>
      <c r="AU153" s="408">
        <f>IVA!AQ153+IVA!AR153+IVA!AS153+IVA!AT153</f>
        <v>347058.34382309997</v>
      </c>
      <c r="AV153" s="128">
        <f>IVA!AQ153/IVA!CJ13</f>
        <v>2.3105944576482177E-4</v>
      </c>
      <c r="AW153" s="128">
        <f>IVA!AR153/IVA!CK13</f>
        <v>1.7377425228321905E-4</v>
      </c>
      <c r="AX153" s="128">
        <f>IVA!AS153/IVA!CL13</f>
        <v>1.9510592071899017E-4</v>
      </c>
      <c r="AY153" s="128">
        <f>IVA!AT153/IVA!CM13</f>
        <v>1.8174220876758718E-4</v>
      </c>
      <c r="AZ153" s="269">
        <f>IVA!AU153/IVA!CN13</f>
        <v>7.7530088446061752E-4</v>
      </c>
      <c r="BA153" s="264">
        <v>2003</v>
      </c>
      <c r="BB153" s="429" t="s">
        <v>571</v>
      </c>
      <c r="BC153" s="430"/>
      <c r="BD153" s="430"/>
      <c r="BE153" s="430"/>
      <c r="BF153" s="431">
        <v>2210.6278212111602</v>
      </c>
      <c r="BG153" s="431">
        <v>1801.6269245465301</v>
      </c>
      <c r="BH153" s="431">
        <v>1747.43121265325</v>
      </c>
      <c r="BI153" s="431">
        <v>2202.1570051387898</v>
      </c>
      <c r="BJ153" s="431">
        <v>2049.8244928537001</v>
      </c>
      <c r="BK153" s="431">
        <v>1837.77676285807</v>
      </c>
      <c r="BL153" s="431">
        <v>2173.05974860487</v>
      </c>
      <c r="BM153" s="431">
        <v>1814.44549073999</v>
      </c>
      <c r="BN153" s="431">
        <v>2193.6348259947199</v>
      </c>
      <c r="BO153" s="431">
        <v>2007.6590137611199</v>
      </c>
      <c r="BP153" s="431">
        <v>2156.2098899668399</v>
      </c>
      <c r="BQ153" s="432">
        <v>2454.64241495946</v>
      </c>
      <c r="BR153" s="173">
        <f>IVA!BF153+IVA!BG153+IVA!BH153</f>
        <v>5759.6859584109407</v>
      </c>
      <c r="BS153" s="173">
        <f>IVA!BI153+IVA!BJ153+IVA!BK153</f>
        <v>6089.75826085056</v>
      </c>
      <c r="BT153" s="173">
        <f>IVA!BL153+IVA!BM153+IVA!BN153</f>
        <v>6181.1400653395795</v>
      </c>
      <c r="BU153" s="174">
        <f>IVA!BO153+IVA!BP153+IVA!BQ153</f>
        <v>6618.5113186874205</v>
      </c>
      <c r="BV153" s="135">
        <f>IVA!BR153+IVA!BS153+IVA!BT153+IVA!BU153</f>
        <v>24649.095603288501</v>
      </c>
      <c r="BW153" s="136">
        <f>IVA!BR153/IVA!CJ12</f>
        <v>1.759424111048607E-5</v>
      </c>
      <c r="BX153" s="137">
        <f>IVA!BS153/IVA!CK12</f>
        <v>1.525800764375537E-5</v>
      </c>
      <c r="BY153" s="136">
        <f>IVA!BT153/IVA!CL12</f>
        <v>1.6357101708676515E-5</v>
      </c>
      <c r="BZ153" s="136">
        <f>IVA!BU153/IVA!CM12</f>
        <v>1.6576547112446397E-5</v>
      </c>
      <c r="CA153" s="271">
        <f>IVA!BV153/IVA!CN12</f>
        <v>6.5571912100586044E-5</v>
      </c>
      <c r="CI153" s="53">
        <v>1999</v>
      </c>
      <c r="CJ153" s="376">
        <f>IVA!CJ129+IVA!CJ105</f>
        <v>6443366.7250040891</v>
      </c>
      <c r="CK153" s="376">
        <f>IVA!CK129+IVA!CK105</f>
        <v>5863876.7842431404</v>
      </c>
      <c r="CL153" s="376">
        <f>IVA!CL129+IVA!CL105</f>
        <v>6240613.8752059713</v>
      </c>
      <c r="CM153" s="376">
        <f>IVA!CM129+IVA!CM105</f>
        <v>5758389.1872603409</v>
      </c>
      <c r="CN153" s="377">
        <f>IVA!CN129+IVA!CN105</f>
        <v>21583027.705921229</v>
      </c>
      <c r="CO153" s="375"/>
      <c r="CP153" s="376"/>
      <c r="CQ153" s="376"/>
    </row>
    <row r="154" spans="27:142" ht="12.75" customHeight="1">
      <c r="AA154" s="403">
        <v>2005</v>
      </c>
      <c r="AB154" s="403" t="s">
        <v>569</v>
      </c>
      <c r="AC154" s="404"/>
      <c r="AD154" s="405"/>
      <c r="AE154" s="406">
        <f>IVA!AE137*0.21</f>
        <v>27271.092292499998</v>
      </c>
      <c r="AF154" s="407">
        <f>IVA!AF137*0.21</f>
        <v>41803.773183899997</v>
      </c>
      <c r="AG154" s="406">
        <f>IVA!AG137*0.21</f>
        <v>28822.336800600002</v>
      </c>
      <c r="AH154" s="406">
        <f>IVA!AH137*0.21</f>
        <v>19009.3066779</v>
      </c>
      <c r="AI154" s="406">
        <f>IVA!AI137*0.21</f>
        <v>31861.169087999999</v>
      </c>
      <c r="AJ154" s="406">
        <f>IVA!AJ137*0.21</f>
        <v>30321.716718300002</v>
      </c>
      <c r="AK154" s="406">
        <f>IVA!AK137*0.21</f>
        <v>27649.050105599996</v>
      </c>
      <c r="AL154" s="406">
        <f>IVA!AL137*0.21</f>
        <v>28244.1867456</v>
      </c>
      <c r="AM154" s="406">
        <f>IVA!AM137*0.21</f>
        <v>28584.715007099996</v>
      </c>
      <c r="AN154" s="406">
        <f>IVA!AN137*0.21</f>
        <v>37736.214148499996</v>
      </c>
      <c r="AO154" s="406">
        <f>IVA!AO137*0.21</f>
        <v>30351.177475499997</v>
      </c>
      <c r="AP154" s="406">
        <f>IVA!AP137*0.21</f>
        <v>39842.913133800001</v>
      </c>
      <c r="AQ154" s="153">
        <f>IVA!AE154+IVA!AF154+IVA!AG154</f>
        <v>97897.202277000004</v>
      </c>
      <c r="AR154" s="153">
        <f>IVA!AH154+IVA!AI154+IVA!AJ154</f>
        <v>81192.192484200001</v>
      </c>
      <c r="AS154" s="153">
        <f>IVA!AK154+IVA!AL154+IVA!AM154</f>
        <v>84477.951858299988</v>
      </c>
      <c r="AT154" s="153">
        <f>IVA!AN154+IVA!AO154+IVA!AP154</f>
        <v>107930.3047578</v>
      </c>
      <c r="AU154" s="408">
        <f>IVA!AQ154+IVA!AR154+IVA!AS154+IVA!AT154</f>
        <v>371497.65137729998</v>
      </c>
      <c r="AV154" s="128">
        <f>IVA!AQ154/IVA!CJ14</f>
        <v>2.1432775410715381E-4</v>
      </c>
      <c r="AW154" s="128">
        <f>IVA!AR154/IVA!CK14</f>
        <v>1.4697764986699034E-4</v>
      </c>
      <c r="AX154" s="128">
        <f>IVA!AS154/IVA!CL14</f>
        <v>1.5522524742671043E-4</v>
      </c>
      <c r="AY154" s="128">
        <f>IVA!AT154/IVA!CM14</f>
        <v>1.8791692850637175E-4</v>
      </c>
      <c r="AZ154" s="269">
        <f>IVA!AU154/IVA!CN14</f>
        <v>6.9838429842732032E-4</v>
      </c>
      <c r="BA154" s="264">
        <v>2004</v>
      </c>
      <c r="BB154" s="429" t="s">
        <v>571</v>
      </c>
      <c r="BC154" s="430"/>
      <c r="BD154" s="430"/>
      <c r="BE154" s="430"/>
      <c r="BF154" s="431">
        <v>2293.9277571130501</v>
      </c>
      <c r="BG154" s="431">
        <v>2093.8216208895901</v>
      </c>
      <c r="BH154" s="431">
        <v>2093.5377056421798</v>
      </c>
      <c r="BI154" s="431">
        <v>2185.4475106499499</v>
      </c>
      <c r="BJ154" s="431">
        <v>2237.5525944741698</v>
      </c>
      <c r="BK154" s="431">
        <v>2167.3878988845599</v>
      </c>
      <c r="BL154" s="431">
        <v>2318.0938826349802</v>
      </c>
      <c r="BM154" s="431">
        <v>2512.3306307691701</v>
      </c>
      <c r="BN154" s="431">
        <v>2353.6782693494501</v>
      </c>
      <c r="BO154" s="431">
        <v>2202.8049009231599</v>
      </c>
      <c r="BP154" s="431">
        <v>2322.0525442553799</v>
      </c>
      <c r="BQ154" s="432">
        <v>2486.94845627225</v>
      </c>
      <c r="BR154" s="173">
        <f>IVA!BF154+IVA!BG154+IVA!BH154</f>
        <v>6481.2870836448201</v>
      </c>
      <c r="BS154" s="173">
        <f>IVA!BI154+IVA!BJ154+IVA!BK154</f>
        <v>6590.3880040086797</v>
      </c>
      <c r="BT154" s="173">
        <f>IVA!BL154+IVA!BM154+IVA!BN154</f>
        <v>7184.1027827536</v>
      </c>
      <c r="BU154" s="174">
        <f>IVA!BO154+IVA!BP154+IVA!BQ154</f>
        <v>7011.8059014507899</v>
      </c>
      <c r="BV154" s="135">
        <f>IVA!BR154+IVA!BS154+IVA!BT154+IVA!BU154</f>
        <v>27267.583771857891</v>
      </c>
      <c r="BW154" s="136">
        <f>IVA!BR154/IVA!CJ13</f>
        <v>1.6499507617146968E-5</v>
      </c>
      <c r="BX154" s="137">
        <f>IVA!BS154/IVA!CK13</f>
        <v>1.3897524722706394E-5</v>
      </c>
      <c r="BY154" s="136">
        <f>IVA!BT154/IVA!CL13</f>
        <v>1.5891231916334855E-5</v>
      </c>
      <c r="BZ154" s="136">
        <f>IVA!BU154/IVA!CM13</f>
        <v>1.4872424853909731E-5</v>
      </c>
      <c r="CA154" s="271">
        <f>IVA!BV154/IVA!CN13</f>
        <v>6.0913625019201452E-5</v>
      </c>
      <c r="CI154" s="53">
        <v>2000</v>
      </c>
      <c r="CJ154" s="376">
        <f>IVA!CJ130+IVA!CJ106</f>
        <v>6105053.4119524937</v>
      </c>
      <c r="CK154" s="376">
        <f>IVA!CK130+IVA!CK106</f>
        <v>6052336.7262936002</v>
      </c>
      <c r="CL154" s="376">
        <f>IVA!CL130+IVA!CL106</f>
        <v>6422641.8811763544</v>
      </c>
      <c r="CM154" s="376">
        <f>IVA!CM130+IVA!CM106</f>
        <v>5961749.4848244656</v>
      </c>
      <c r="CN154" s="377">
        <f>IVA!CN130+IVA!CN106</f>
        <v>21820404.690111224</v>
      </c>
      <c r="CO154" s="375"/>
      <c r="CP154" s="376"/>
      <c r="CQ154" s="376"/>
    </row>
    <row r="155" spans="27:142" ht="12.75" customHeight="1">
      <c r="AA155" s="403">
        <v>2006</v>
      </c>
      <c r="AB155" s="403" t="s">
        <v>569</v>
      </c>
      <c r="AC155" s="404"/>
      <c r="AD155" s="405"/>
      <c r="AE155" s="406">
        <f>IVA!AE138*0.21</f>
        <v>27880.927401600002</v>
      </c>
      <c r="AF155" s="407">
        <f>IVA!AF138*0.21</f>
        <v>38494.726275599998</v>
      </c>
      <c r="AG155" s="406">
        <f>IVA!AG138*0.21</f>
        <v>32886.575637300004</v>
      </c>
      <c r="AH155" s="406">
        <f>IVA!AH138*0.21</f>
        <v>36219.470151899994</v>
      </c>
      <c r="AI155" s="406">
        <f>IVA!AI138*0.21</f>
        <v>33291.865599299999</v>
      </c>
      <c r="AJ155" s="406">
        <f>IVA!AJ138*0.21</f>
        <v>33126.250373999996</v>
      </c>
      <c r="AK155" s="406">
        <f>IVA!AK138*0.21</f>
        <v>38882.855423999994</v>
      </c>
      <c r="AL155" s="406">
        <f>IVA!AL138*0.21</f>
        <v>38022.974742899998</v>
      </c>
      <c r="AM155" s="406">
        <f>IVA!AM138*0.21</f>
        <v>37978.223948699997</v>
      </c>
      <c r="AN155" s="406">
        <f>IVA!AN138*0.21</f>
        <v>39574.1446947</v>
      </c>
      <c r="AO155" s="406">
        <f>IVA!AO138*0.21</f>
        <v>37698.756998700002</v>
      </c>
      <c r="AP155" s="406">
        <f>IVA!AP138*0.21</f>
        <v>36819.790051800002</v>
      </c>
      <c r="AQ155" s="153">
        <f>IVA!AE155+IVA!AF155+IVA!AG155</f>
        <v>99262.2293145</v>
      </c>
      <c r="AR155" s="153">
        <f>IVA!AH155+IVA!AI155+IVA!AJ155</f>
        <v>102637.58612519999</v>
      </c>
      <c r="AS155" s="153">
        <f>IVA!AK155+IVA!AL155+IVA!AM155</f>
        <v>114884.05411559998</v>
      </c>
      <c r="AT155" s="153">
        <f>IVA!AN155+IVA!AO155+IVA!AP155</f>
        <v>114092.69174519999</v>
      </c>
      <c r="AU155" s="408">
        <f>IVA!AQ155+IVA!AR155+IVA!AS155+IVA!AT155</f>
        <v>430876.56130049995</v>
      </c>
      <c r="AV155" s="128">
        <f>IVA!AQ155/IVA!CJ15</f>
        <v>1.7475929202509182E-4</v>
      </c>
      <c r="AW155" s="128">
        <f>IVA!AR155/IVA!CK15</f>
        <v>1.5132071835560361E-4</v>
      </c>
      <c r="AX155" s="128">
        <f>IVA!AS155/IVA!CL15</f>
        <v>1.719313536502276E-4</v>
      </c>
      <c r="AY155" s="128">
        <f>IVA!AT155/IVA!CM15</f>
        <v>1.6222803324311108E-4</v>
      </c>
      <c r="AZ155" s="269">
        <f>IVA!AU155/IVA!CN15</f>
        <v>6.5839073009501875E-4</v>
      </c>
      <c r="BA155" s="264">
        <v>2005</v>
      </c>
      <c r="BB155" s="429" t="s">
        <v>571</v>
      </c>
      <c r="BC155" s="430"/>
      <c r="BD155" s="430"/>
      <c r="BE155" s="430"/>
      <c r="BF155" s="431">
        <v>5901.244310391</v>
      </c>
      <c r="BG155" s="431">
        <v>1842.3367588675001</v>
      </c>
      <c r="BH155" s="431">
        <v>1763.923552791</v>
      </c>
      <c r="BI155" s="431">
        <v>4179.3422622665003</v>
      </c>
      <c r="BJ155" s="431">
        <v>2264.7218495795</v>
      </c>
      <c r="BK155" s="431">
        <v>2570.7346649719998</v>
      </c>
      <c r="BL155" s="431">
        <v>2744.7582362789999</v>
      </c>
      <c r="BM155" s="431">
        <v>1629.7106034755</v>
      </c>
      <c r="BN155" s="431">
        <v>2696.4538974040001</v>
      </c>
      <c r="BO155" s="431">
        <v>2924.55366701</v>
      </c>
      <c r="BP155" s="431">
        <v>2485.7711252220001</v>
      </c>
      <c r="BQ155" s="432">
        <v>2403.6768055399998</v>
      </c>
      <c r="BR155" s="173">
        <f>IVA!BF155+IVA!BG155+IVA!BH155</f>
        <v>9507.5046220495005</v>
      </c>
      <c r="BS155" s="173">
        <f>IVA!BI155+IVA!BJ155+IVA!BK155</f>
        <v>9014.798776818001</v>
      </c>
      <c r="BT155" s="173">
        <f>IVA!BL155+IVA!BM155+IVA!BN155</f>
        <v>7070.9227371585002</v>
      </c>
      <c r="BU155" s="174">
        <f>IVA!BO155+IVA!BP155+IVA!BQ155</f>
        <v>7814.0015977720004</v>
      </c>
      <c r="BV155" s="135">
        <f>IVA!BR155+IVA!BS155+IVA!BT155+IVA!BU155</f>
        <v>33407.227733798005</v>
      </c>
      <c r="BW155" s="136">
        <f>IVA!BR155/IVA!CJ14</f>
        <v>2.0814916722967442E-5</v>
      </c>
      <c r="BX155" s="137">
        <f>IVA!BS155/IVA!CK14</f>
        <v>1.6318982129942713E-5</v>
      </c>
      <c r="BY155" s="136">
        <f>IVA!BT155/IVA!CL14</f>
        <v>1.2992570336596561E-5</v>
      </c>
      <c r="BZ155" s="136">
        <f>IVA!BU155/IVA!CM14</f>
        <v>1.3604920164844408E-5</v>
      </c>
      <c r="CA155" s="271">
        <f>IVA!BV155/IVA!CN14</f>
        <v>6.2802774706036436E-5</v>
      </c>
      <c r="CI155" s="53">
        <v>2001</v>
      </c>
      <c r="CJ155" s="376">
        <f>IVA!CJ131+IVA!CJ107</f>
        <v>6094752.03180975</v>
      </c>
      <c r="CK155" s="376">
        <f>IVA!CK131+IVA!CK107</f>
        <v>5694573.0612196801</v>
      </c>
      <c r="CL155" s="376">
        <f>IVA!CL131+IVA!CL107</f>
        <v>5925464.942935707</v>
      </c>
      <c r="CM155" s="376">
        <f>IVA!CM131+IVA!CM107</f>
        <v>4990245.5961062219</v>
      </c>
      <c r="CN155" s="377">
        <f>IVA!CN131+IVA!CN107</f>
        <v>20023230.203104559</v>
      </c>
      <c r="CO155" s="375">
        <f>22236478800/1000</f>
        <v>22236478.800000001</v>
      </c>
      <c r="CP155" s="376">
        <v>19791816.800000001</v>
      </c>
      <c r="CQ155" s="376">
        <f>IVA!CN155-IVA!CP155</f>
        <v>231413.40310455859</v>
      </c>
    </row>
    <row r="156" spans="27:142" ht="12.75" customHeight="1">
      <c r="AA156" s="403">
        <v>2007</v>
      </c>
      <c r="AB156" s="403" t="s">
        <v>569</v>
      </c>
      <c r="AC156" s="404"/>
      <c r="AD156" s="405"/>
      <c r="AE156" s="406">
        <f>IVA!AE139*0.21</f>
        <v>27011.913639899998</v>
      </c>
      <c r="AF156" s="407">
        <f>IVA!AF139*0.21</f>
        <v>57441.400033500002</v>
      </c>
      <c r="AG156" s="406">
        <f>IVA!AG139*0.21</f>
        <v>41284.775206499995</v>
      </c>
      <c r="AH156" s="406">
        <f>IVA!AH139*0.21</f>
        <v>45044.744860500003</v>
      </c>
      <c r="AI156" s="406">
        <f>IVA!AI139*0.21</f>
        <v>32325.980723399996</v>
      </c>
      <c r="AJ156" s="406">
        <f>IVA!AJ139*0.21</f>
        <v>34710.802749000002</v>
      </c>
      <c r="AK156" s="406">
        <f>IVA!AK139*0.21</f>
        <v>40967.231972099995</v>
      </c>
      <c r="AL156" s="406">
        <f>IVA!AL139*0.21</f>
        <v>38187.825689999998</v>
      </c>
      <c r="AM156" s="406">
        <f>IVA!AM139*0.21</f>
        <v>61915.130077499998</v>
      </c>
      <c r="AN156" s="406">
        <f>IVA!AN139*0.21</f>
        <v>51733.410350999999</v>
      </c>
      <c r="AO156" s="406">
        <f>IVA!AO139*0.21</f>
        <v>49948.577746200004</v>
      </c>
      <c r="AP156" s="406">
        <f>IVA!AP139*0.21</f>
        <v>52358.486995499996</v>
      </c>
      <c r="AQ156" s="153">
        <f>IVA!AE156+IVA!AF156+IVA!AG156</f>
        <v>125738.08887989999</v>
      </c>
      <c r="AR156" s="153">
        <f>IVA!AH156+IVA!AI156+IVA!AJ156</f>
        <v>112081.52833289999</v>
      </c>
      <c r="AS156" s="153">
        <f>IVA!AK156+IVA!AL156+IVA!AM156</f>
        <v>141070.18773959999</v>
      </c>
      <c r="AT156" s="153">
        <f>IVA!AN156+IVA!AO156+IVA!AP156</f>
        <v>154040.47509269998</v>
      </c>
      <c r="AU156" s="408">
        <f>IVA!AQ156+IVA!AR156+IVA!AS156+IVA!AT156</f>
        <v>532930.28004510002</v>
      </c>
      <c r="AV156" s="128">
        <f>IVA!AQ156/IVA!CJ16</f>
        <v>1.8460489910720578E-4</v>
      </c>
      <c r="AW156" s="128">
        <f>IVA!AR156/IVA!CK16</f>
        <v>1.3420924059809824E-4</v>
      </c>
      <c r="AX156" s="128">
        <f>IVA!AS156/IVA!CL16</f>
        <v>1.7048519116818516E-4</v>
      </c>
      <c r="AY156" s="128">
        <f>IVA!AT156/IVA!CM16</f>
        <v>1.7000103528370104E-4</v>
      </c>
      <c r="AZ156" s="269">
        <f>IVA!AU156/IVA!CN16</f>
        <v>6.5594985167758237E-4</v>
      </c>
      <c r="BA156" s="264">
        <v>2006</v>
      </c>
      <c r="BB156" s="429" t="s">
        <v>571</v>
      </c>
      <c r="BC156" s="430"/>
      <c r="BD156" s="430"/>
      <c r="BE156" s="430"/>
      <c r="BF156" s="431">
        <v>2920.1863934865</v>
      </c>
      <c r="BG156" s="431">
        <v>7661.6140235154999</v>
      </c>
      <c r="BH156" s="431">
        <v>1802.8277975630001</v>
      </c>
      <c r="BI156" s="431">
        <v>3657.533088145</v>
      </c>
      <c r="BJ156" s="431">
        <v>1470.5688411144999</v>
      </c>
      <c r="BK156" s="431">
        <v>3669.5001045334998</v>
      </c>
      <c r="BL156" s="431">
        <v>3420.7643278125001</v>
      </c>
      <c r="BM156" s="431">
        <v>5062.2417948510001</v>
      </c>
      <c r="BN156" s="431">
        <v>3406.5088563234999</v>
      </c>
      <c r="BO156" s="431">
        <v>3984.0860318119999</v>
      </c>
      <c r="BP156" s="431">
        <v>3053.1076034500002</v>
      </c>
      <c r="BQ156" s="432">
        <v>4485.4831499835</v>
      </c>
      <c r="BR156" s="173">
        <f>IVA!BF156+IVA!BG156+IVA!BH156</f>
        <v>12384.628214565</v>
      </c>
      <c r="BS156" s="173">
        <f>IVA!BI156+IVA!BJ156+IVA!BK156</f>
        <v>8797.6020337930004</v>
      </c>
      <c r="BT156" s="173">
        <f>IVA!BL156+IVA!BM156+IVA!BN156</f>
        <v>11889.514978987001</v>
      </c>
      <c r="BU156" s="174">
        <f>IVA!BO156+IVA!BP156+IVA!BQ156</f>
        <v>11522.6767852455</v>
      </c>
      <c r="BV156" s="135">
        <f>IVA!BR156+IVA!BS156+IVA!BT156+IVA!BU156</f>
        <v>44594.422012590505</v>
      </c>
      <c r="BW156" s="136">
        <f>IVA!BR156/IVA!CJ15</f>
        <v>2.1804153238528928E-5</v>
      </c>
      <c r="BX156" s="137">
        <f>IVA!BS156/IVA!CK15</f>
        <v>1.2970486834485481E-5</v>
      </c>
      <c r="BY156" s="136">
        <f>IVA!BT156/IVA!CL15</f>
        <v>1.7793421552872546E-5</v>
      </c>
      <c r="BZ156" s="136">
        <f>IVA!BU156/IVA!CM15</f>
        <v>1.6384057243044883E-5</v>
      </c>
      <c r="CA156" s="271">
        <f>IVA!BV156/IVA!CN15</f>
        <v>6.8141450949239115E-5</v>
      </c>
      <c r="CI156" s="53">
        <v>2002</v>
      </c>
      <c r="CJ156" s="376">
        <f>IVA!CJ132+IVA!CJ108</f>
        <v>4471849.3800378507</v>
      </c>
      <c r="CK156" s="376">
        <f>IVA!CK132+IVA!CK108</f>
        <v>4623502.7387179816</v>
      </c>
      <c r="CL156" s="376">
        <f>IVA!CL132+IVA!CL108</f>
        <v>5336266.1666291477</v>
      </c>
      <c r="CM156" s="376">
        <f>IVA!CM132+IVA!CM108</f>
        <v>5341264.5858193086</v>
      </c>
      <c r="CN156" s="377">
        <f>IVA!CN132+IVA!CN108</f>
        <v>17840847.710133091</v>
      </c>
      <c r="CO156" s="375">
        <f>22421189021/1000</f>
        <v>22421189.021000002</v>
      </c>
      <c r="CP156" s="376">
        <v>20114831.021000002</v>
      </c>
      <c r="CQ156" s="376">
        <f>IVA!CN156-IVA!CP156</f>
        <v>-2273983.310866911</v>
      </c>
    </row>
    <row r="157" spans="27:142" ht="12.75" customHeight="1">
      <c r="AA157" s="403">
        <v>2008</v>
      </c>
      <c r="AB157" s="403" t="s">
        <v>569</v>
      </c>
      <c r="AC157" s="404"/>
      <c r="AD157" s="405"/>
      <c r="AE157" s="406">
        <f>IVA!AE140*0.21</f>
        <v>47590.0810518</v>
      </c>
      <c r="AF157" s="407">
        <f>IVA!AF140*0.21</f>
        <v>81974.652568199992</v>
      </c>
      <c r="AG157" s="406">
        <f>IVA!AG140*0.21</f>
        <v>69101.602413900007</v>
      </c>
      <c r="AH157" s="406">
        <f>IVA!AH140*0.21</f>
        <v>54274.438736700002</v>
      </c>
      <c r="AI157" s="406">
        <f>IVA!AI140*0.21</f>
        <v>52469.466659399994</v>
      </c>
      <c r="AJ157" s="406">
        <f>IVA!AJ140*0.21</f>
        <v>58237.087248899996</v>
      </c>
      <c r="AK157" s="406">
        <f>IVA!AK140*0.21</f>
        <v>57678.173338799992</v>
      </c>
      <c r="AL157" s="406">
        <f>IVA!AL140*0.21</f>
        <v>62000.218862400005</v>
      </c>
      <c r="AM157" s="406">
        <f>IVA!AM140*0.21</f>
        <v>58593.6064854</v>
      </c>
      <c r="AN157" s="406">
        <f>IVA!AN140*0.21</f>
        <v>60261.293303400002</v>
      </c>
      <c r="AO157" s="406">
        <f>IVA!AO140*0.21</f>
        <v>60815.920185299998</v>
      </c>
      <c r="AP157" s="406">
        <f>IVA!AP140*0.21</f>
        <v>95040.927951899997</v>
      </c>
      <c r="AQ157" s="153">
        <f>IVA!AE157+IVA!AF157+IVA!AG157</f>
        <v>198666.33603389998</v>
      </c>
      <c r="AR157" s="153">
        <f>IVA!AH157+IVA!AI157+IVA!AJ157</f>
        <v>164980.99264499999</v>
      </c>
      <c r="AS157" s="153">
        <f>IVA!AK157+IVA!AL157+IVA!AM157</f>
        <v>178271.99868660001</v>
      </c>
      <c r="AT157" s="153">
        <f>IVA!AN157+IVA!AO157+IVA!AP157</f>
        <v>216118.14144059998</v>
      </c>
      <c r="AU157" s="408">
        <f>IVA!AQ157+IVA!AR157+IVA!AS157+IVA!AT157</f>
        <v>758037.46880609985</v>
      </c>
      <c r="AV157" s="128">
        <f>IVA!AQ157/IVA!CJ17</f>
        <v>2.2381333039735567E-4</v>
      </c>
      <c r="AW157" s="128">
        <f>IVA!AR157/IVA!CK17</f>
        <v>1.4890749471568415E-4</v>
      </c>
      <c r="AX157" s="128">
        <f>IVA!AS157/IVA!CL17</f>
        <v>1.6857062543305351E-4</v>
      </c>
      <c r="AY157" s="128">
        <f>IVA!AT157/IVA!CM17</f>
        <v>2.004999215224501E-4</v>
      </c>
      <c r="AZ157" s="269">
        <f>IVA!AU157/IVA!CN17</f>
        <v>7.3399331576816623E-4</v>
      </c>
      <c r="BA157" s="264">
        <v>2007</v>
      </c>
      <c r="BB157" s="429" t="s">
        <v>571</v>
      </c>
      <c r="BC157" s="430"/>
      <c r="BD157" s="430"/>
      <c r="BE157" s="430"/>
      <c r="BF157" s="431">
        <v>5030.601858131</v>
      </c>
      <c r="BG157" s="431">
        <v>5443.3540326250004</v>
      </c>
      <c r="BH157" s="431">
        <v>2505.4666987340001</v>
      </c>
      <c r="BI157" s="431">
        <v>2306.3515889004998</v>
      </c>
      <c r="BJ157" s="431">
        <v>3040.263064623</v>
      </c>
      <c r="BK157" s="431">
        <v>6078.9204308444996</v>
      </c>
      <c r="BL157" s="431">
        <v>3108.6178311389999</v>
      </c>
      <c r="BM157" s="431">
        <v>4089.9835055005001</v>
      </c>
      <c r="BN157" s="431">
        <v>2888.1398688700001</v>
      </c>
      <c r="BO157" s="431">
        <v>2145.3878624415001</v>
      </c>
      <c r="BP157" s="431">
        <v>5644.7318234169998</v>
      </c>
      <c r="BQ157" s="432">
        <v>7486.0486810985003</v>
      </c>
      <c r="BR157" s="173">
        <f>IVA!BF157+IVA!BG157+IVA!BH157</f>
        <v>12979.422589490001</v>
      </c>
      <c r="BS157" s="173">
        <f>IVA!BI157+IVA!BJ157+IVA!BK157</f>
        <v>11425.535084367999</v>
      </c>
      <c r="BT157" s="173">
        <f>IVA!BL157+IVA!BM157+IVA!BN157</f>
        <v>10086.741205509501</v>
      </c>
      <c r="BU157" s="174">
        <f>IVA!BO157+IVA!BP157+IVA!BQ157</f>
        <v>15276.168366957001</v>
      </c>
      <c r="BV157" s="135">
        <f>IVA!BR157+IVA!BS157+IVA!BT157+IVA!BU157</f>
        <v>49767.867246324502</v>
      </c>
      <c r="BW157" s="136">
        <f>IVA!BR157/IVA!CJ16</f>
        <v>1.9055999808389125E-5</v>
      </c>
      <c r="BX157" s="137">
        <f>IVA!BS157/IVA!CK16</f>
        <v>1.3681223033874755E-5</v>
      </c>
      <c r="BY157" s="136">
        <f>IVA!BT157/IVA!CL16</f>
        <v>1.2189960403679078E-5</v>
      </c>
      <c r="BZ157" s="136">
        <f>IVA!BU157/IVA!CM16</f>
        <v>1.6858974474000994E-5</v>
      </c>
      <c r="CA157" s="271">
        <f>IVA!BV157/IVA!CN16</f>
        <v>6.125608988810603E-5</v>
      </c>
      <c r="CI157" s="53">
        <v>2003</v>
      </c>
      <c r="CJ157" s="376">
        <f>IVA!CJ133+IVA!CJ109</f>
        <v>5759990.1267722994</v>
      </c>
      <c r="CK157" s="376">
        <f>IVA!CK133+IVA!CK109</f>
        <v>6134236.0507012848</v>
      </c>
      <c r="CL157" s="376">
        <f>IVA!CL133+IVA!CL109</f>
        <v>6763017.3030590396</v>
      </c>
      <c r="CM157" s="376">
        <f>IVA!CM133+IVA!CM109</f>
        <v>6945699.7288314104</v>
      </c>
      <c r="CN157" s="377">
        <f>IVA!CN133+IVA!CN109</f>
        <v>22483000.895799223</v>
      </c>
      <c r="CO157" s="375">
        <f>23924364413/1000</f>
        <v>23924364.412999999</v>
      </c>
      <c r="CP157" s="376">
        <v>21457283.032000002</v>
      </c>
      <c r="CQ157" s="376">
        <f>IVA!CN157-IVA!CP157</f>
        <v>1025717.8637992218</v>
      </c>
    </row>
    <row r="158" spans="27:142" ht="12.75" customHeight="1">
      <c r="AA158" s="403">
        <v>2009</v>
      </c>
      <c r="AB158" s="403" t="s">
        <v>569</v>
      </c>
      <c r="AC158" s="404"/>
      <c r="AD158" s="405"/>
      <c r="AE158" s="406">
        <f>IVA!AE141*0.21</f>
        <v>56347.829999999994</v>
      </c>
      <c r="AF158" s="407">
        <f>IVA!AF141*0.21</f>
        <v>90885.9</v>
      </c>
      <c r="AG158" s="406">
        <f>IVA!AG141*0.21</f>
        <v>69466.95</v>
      </c>
      <c r="AH158" s="406">
        <f>IVA!AH141*0.21</f>
        <v>68997.179999999993</v>
      </c>
      <c r="AI158" s="406">
        <f>IVA!AI141*0.21</f>
        <v>70907.759999999995</v>
      </c>
      <c r="AJ158" s="406">
        <f>IVA!AJ141*0.21</f>
        <v>72481.5</v>
      </c>
      <c r="AK158" s="406">
        <f>IVA!AK141*0.21</f>
        <v>73567.62</v>
      </c>
      <c r="AL158" s="406">
        <f>IVA!AL141*0.21</f>
        <v>72953.58</v>
      </c>
      <c r="AM158" s="406">
        <f>IVA!AM141*0.21</f>
        <v>86963.099999999991</v>
      </c>
      <c r="AN158" s="406">
        <f>IVA!AN141*0.21</f>
        <v>89668.739999999991</v>
      </c>
      <c r="AO158" s="406">
        <f>IVA!AO141*0.21</f>
        <v>99218.28</v>
      </c>
      <c r="AP158" s="406">
        <f>IVA!AP141*0.21</f>
        <v>104803.23</v>
      </c>
      <c r="AQ158" s="153">
        <f>IVA!AE158+IVA!AF158+IVA!AG158</f>
        <v>216700.68</v>
      </c>
      <c r="AR158" s="153">
        <f>IVA!AH158+IVA!AI158+IVA!AJ158</f>
        <v>212386.44</v>
      </c>
      <c r="AS158" s="153">
        <f>IVA!AK158+IVA!AL158+IVA!AM158</f>
        <v>233484.3</v>
      </c>
      <c r="AT158" s="153">
        <f>IVA!AN158+IVA!AO158+IVA!AP158</f>
        <v>293690.25</v>
      </c>
      <c r="AU158" s="408">
        <f>IVA!AQ158+IVA!AR158+IVA!AS158+IVA!AT158</f>
        <v>956261.66999999993</v>
      </c>
      <c r="AV158" s="128">
        <f>IVA!AQ158/IVA!CJ18</f>
        <v>2.1823662939770102E-4</v>
      </c>
      <c r="AW158" s="128">
        <f>IVA!AR158/IVA!CK18</f>
        <v>1.7767386389681305E-4</v>
      </c>
      <c r="AX158" s="128">
        <f>IVA!AS158/IVA!CL18</f>
        <v>1.9976498743264968E-4</v>
      </c>
      <c r="AY158" s="128">
        <f>IVA!AT158/IVA!CM18</f>
        <v>2.3980513643233461E-4</v>
      </c>
      <c r="AZ158" s="269">
        <f>IVA!AU158/IVA!CN18</f>
        <v>8.3482885377869111E-4</v>
      </c>
      <c r="BA158" s="264">
        <v>2008</v>
      </c>
      <c r="BB158" s="429" t="s">
        <v>571</v>
      </c>
      <c r="BC158" s="430"/>
      <c r="BD158" s="430"/>
      <c r="BE158" s="430"/>
      <c r="BF158" s="431">
        <v>8288.4228263469995</v>
      </c>
      <c r="BG158" s="431">
        <v>3036.0291376069999</v>
      </c>
      <c r="BH158" s="431">
        <v>2158.6640616955001</v>
      </c>
      <c r="BI158" s="431">
        <v>5517.3833281144998</v>
      </c>
      <c r="BJ158" s="431">
        <v>7497.1140783225001</v>
      </c>
      <c r="BK158" s="431">
        <v>4284.6740274089998</v>
      </c>
      <c r="BL158" s="431">
        <v>2215.9023988314998</v>
      </c>
      <c r="BM158" s="431">
        <v>5074.1835774190004</v>
      </c>
      <c r="BN158" s="431">
        <v>4918.6316062654996</v>
      </c>
      <c r="BO158" s="431">
        <v>9315.6580863884992</v>
      </c>
      <c r="BP158" s="431">
        <v>6893.3342294329996</v>
      </c>
      <c r="BQ158" s="432">
        <v>5620.0737033784999</v>
      </c>
      <c r="BR158" s="173">
        <f>IVA!BF158+IVA!BG158+IVA!BH158</f>
        <v>13483.116025649499</v>
      </c>
      <c r="BS158" s="173">
        <f>IVA!BI158+IVA!BJ158+IVA!BK158</f>
        <v>17299.171433846001</v>
      </c>
      <c r="BT158" s="173">
        <f>IVA!BL158+IVA!BM158+IVA!BN158</f>
        <v>12208.717582516001</v>
      </c>
      <c r="BU158" s="174">
        <f>IVA!BO158+IVA!BP158+IVA!BQ158</f>
        <v>21829.0660192</v>
      </c>
      <c r="BV158" s="135">
        <f>IVA!BR158+IVA!BS158+IVA!BT158+IVA!BU158</f>
        <v>64820.0710612115</v>
      </c>
      <c r="BW158" s="136">
        <f>IVA!BR158/IVA!CJ17</f>
        <v>1.5189795926571267E-5</v>
      </c>
      <c r="BX158" s="137">
        <f>IVA!BS158/IVA!CK17</f>
        <v>1.5613776093674184E-5</v>
      </c>
      <c r="BY158" s="136">
        <f>IVA!BT158/IVA!CL17</f>
        <v>1.1544332109263177E-5</v>
      </c>
      <c r="BZ158" s="136">
        <f>IVA!BU158/IVA!CM17</f>
        <v>2.0251543875880147E-5</v>
      </c>
      <c r="CA158" s="271">
        <f>IVA!BV158/IVA!CN17</f>
        <v>6.2764046428312825E-5</v>
      </c>
      <c r="CI158" s="53">
        <v>2004</v>
      </c>
      <c r="CJ158" s="376">
        <f>IVA!CJ134+IVA!CJ110</f>
        <v>7805169.0167348143</v>
      </c>
      <c r="CK158" s="376">
        <f>IVA!CK134+IVA!CK110</f>
        <v>8910459.3594381288</v>
      </c>
      <c r="CL158" s="376">
        <f>IVA!CL134+IVA!CL110</f>
        <v>9306541.2944730818</v>
      </c>
      <c r="CM158" s="376">
        <f>IVA!CM134+IVA!CM110</f>
        <v>9182265.519253809</v>
      </c>
      <c r="CN158" s="377">
        <f>IVA!CN134+IVA!CN110</f>
        <v>30498389.556122627</v>
      </c>
      <c r="CO158" s="375">
        <f>24571037720/1000</f>
        <v>24571037.719999999</v>
      </c>
      <c r="CP158" s="376">
        <v>21483727.846000001</v>
      </c>
      <c r="CQ158" s="376">
        <f>IVA!CN158-IVA!CP158</f>
        <v>9014661.7101226263</v>
      </c>
    </row>
    <row r="159" spans="27:142" ht="12.75" customHeight="1">
      <c r="AA159" s="403">
        <v>2010</v>
      </c>
      <c r="AB159" s="403" t="s">
        <v>569</v>
      </c>
      <c r="AC159" s="404"/>
      <c r="AD159" s="405"/>
      <c r="AE159" s="406">
        <f>IVA!AE142*0.21</f>
        <v>70419.929999999993</v>
      </c>
      <c r="AF159" s="407">
        <f>IVA!AF142*0.21</f>
        <v>109166.81999999999</v>
      </c>
      <c r="AG159" s="406">
        <f>IVA!AG142*0.21</f>
        <v>111965.06999999999</v>
      </c>
      <c r="AH159" s="406">
        <f>IVA!AH142*0.21</f>
        <v>97829.759999999995</v>
      </c>
      <c r="AI159" s="406">
        <f>IVA!AI142*0.21</f>
        <v>123920.37</v>
      </c>
      <c r="AJ159" s="406">
        <f>IVA!AJ142*0.21</f>
        <v>105259.76999999999</v>
      </c>
      <c r="AK159" s="406">
        <f>IVA!AK142*0.21</f>
        <v>104940.36</v>
      </c>
      <c r="AL159" s="406">
        <f>IVA!AL142*0.21</f>
        <v>103973.31</v>
      </c>
      <c r="AM159" s="406">
        <f>IVA!AM142*0.21</f>
        <v>121565.22</v>
      </c>
      <c r="AN159" s="406">
        <f>IVA!AN142*0.21</f>
        <v>120675.23999999999</v>
      </c>
      <c r="AO159" s="406">
        <f>IVA!AO142*0.21</f>
        <v>125734.14</v>
      </c>
      <c r="AP159" s="406">
        <f>IVA!AP142*0.21</f>
        <v>140165.34</v>
      </c>
      <c r="AQ159" s="153">
        <f>IVA!AE159+IVA!AF159+IVA!AG159</f>
        <v>291551.82</v>
      </c>
      <c r="AR159" s="153">
        <f>IVA!AH159+IVA!AI159+IVA!AJ159</f>
        <v>327009.90000000002</v>
      </c>
      <c r="AS159" s="153">
        <f>IVA!AK159+IVA!AL159+IVA!AM159</f>
        <v>330478.89</v>
      </c>
      <c r="AT159" s="153">
        <f>IVA!AN159+IVA!AO159+IVA!AP159</f>
        <v>386574.72</v>
      </c>
      <c r="AU159" s="408">
        <f>IVA!AQ159+IVA!AR159+IVA!AS159+IVA!AT159</f>
        <v>1335615.33</v>
      </c>
      <c r="AV159" s="128">
        <f>IVA!AQ159/IVA!CJ19</f>
        <v>2.3949102212043725E-4</v>
      </c>
      <c r="AW159" s="128">
        <f>IVA!AR159/IVA!CK19</f>
        <v>2.1680899552737481E-4</v>
      </c>
      <c r="AX159" s="128">
        <f>IVA!AS159/IVA!CL19</f>
        <v>2.2545102595691277E-4</v>
      </c>
      <c r="AY159" s="128">
        <f>IVA!AT159/IVA!CM19</f>
        <v>2.4480724152278798E-4</v>
      </c>
      <c r="AZ159" s="269">
        <f>IVA!AU159/IVA!CN19</f>
        <v>9.258034523108035E-4</v>
      </c>
      <c r="BA159" s="264">
        <v>2009</v>
      </c>
      <c r="BB159" s="429" t="s">
        <v>571</v>
      </c>
      <c r="BC159" s="430"/>
      <c r="BD159" s="430"/>
      <c r="BE159" s="430"/>
      <c r="BF159" s="431">
        <v>18407.221249999999</v>
      </c>
      <c r="BG159" s="431">
        <v>9754.8191999999999</v>
      </c>
      <c r="BH159" s="431">
        <v>2902.4135500000002</v>
      </c>
      <c r="BI159" s="431">
        <v>5822.5690000000004</v>
      </c>
      <c r="BJ159" s="431">
        <v>5895.1495000000004</v>
      </c>
      <c r="BK159" s="431">
        <v>4481.44265</v>
      </c>
      <c r="BL159" s="431">
        <v>3714.5086999999999</v>
      </c>
      <c r="BM159" s="431">
        <v>13321.74755</v>
      </c>
      <c r="BN159" s="431">
        <v>6223.3746499999997</v>
      </c>
      <c r="BO159" s="431">
        <v>4908.0546999999997</v>
      </c>
      <c r="BP159" s="431">
        <v>11974.976049999999</v>
      </c>
      <c r="BQ159" s="432">
        <v>4208.8625499999998</v>
      </c>
      <c r="BR159" s="173">
        <f>IVA!BF159+IVA!BG159+IVA!BH159</f>
        <v>31064.454000000002</v>
      </c>
      <c r="BS159" s="173">
        <f>IVA!BI159+IVA!BJ159+IVA!BK159</f>
        <v>16199.16115</v>
      </c>
      <c r="BT159" s="173">
        <f>IVA!BL159+IVA!BM159+IVA!BN159</f>
        <v>23259.630899999996</v>
      </c>
      <c r="BU159" s="174">
        <f>IVA!BO159+IVA!BP159+IVA!BQ159</f>
        <v>21091.893299999996</v>
      </c>
      <c r="BV159" s="135">
        <f>IVA!BR159+IVA!BS159+IVA!BT159+IVA!BU159</f>
        <v>91615.139349999983</v>
      </c>
      <c r="BW159" s="136">
        <f>IVA!BR159/IVA!CJ18</f>
        <v>3.1284635262980858E-5</v>
      </c>
      <c r="BX159" s="137">
        <f>IVA!BS159/IVA!CK18</f>
        <v>1.3551559851973796E-5</v>
      </c>
      <c r="BY159" s="136">
        <f>IVA!BT159/IVA!CL18</f>
        <v>1.9900523822914731E-5</v>
      </c>
      <c r="BZ159" s="136">
        <f>IVA!BU159/IVA!CM18</f>
        <v>1.7222036994495878E-5</v>
      </c>
      <c r="CA159" s="271">
        <f>IVA!BV159/IVA!CN18</f>
        <v>7.99812061612127E-5</v>
      </c>
      <c r="CI159" s="53">
        <v>2005</v>
      </c>
      <c r="CJ159" s="376">
        <f>IVA!CJ135+IVA!CJ111</f>
        <v>9733954.8374663014</v>
      </c>
      <c r="CK159" s="376">
        <f>IVA!CK135+IVA!CK111</f>
        <v>10449634.61057991</v>
      </c>
      <c r="CL159" s="376">
        <f>IVA!CL135+IVA!CL111</f>
        <v>11435679.641916879</v>
      </c>
      <c r="CM159" s="376">
        <f>IVA!CM135+IVA!CM111</f>
        <v>12052330.639075821</v>
      </c>
      <c r="CN159" s="377">
        <f>IVA!CN135+IVA!CN111</f>
        <v>37748426.148550898</v>
      </c>
      <c r="CO159" s="375">
        <f>28965287000/1000</f>
        <v>28965287</v>
      </c>
      <c r="CP159" s="376">
        <v>25267808</v>
      </c>
      <c r="CQ159" s="376">
        <f>IVA!CN159-IVA!CP159</f>
        <v>12480618.148550898</v>
      </c>
    </row>
    <row r="160" spans="27:142" ht="12.75" customHeight="1">
      <c r="AA160" s="403">
        <v>2011</v>
      </c>
      <c r="AB160" s="403" t="s">
        <v>569</v>
      </c>
      <c r="AC160" s="404"/>
      <c r="AD160" s="405"/>
      <c r="AE160" s="406">
        <f>IVA!AE143*0.21</f>
        <v>108472.34999999999</v>
      </c>
      <c r="AF160" s="407">
        <f>IVA!AF143*0.21</f>
        <v>144702.18</v>
      </c>
      <c r="AG160" s="406">
        <f>IVA!AG143*0.21</f>
        <v>137062.59</v>
      </c>
      <c r="AH160" s="406">
        <f>IVA!AH143*0.21</f>
        <v>127158.15</v>
      </c>
      <c r="AI160" s="406">
        <f>IVA!AI143*0.21</f>
        <v>137623.5</v>
      </c>
      <c r="AJ160" s="406">
        <f>IVA!AJ143*0.21</f>
        <v>111207.39</v>
      </c>
      <c r="AK160" s="406">
        <f>IVA!AK143*0.21</f>
        <v>102120.48</v>
      </c>
      <c r="AL160" s="406">
        <f>IVA!AL143*0.21</f>
        <v>148849.47</v>
      </c>
      <c r="AM160" s="406">
        <f>IVA!AM143*0.21</f>
        <v>135061.91999999998</v>
      </c>
      <c r="AN160" s="406">
        <f>IVA!AN143*0.21</f>
        <v>170928.24</v>
      </c>
      <c r="AO160" s="406">
        <f>IVA!AO143*0.21</f>
        <v>163566.06</v>
      </c>
      <c r="AP160" s="406">
        <f>IVA!AP143*0.21</f>
        <v>206348.52</v>
      </c>
      <c r="AQ160" s="153">
        <f>IVA!AE160+IVA!AF160+IVA!AG160</f>
        <v>390237.12</v>
      </c>
      <c r="AR160" s="153">
        <f>IVA!AH160+IVA!AI160+IVA!AJ160</f>
        <v>375989.04000000004</v>
      </c>
      <c r="AS160" s="153">
        <f>IVA!AK160+IVA!AL160+IVA!AM160</f>
        <v>386031.87</v>
      </c>
      <c r="AT160" s="153">
        <f>IVA!AN160+IVA!AO160+IVA!AP160</f>
        <v>540842.81999999995</v>
      </c>
      <c r="AU160" s="408">
        <f>IVA!AQ160+IVA!AR160+IVA!AS160+IVA!AT160</f>
        <v>1693100.85</v>
      </c>
      <c r="AV160" s="128">
        <f>IVA!AQ160/IVA!CJ20</f>
        <v>2.4894239528445121E-4</v>
      </c>
      <c r="AW160" s="128">
        <f>IVA!AR160/IVA!CK20</f>
        <v>1.9025596560559476E-4</v>
      </c>
      <c r="AX160" s="128">
        <f>IVA!AS160/IVA!CL20</f>
        <v>2.0694422264654874E-4</v>
      </c>
      <c r="AY160" s="128">
        <f>IVA!AT160/IVA!CM20</f>
        <v>2.7609655746830137E-4</v>
      </c>
      <c r="AZ160" s="269">
        <f>IVA!AU160/IVA!CN20</f>
        <v>9.1915336850256443E-4</v>
      </c>
      <c r="BA160" s="264">
        <v>2010</v>
      </c>
      <c r="BB160" s="429" t="s">
        <v>571</v>
      </c>
      <c r="BC160" s="430"/>
      <c r="BD160" s="430"/>
      <c r="BE160" s="430"/>
      <c r="BF160" s="431">
        <v>15047.55055</v>
      </c>
      <c r="BG160" s="431">
        <v>4676.6035499999998</v>
      </c>
      <c r="BH160" s="431">
        <v>6296.7615999999998</v>
      </c>
      <c r="BI160" s="431">
        <v>8877.4015999999992</v>
      </c>
      <c r="BJ160" s="431">
        <v>7670.1459500000001</v>
      </c>
      <c r="BK160" s="431">
        <v>7344.34015</v>
      </c>
      <c r="BL160" s="431">
        <v>5401.6021000000001</v>
      </c>
      <c r="BM160" s="431">
        <v>7995.9517500000002</v>
      </c>
      <c r="BN160" s="431">
        <v>9571.7550499999998</v>
      </c>
      <c r="BO160" s="431">
        <v>7015.3085499999997</v>
      </c>
      <c r="BP160" s="431">
        <v>10281.431049999999</v>
      </c>
      <c r="BQ160" s="432">
        <v>7919.3389999999999</v>
      </c>
      <c r="BR160" s="173">
        <f>IVA!BF160+IVA!BG160+IVA!BH160</f>
        <v>26020.915699999998</v>
      </c>
      <c r="BS160" s="173">
        <f>IVA!BI160+IVA!BJ160+IVA!BK160</f>
        <v>23891.887699999999</v>
      </c>
      <c r="BT160" s="173">
        <f>IVA!BL160+IVA!BM160+IVA!BN160</f>
        <v>22969.3089</v>
      </c>
      <c r="BU160" s="174">
        <f>IVA!BO160+IVA!BP160+IVA!BQ160</f>
        <v>25216.078600000001</v>
      </c>
      <c r="BV160" s="135">
        <f>IVA!BR160+IVA!BS160+IVA!BT160+IVA!BU160</f>
        <v>98098.190899999987</v>
      </c>
      <c r="BW160" s="136">
        <f>IVA!BR160/IVA!CJ19</f>
        <v>2.1374504530627633E-5</v>
      </c>
      <c r="BX160" s="137">
        <f>IVA!BS160/IVA!CK19</f>
        <v>1.5840426156791707E-5</v>
      </c>
      <c r="BY160" s="136">
        <f>IVA!BT160/IVA!CL19</f>
        <v>1.5669546266710853E-5</v>
      </c>
      <c r="BZ160" s="136">
        <f>IVA!BU160/IVA!CM19</f>
        <v>1.5968655798516278E-5</v>
      </c>
      <c r="CA160" s="271">
        <f>IVA!BV160/IVA!CN19</f>
        <v>6.799835383790049E-5</v>
      </c>
      <c r="CI160" s="53">
        <v>2006</v>
      </c>
      <c r="CJ160" s="376">
        <f>IVA!CJ136+IVA!CJ112</f>
        <v>12938651.898585202</v>
      </c>
      <c r="CK160" s="376">
        <f>IVA!CK136+IVA!CK112</f>
        <v>13437576.781161573</v>
      </c>
      <c r="CL160" s="376">
        <f>IVA!CL136+IVA!CL112</f>
        <v>14811905.614852166</v>
      </c>
      <c r="CM160" s="376">
        <f>IVA!CM136+IVA!CM112</f>
        <v>15421988.825766463</v>
      </c>
      <c r="CN160" s="377">
        <f>IVA!CN136+IVA!CN112</f>
        <v>49695551.320372462</v>
      </c>
      <c r="CO160" s="375">
        <f>35609272116/1000</f>
        <v>35609272.115999997</v>
      </c>
      <c r="CP160" s="376">
        <v>31684381.116</v>
      </c>
      <c r="CQ160" s="376">
        <f>IVA!CN160-IVA!CP160</f>
        <v>18011170.204372462</v>
      </c>
    </row>
    <row r="161" spans="27:95" ht="12.75" customHeight="1">
      <c r="AA161" s="418">
        <v>2012</v>
      </c>
      <c r="AB161" s="418" t="s">
        <v>569</v>
      </c>
      <c r="AC161" s="419"/>
      <c r="AD161" s="420"/>
      <c r="AE161" s="421">
        <f>IVA!AE144*0.21</f>
        <v>160567.7238333</v>
      </c>
      <c r="AF161" s="422">
        <f>IVA!AF144*0.21</f>
        <v>202221.95103809997</v>
      </c>
      <c r="AG161" s="421">
        <f>IVA!AG144*0.21</f>
        <v>196992.06010050001</v>
      </c>
      <c r="AH161" s="421">
        <f>IVA!AH144*0.21</f>
        <v>181777.29188219999</v>
      </c>
      <c r="AI161" s="421">
        <f>IVA!AI144*0.21</f>
        <v>166385.00148479998</v>
      </c>
      <c r="AJ161" s="421">
        <f>IVA!AJ144*0.21</f>
        <v>156851.19089639999</v>
      </c>
      <c r="AK161" s="421">
        <f>IVA!AK144*0.21</f>
        <v>229433.7966081</v>
      </c>
      <c r="AL161" s="421">
        <f>IVA!AL144*0.21</f>
        <v>210884.8939386</v>
      </c>
      <c r="AM161" s="421">
        <f>IVA!AM144*0.21</f>
        <v>211119.8389419</v>
      </c>
      <c r="AN161" s="421">
        <f>IVA!AN144*0.21</f>
        <v>198958.05811770001</v>
      </c>
      <c r="AO161" s="421">
        <f>IVA!AO144*0.21</f>
        <v>201243.9011058</v>
      </c>
      <c r="AP161" s="421">
        <f>IVA!AP144*0.21</f>
        <v>266973.14537039999</v>
      </c>
      <c r="AQ161" s="325">
        <f>IVA!AE161+IVA!AF161+IVA!AG161</f>
        <v>559781.7349719</v>
      </c>
      <c r="AR161" s="325">
        <f>IVA!AH161+IVA!AI161+IVA!AJ161</f>
        <v>505013.48426339997</v>
      </c>
      <c r="AS161" s="325">
        <f>IVA!AK161+IVA!AL161+IVA!AM161</f>
        <v>651438.52948860009</v>
      </c>
      <c r="AT161" s="325">
        <f>IVA!AN161+IVA!AO161+IVA!AP161</f>
        <v>667175.10459390003</v>
      </c>
      <c r="AU161" s="423">
        <f>IVA!AQ161+IVA!AR161+IVA!AS161+IVA!AT161</f>
        <v>2383408.8533178</v>
      </c>
      <c r="AV161" s="250">
        <f>IVA!AQ161/IVA!CJ21</f>
        <v>2.9856060875278344E-4</v>
      </c>
      <c r="AW161" s="250">
        <f>IVA!AR161/IVA!CK21</f>
        <v>2.2216346767010855E-4</v>
      </c>
      <c r="AX161" s="250">
        <f>IVA!AS161/IVA!CL21</f>
        <v>2.9842673745864061E-4</v>
      </c>
      <c r="AY161" s="250">
        <f>IVA!AT161/IVA!CM21</f>
        <v>2.8683645283429583E-4</v>
      </c>
      <c r="AZ161" s="294">
        <f>IVA!AU161/IVA!CN21</f>
        <v>1.1012652859101607E-3</v>
      </c>
      <c r="BA161" s="264">
        <v>2011</v>
      </c>
      <c r="BB161" s="429" t="s">
        <v>571</v>
      </c>
      <c r="BC161" s="430"/>
      <c r="BD161" s="430"/>
      <c r="BE161" s="430"/>
      <c r="BF161" s="431">
        <v>10487.882250000001</v>
      </c>
      <c r="BG161" s="431">
        <v>14872.5509</v>
      </c>
      <c r="BH161" s="431">
        <v>8312.8865999999998</v>
      </c>
      <c r="BI161" s="431">
        <v>7460.4689500000004</v>
      </c>
      <c r="BJ161" s="431">
        <v>8542.7248500000005</v>
      </c>
      <c r="BK161" s="431">
        <v>12120.137049999999</v>
      </c>
      <c r="BL161" s="431">
        <v>7768.5328499999996</v>
      </c>
      <c r="BM161" s="431">
        <v>13259.650900000001</v>
      </c>
      <c r="BN161" s="431">
        <v>7158.8566499999997</v>
      </c>
      <c r="BO161" s="431">
        <v>15080.615</v>
      </c>
      <c r="BP161" s="431">
        <v>9231.4331500000008</v>
      </c>
      <c r="BQ161" s="432">
        <v>12525.7814</v>
      </c>
      <c r="BR161" s="173">
        <f>IVA!BF161+IVA!BG161+IVA!BH161</f>
        <v>33673.319750000002</v>
      </c>
      <c r="BS161" s="173">
        <f>IVA!BI161+IVA!BJ161+IVA!BK161</f>
        <v>28123.330849999998</v>
      </c>
      <c r="BT161" s="173">
        <f>IVA!BL161+IVA!BM161+IVA!BN161</f>
        <v>28187.040399999998</v>
      </c>
      <c r="BU161" s="174">
        <f>IVA!BO161+IVA!BP161+IVA!BQ161</f>
        <v>36837.829550000002</v>
      </c>
      <c r="BV161" s="135">
        <f>IVA!BR161+IVA!BS161+IVA!BT161+IVA!BU161</f>
        <v>126821.52054999999</v>
      </c>
      <c r="BW161" s="136">
        <f>IVA!BR161/IVA!CJ20</f>
        <v>2.1481085335357687E-5</v>
      </c>
      <c r="BX161" s="137">
        <f>IVA!BS161/IVA!CK20</f>
        <v>1.4230817650728226E-5</v>
      </c>
      <c r="BY161" s="136">
        <f>IVA!BT161/IVA!CL20</f>
        <v>1.511052743983253E-5</v>
      </c>
      <c r="BZ161" s="136">
        <f>IVA!BU161/IVA!CM20</f>
        <v>1.8805459825387101E-5</v>
      </c>
      <c r="CA161" s="271">
        <f>IVA!BV161/IVA!CN20</f>
        <v>6.8849075240940124E-5</v>
      </c>
      <c r="CI161" s="53">
        <v>2007</v>
      </c>
      <c r="CJ161" s="376">
        <f>IVA!CJ137+IVA!CJ113</f>
        <v>17486356.311450236</v>
      </c>
      <c r="CK161" s="376">
        <f>IVA!CK137+IVA!CK113</f>
        <v>18034151.612197153</v>
      </c>
      <c r="CL161" s="376">
        <f>IVA!CL137+IVA!CL113</f>
        <v>20314563.998209395</v>
      </c>
      <c r="CM161" s="376">
        <f>IVA!CM137+IVA!CM113</f>
        <v>20479853.511643536</v>
      </c>
      <c r="CN161" s="377">
        <f>IVA!CN137+IVA!CN113</f>
        <v>67676739.149327025</v>
      </c>
      <c r="CO161" s="375">
        <f>47175129941/1000</f>
        <v>47175129.941</v>
      </c>
      <c r="CP161" s="376">
        <v>41908535.700000003</v>
      </c>
      <c r="CQ161" s="376">
        <f>IVA!CN161-IVA!CP161</f>
        <v>25768203.449327022</v>
      </c>
    </row>
    <row r="162" spans="27:95" ht="12.75" customHeight="1">
      <c r="AA162" s="121">
        <v>1996</v>
      </c>
      <c r="AB162" s="121" t="s">
        <v>575</v>
      </c>
      <c r="AC162" s="122"/>
      <c r="AD162" s="123"/>
      <c r="AE162" s="433">
        <v>0</v>
      </c>
      <c r="AF162" s="433">
        <v>0</v>
      </c>
      <c r="AG162" s="433">
        <v>0</v>
      </c>
      <c r="AH162" s="433">
        <v>0</v>
      </c>
      <c r="AI162" s="433">
        <v>0</v>
      </c>
      <c r="AJ162" s="433">
        <v>0</v>
      </c>
      <c r="AK162" s="433">
        <v>0</v>
      </c>
      <c r="AL162" s="433">
        <v>0</v>
      </c>
      <c r="AM162" s="433">
        <v>0</v>
      </c>
      <c r="AN162" s="433">
        <v>0</v>
      </c>
      <c r="AO162" s="433">
        <v>0</v>
      </c>
      <c r="AP162" s="433">
        <v>0</v>
      </c>
      <c r="AQ162" s="153">
        <f>IVA!AE162+IVA!AF162+IVA!AG162</f>
        <v>0</v>
      </c>
      <c r="AR162" s="153">
        <f>IVA!AH162+IVA!AI162+IVA!AJ162</f>
        <v>0</v>
      </c>
      <c r="AS162" s="153">
        <f>IVA!AK162+IVA!AL162+IVA!AM162</f>
        <v>0</v>
      </c>
      <c r="AT162" s="153">
        <f>IVA!AN162+IVA!AO162+IVA!AP162</f>
        <v>0</v>
      </c>
      <c r="AU162" s="127">
        <f>IVA!AQ162+IVA!AR162+IVA!AS162+IVA!AT162</f>
        <v>0</v>
      </c>
      <c r="AV162" s="250"/>
      <c r="AW162" s="250"/>
      <c r="AX162" s="250"/>
      <c r="AY162" s="250"/>
      <c r="AZ162" s="294"/>
      <c r="BA162" s="295">
        <v>2012</v>
      </c>
      <c r="BB162" s="434" t="s">
        <v>571</v>
      </c>
      <c r="BC162" s="435"/>
      <c r="BD162" s="435"/>
      <c r="BE162" s="435"/>
      <c r="BF162" s="436">
        <v>17678.466336545</v>
      </c>
      <c r="BG162" s="436">
        <v>16721.446589298001</v>
      </c>
      <c r="BH162" s="436">
        <v>11467.176799471499</v>
      </c>
      <c r="BI162" s="436">
        <v>13354.3534122075</v>
      </c>
      <c r="BJ162" s="436">
        <v>12513.159384921501</v>
      </c>
      <c r="BK162" s="436">
        <v>13936.799126346001</v>
      </c>
      <c r="BL162" s="436">
        <v>10872.93002829</v>
      </c>
      <c r="BM162" s="436">
        <v>15701.524709791</v>
      </c>
      <c r="BN162" s="436">
        <v>15108.4564039945</v>
      </c>
      <c r="BO162" s="436">
        <v>14713.6095646575</v>
      </c>
      <c r="BP162" s="436">
        <v>18048.716781526498</v>
      </c>
      <c r="BQ162" s="437">
        <v>13526.0784558535</v>
      </c>
      <c r="BR162" s="257">
        <f>IVA!BF162+IVA!BG162+IVA!BH162</f>
        <v>45867.089725314501</v>
      </c>
      <c r="BS162" s="257">
        <f>IVA!BI162+IVA!BJ162+IVA!BK162</f>
        <v>39804.311923474997</v>
      </c>
      <c r="BT162" s="257">
        <f>IVA!BL162+IVA!BM162+IVA!BN162</f>
        <v>41682.9111420755</v>
      </c>
      <c r="BU162" s="258">
        <f>IVA!BO162+IVA!BP162+IVA!BQ162</f>
        <v>46288.404802037498</v>
      </c>
      <c r="BV162" s="259">
        <f>IVA!BR162+IVA!BS162+IVA!BT162+IVA!BU162</f>
        <v>173642.71759290248</v>
      </c>
      <c r="BW162" s="262">
        <f>IVA!BR162/IVA!CJ21</f>
        <v>2.44632959144261E-5</v>
      </c>
      <c r="BX162" s="261">
        <f>IVA!BS162/IVA!CK21</f>
        <v>1.7510550194595548E-5</v>
      </c>
      <c r="BY162" s="262">
        <f>IVA!BT162/IVA!CL21</f>
        <v>1.9095117369973884E-5</v>
      </c>
      <c r="BZ162" s="262">
        <f>IVA!BU162/IVA!CM21</f>
        <v>1.9900625412058902E-5</v>
      </c>
      <c r="CA162" s="301">
        <f>IVA!BV162/IVA!CN21</f>
        <v>8.0232435475755594E-5</v>
      </c>
      <c r="CI162" s="53">
        <v>2008</v>
      </c>
      <c r="CJ162" s="376">
        <f>IVA!CJ138+IVA!CJ114</f>
        <v>23532743.982191745</v>
      </c>
      <c r="CK162" s="376">
        <f>IVA!CK138+IVA!CK114</f>
        <v>24943262.756579034</v>
      </c>
      <c r="CL162" s="376">
        <f>IVA!CL138+IVA!CL114</f>
        <v>27816278.721036591</v>
      </c>
      <c r="CM162" s="376">
        <f>IVA!CM138+IVA!CM114</f>
        <v>27557139.269731633</v>
      </c>
      <c r="CN162" s="377">
        <f>IVA!CN138+IVA!CN114</f>
        <v>92189520.266404599</v>
      </c>
      <c r="CO162" s="375">
        <f>68300033000/1000</f>
        <v>68300033</v>
      </c>
      <c r="CP162" s="376">
        <v>60508991.805</v>
      </c>
      <c r="CQ162" s="376">
        <f>IVA!CN162-IVA!CP162</f>
        <v>31680528.461404599</v>
      </c>
    </row>
    <row r="163" spans="27:95" ht="12.75" customHeight="1">
      <c r="AA163" s="121">
        <v>1997</v>
      </c>
      <c r="AB163" s="121" t="s">
        <v>575</v>
      </c>
      <c r="AC163" s="122"/>
      <c r="AD163" s="123"/>
      <c r="AE163" s="433">
        <v>0</v>
      </c>
      <c r="AF163" s="433">
        <v>0</v>
      </c>
      <c r="AG163" s="433">
        <v>0</v>
      </c>
      <c r="AH163" s="433">
        <v>0</v>
      </c>
      <c r="AI163" s="433">
        <v>0</v>
      </c>
      <c r="AJ163" s="433">
        <v>0</v>
      </c>
      <c r="AK163" s="433">
        <v>0</v>
      </c>
      <c r="AL163" s="433">
        <v>0</v>
      </c>
      <c r="AM163" s="433">
        <v>0</v>
      </c>
      <c r="AN163" s="433">
        <v>0</v>
      </c>
      <c r="AO163" s="433">
        <v>0</v>
      </c>
      <c r="AP163" s="433">
        <v>0</v>
      </c>
      <c r="AQ163" s="153">
        <f>IVA!AE163+IVA!AF163+IVA!AG163</f>
        <v>0</v>
      </c>
      <c r="AR163" s="153">
        <f>IVA!AH163+IVA!AI163+IVA!AJ163</f>
        <v>0</v>
      </c>
      <c r="AS163" s="153">
        <f>IVA!AK163+IVA!AL163+IVA!AM163</f>
        <v>0</v>
      </c>
      <c r="AT163" s="153">
        <f>IVA!AN163+IVA!AO163+IVA!AP163</f>
        <v>0</v>
      </c>
      <c r="AU163" s="127">
        <f>IVA!AQ163+IVA!AR163+IVA!AS163+IVA!AT163</f>
        <v>0</v>
      </c>
      <c r="AV163" s="128">
        <f>IVA!AQ163/IVA!CJ6</f>
        <v>0</v>
      </c>
      <c r="AW163" s="128">
        <f>IVA!AR163/IVA!CK6</f>
        <v>0</v>
      </c>
      <c r="AX163" s="128">
        <f>IVA!AS163/IVA!CL6</f>
        <v>0</v>
      </c>
      <c r="AY163" s="128">
        <f>IVA!AT163/IVA!CM6</f>
        <v>0</v>
      </c>
      <c r="AZ163" s="269">
        <f>IVA!AU163/IVA!CN6</f>
        <v>0</v>
      </c>
      <c r="BA163" s="264">
        <v>1996</v>
      </c>
      <c r="BB163" s="368" t="s">
        <v>576</v>
      </c>
      <c r="BC163" s="369"/>
      <c r="BD163" s="369"/>
      <c r="BE163" s="369"/>
      <c r="BF163" s="370">
        <f>IVA!BF146+IVA!BF129+IVA!BF112+IVA!BF95+IVA!BF78+IVA!BF43+IVA!BF26+IVA!BF9</f>
        <v>1793336.1666666665</v>
      </c>
      <c r="BG163" s="370">
        <f>IVA!BG146+IVA!BG129+IVA!BG112+IVA!BG95+IVA!BG78+IVA!BG43+IVA!BG26+IVA!BG9</f>
        <v>1809247.8166666667</v>
      </c>
      <c r="BH163" s="370">
        <f>IVA!BH146+IVA!BH129+IVA!BH112+IVA!BH95+IVA!BH78+IVA!BH43+IVA!BH26+IVA!BH9</f>
        <v>1795922.5866666667</v>
      </c>
      <c r="BI163" s="370">
        <f>IVA!BI146+IVA!BI129+IVA!BI112+IVA!BI95+IVA!BI78+IVA!BI43+IVA!BI26+IVA!BI9</f>
        <v>1723692.1166666667</v>
      </c>
      <c r="BJ163" s="370">
        <f>IVA!BJ146+IVA!BJ129+IVA!BJ112+IVA!BJ95+IVA!BJ78+IVA!BJ43+IVA!BJ26+IVA!BJ9</f>
        <v>1912376.3166666667</v>
      </c>
      <c r="BK163" s="370">
        <f>IVA!BK146+IVA!BK129+IVA!BK112+IVA!BK95+IVA!BK78+IVA!BK43+IVA!BK26+IVA!BK9</f>
        <v>1995148.8466666667</v>
      </c>
      <c r="BL163" s="370">
        <f>IVA!BL146+IVA!BL129+IVA!BL112+IVA!BL95+IVA!BL78+IVA!BL43+IVA!BL26+IVA!BL9</f>
        <v>1831660.2766666668</v>
      </c>
      <c r="BM163" s="370">
        <f>IVA!BM146+IVA!BM129+IVA!BM112+IVA!BM95+IVA!BM78+IVA!BM43+IVA!BM26+IVA!BM9</f>
        <v>1845048.0866666667</v>
      </c>
      <c r="BN163" s="370">
        <f>IVA!BN146+IVA!BN129+IVA!BN112+IVA!BN95+IVA!BN78+IVA!BN43+IVA!BN26+IVA!BN9</f>
        <v>1636161.8466666667</v>
      </c>
      <c r="BO163" s="370">
        <f>IVA!BO146+IVA!BO129+IVA!BO112+IVA!BO95+IVA!BO78+IVA!BO43+IVA!BO26+IVA!BO9</f>
        <v>1977331.6366666667</v>
      </c>
      <c r="BP163" s="370">
        <f>IVA!BP146+IVA!BP129+IVA!BP112+IVA!BP95+IVA!BP78+IVA!BP43+IVA!BP26+IVA!BP9</f>
        <v>1930706.9466666665</v>
      </c>
      <c r="BQ163" s="371">
        <f>IVA!BQ146+IVA!BQ129+IVA!BQ112+IVA!BQ95+IVA!BQ78+IVA!BQ43+IVA!BQ26+IVA!BQ9</f>
        <v>1790628.4466666668</v>
      </c>
      <c r="BR163" s="173">
        <f>IVA!BF163+IVA!BG163+IVA!BH163</f>
        <v>5398506.5700000003</v>
      </c>
      <c r="BS163" s="173">
        <f>IVA!BI163+IVA!BJ163+IVA!BK163</f>
        <v>5631217.2800000003</v>
      </c>
      <c r="BT163" s="173">
        <f>IVA!BL163+IVA!BM163+IVA!BN163</f>
        <v>5312870.21</v>
      </c>
      <c r="BU163" s="174">
        <f>IVA!BO163+IVA!BP163+IVA!BQ163</f>
        <v>5698667.0299999993</v>
      </c>
      <c r="BV163" s="135">
        <f>IVA!BR163+IVA!BS163+IVA!BT163+IVA!BU163</f>
        <v>22041261.090000004</v>
      </c>
      <c r="BW163" s="262"/>
      <c r="BX163" s="261"/>
      <c r="BY163" s="262"/>
      <c r="BZ163" s="262"/>
      <c r="CA163" s="301"/>
      <c r="CI163" s="53">
        <v>2009</v>
      </c>
      <c r="CJ163" s="376">
        <f>IVA!CJ139+IVA!CJ115</f>
        <v>28818934.147880003</v>
      </c>
      <c r="CK163" s="376">
        <f>IVA!CK139+IVA!CK115</f>
        <v>28542380.621092498</v>
      </c>
      <c r="CL163" s="376">
        <f>IVA!CL139+IVA!CL115</f>
        <v>31973733.489109501</v>
      </c>
      <c r="CM163" s="376">
        <f>IVA!CM139+IVA!CM115</f>
        <v>31929621.4784295</v>
      </c>
      <c r="CN163" s="377">
        <f>IVA!CN139+IVA!CN115</f>
        <v>108542927.8379465</v>
      </c>
      <c r="CO163" s="375">
        <f>97630595000/1000</f>
        <v>97630595</v>
      </c>
      <c r="CP163" s="376">
        <v>86799722.062999994</v>
      </c>
      <c r="CQ163" s="376">
        <f>IVA!CN163-IVA!CP163</f>
        <v>21743205.774946511</v>
      </c>
    </row>
    <row r="164" spans="27:95" ht="12.75" customHeight="1">
      <c r="AA164" s="121">
        <v>1998</v>
      </c>
      <c r="AB164" s="121" t="s">
        <v>575</v>
      </c>
      <c r="AC164" s="122"/>
      <c r="AD164" s="123"/>
      <c r="AE164" s="433">
        <v>0</v>
      </c>
      <c r="AF164" s="433">
        <v>0</v>
      </c>
      <c r="AG164" s="433">
        <v>0</v>
      </c>
      <c r="AH164" s="433">
        <v>0</v>
      </c>
      <c r="AI164" s="433">
        <v>0</v>
      </c>
      <c r="AJ164" s="433">
        <v>0</v>
      </c>
      <c r="AK164" s="433">
        <v>0</v>
      </c>
      <c r="AL164" s="433">
        <v>0</v>
      </c>
      <c r="AM164" s="433">
        <v>0</v>
      </c>
      <c r="AN164" s="433">
        <v>15349</v>
      </c>
      <c r="AO164" s="433">
        <v>24646</v>
      </c>
      <c r="AP164" s="433">
        <v>22162</v>
      </c>
      <c r="AQ164" s="153">
        <f>IVA!AE164+IVA!AF164+IVA!AG164</f>
        <v>0</v>
      </c>
      <c r="AR164" s="153">
        <f>IVA!AH164+IVA!AI164+IVA!AJ164</f>
        <v>0</v>
      </c>
      <c r="AS164" s="153">
        <f>IVA!AK164+IVA!AL164+IVA!AM164</f>
        <v>0</v>
      </c>
      <c r="AT164" s="153">
        <f>IVA!AN164+IVA!AO164+IVA!AP164</f>
        <v>62157</v>
      </c>
      <c r="AU164" s="127">
        <f>IVA!AQ164+IVA!AR164+IVA!AS164+IVA!AT164</f>
        <v>62157</v>
      </c>
      <c r="AV164" s="128">
        <f>IVA!AQ164/IVA!CJ7</f>
        <v>0</v>
      </c>
      <c r="AW164" s="128">
        <f>IVA!AR164/IVA!CK7</f>
        <v>0</v>
      </c>
      <c r="AX164" s="128">
        <f>IVA!AS164/IVA!CL7</f>
        <v>0</v>
      </c>
      <c r="AY164" s="128">
        <f>IVA!AT164/IVA!CM7</f>
        <v>2.103983485896735E-4</v>
      </c>
      <c r="AZ164" s="269">
        <f>IVA!AU164/IVA!CN7</f>
        <v>2.0791885361273567E-4</v>
      </c>
      <c r="BA164" s="270">
        <v>1997</v>
      </c>
      <c r="BB164" s="368" t="s">
        <v>576</v>
      </c>
      <c r="BC164" s="369"/>
      <c r="BD164" s="369"/>
      <c r="BE164" s="369"/>
      <c r="BF164" s="370">
        <f>IVA!BF147+IVA!BF130+IVA!BF113+IVA!BF96+IVA!BF79+IVA!BF44+IVA!BF27+IVA!BF10</f>
        <v>2078488.2388312384</v>
      </c>
      <c r="BG164" s="370">
        <f>IVA!BG147+IVA!BG130+IVA!BG113+IVA!BG96+IVA!BG79+IVA!BG44+IVA!BG27+IVA!BG10</f>
        <v>1819904.7459062061</v>
      </c>
      <c r="BH164" s="370">
        <f>IVA!BH147+IVA!BH130+IVA!BH113+IVA!BH96+IVA!BH79+IVA!BH44+IVA!BH27+IVA!BH10</f>
        <v>1828072.8278170901</v>
      </c>
      <c r="BI164" s="370">
        <f>IVA!BI147+IVA!BI130+IVA!BI113+IVA!BI96+IVA!BI79+IVA!BI44+IVA!BI27+IVA!BI10</f>
        <v>1947960.6971095493</v>
      </c>
      <c r="BJ164" s="370">
        <f>IVA!BJ147+IVA!BJ130+IVA!BJ113+IVA!BJ96+IVA!BJ79+IVA!BJ44+IVA!BJ27+IVA!BJ10</f>
        <v>2448618.8695087545</v>
      </c>
      <c r="BK164" s="370">
        <f>IVA!BK147+IVA!BK130+IVA!BK113+IVA!BK96+IVA!BK79+IVA!BK44+IVA!BK27+IVA!BK10</f>
        <v>1989191.6953872887</v>
      </c>
      <c r="BL164" s="370">
        <f>IVA!BL147+IVA!BL130+IVA!BL113+IVA!BL96+IVA!BL79+IVA!BL44+IVA!BL27+IVA!BL10</f>
        <v>1904199.9150934378</v>
      </c>
      <c r="BM164" s="370">
        <f>IVA!BM147+IVA!BM130+IVA!BM113+IVA!BM96+IVA!BM79+IVA!BM44+IVA!BM27+IVA!BM10</f>
        <v>2046901.7589938983</v>
      </c>
      <c r="BN164" s="370">
        <f>IVA!BN147+IVA!BN130+IVA!BN113+IVA!BN96+IVA!BN79+IVA!BN44+IVA!BN27+IVA!BN10</f>
        <v>2153386.4806560287</v>
      </c>
      <c r="BO164" s="370">
        <f>IVA!BO147+IVA!BO130+IVA!BO113+IVA!BO96+IVA!BO79+IVA!BO44+IVA!BO27+IVA!BO10</f>
        <v>1956793.385018656</v>
      </c>
      <c r="BP164" s="370">
        <f>IVA!BP147+IVA!BP130+IVA!BP113+IVA!BP96+IVA!BP79+IVA!BP44+IVA!BP27+IVA!BP10</f>
        <v>2088710.4875853048</v>
      </c>
      <c r="BQ164" s="371">
        <f>IVA!BQ147+IVA!BQ130+IVA!BQ113+IVA!BQ96+IVA!BQ79+IVA!BQ44+IVA!BQ27+IVA!BQ10</f>
        <v>2031976.0201809553</v>
      </c>
      <c r="BR164" s="173">
        <f>IVA!BF164+IVA!BG164+IVA!BH164</f>
        <v>5726465.8125545345</v>
      </c>
      <c r="BS164" s="173">
        <f>IVA!BI164+IVA!BJ164+IVA!BK164</f>
        <v>6385771.2620055927</v>
      </c>
      <c r="BT164" s="173">
        <f>IVA!BL164+IVA!BM164+IVA!BN164</f>
        <v>6104488.154743365</v>
      </c>
      <c r="BU164" s="174">
        <f>IVA!BO164+IVA!BP164+IVA!BQ164</f>
        <v>6077479.8927849159</v>
      </c>
      <c r="BV164" s="135">
        <f>IVA!BR164+IVA!BS164+IVA!BT164+IVA!BU164</f>
        <v>24294205.12208841</v>
      </c>
      <c r="BW164" s="136">
        <f>IVA!BR164/IVA!CJ6</f>
        <v>2.1110616429088454E-2</v>
      </c>
      <c r="BX164" s="137">
        <f>IVA!BS164/IVA!CK6</f>
        <v>2.1294951809099689E-2</v>
      </c>
      <c r="BY164" s="136">
        <f>IVA!BT164/IVA!CL6</f>
        <v>2.0466659945126323E-2</v>
      </c>
      <c r="BZ164" s="136">
        <f>IVA!BU164/IVA!CM6</f>
        <v>2.0121605547120502E-2</v>
      </c>
      <c r="CA164" s="271">
        <f>IVA!BV164/IVA!CN6</f>
        <v>8.2955331057801812E-2</v>
      </c>
      <c r="CI164" s="53">
        <v>2010</v>
      </c>
      <c r="CJ164" s="376">
        <f>IVA!CJ140+IVA!CJ116</f>
        <v>36120896.608842</v>
      </c>
      <c r="CK164" s="376">
        <f>IVA!CK140+IVA!CK116</f>
        <v>38654024.469321497</v>
      </c>
      <c r="CL164" s="376">
        <f>IVA!CL140+IVA!CL116</f>
        <v>42845471.799398504</v>
      </c>
      <c r="CM164" s="376">
        <f>IVA!CM140+IVA!CM116</f>
        <v>43901945.939339004</v>
      </c>
      <c r="CN164" s="377">
        <f>IVA!CN140+IVA!CN116</f>
        <v>145003711.13062102</v>
      </c>
      <c r="CO164" s="375">
        <f>114995896000/1000</f>
        <v>114995896</v>
      </c>
      <c r="CP164" s="376">
        <v>101813838</v>
      </c>
      <c r="CQ164" s="376">
        <f>IVA!CN164-IVA!CP164</f>
        <v>43189873.130621016</v>
      </c>
    </row>
    <row r="165" spans="27:95" ht="12.75" customHeight="1">
      <c r="AA165" s="121">
        <v>1999</v>
      </c>
      <c r="AB165" s="121" t="s">
        <v>575</v>
      </c>
      <c r="AC165" s="122"/>
      <c r="AD165" s="123"/>
      <c r="AE165" s="433">
        <v>22983</v>
      </c>
      <c r="AF165" s="433">
        <v>24849</v>
      </c>
      <c r="AG165" s="433">
        <v>24929</v>
      </c>
      <c r="AH165" s="433">
        <v>22542</v>
      </c>
      <c r="AI165" s="433">
        <v>22536</v>
      </c>
      <c r="AJ165" s="433">
        <v>21377</v>
      </c>
      <c r="AK165" s="433">
        <v>23345</v>
      </c>
      <c r="AL165" s="433">
        <v>22808</v>
      </c>
      <c r="AM165" s="433">
        <v>23244</v>
      </c>
      <c r="AN165" s="433">
        <v>21985</v>
      </c>
      <c r="AO165" s="433">
        <v>23370</v>
      </c>
      <c r="AP165" s="433">
        <v>22291</v>
      </c>
      <c r="AQ165" s="153">
        <f>IVA!AE165+IVA!AF165+IVA!AG165</f>
        <v>72761</v>
      </c>
      <c r="AR165" s="153">
        <f>IVA!AH165+IVA!AI165+IVA!AJ165</f>
        <v>66455</v>
      </c>
      <c r="AS165" s="153">
        <f>IVA!AK165+IVA!AL165+IVA!AM165</f>
        <v>69397</v>
      </c>
      <c r="AT165" s="153">
        <f>IVA!AN165+IVA!AO165+IVA!AP165</f>
        <v>67646</v>
      </c>
      <c r="AU165" s="127">
        <f>IVA!AQ165+IVA!AR165+IVA!AS165+IVA!AT165</f>
        <v>276259</v>
      </c>
      <c r="AV165" s="128">
        <f>IVA!AQ165/IVA!CJ8</f>
        <v>2.6874265917132661E-4</v>
      </c>
      <c r="AW165" s="128">
        <f>IVA!AR165/IVA!CK8</f>
        <v>2.3008355484791467E-4</v>
      </c>
      <c r="AX165" s="128">
        <f>IVA!AS165/IVA!CL8</f>
        <v>2.4342391898964097E-4</v>
      </c>
      <c r="AY165" s="128">
        <f>IVA!AT165/IVA!CM8</f>
        <v>2.3372239814226583E-4</v>
      </c>
      <c r="AZ165" s="269">
        <f>IVA!AU165/IVA!CN8</f>
        <v>9.7437942118884112E-4</v>
      </c>
      <c r="BA165" s="264">
        <v>1998</v>
      </c>
      <c r="BB165" s="368" t="s">
        <v>576</v>
      </c>
      <c r="BC165" s="369"/>
      <c r="BD165" s="369"/>
      <c r="BE165" s="369"/>
      <c r="BF165" s="370">
        <f>IVA!BF148+IVA!BF131+IVA!BF114+IVA!BF97+IVA!BF80+IVA!BF45+IVA!BF28+IVA!BF11</f>
        <v>2032067.0416597372</v>
      </c>
      <c r="BG165" s="370">
        <f>IVA!BG148+IVA!BG131+IVA!BG114+IVA!BG97+IVA!BG80+IVA!BG45+IVA!BG28+IVA!BG11</f>
        <v>2026559.4275032729</v>
      </c>
      <c r="BH165" s="370">
        <f>IVA!BH148+IVA!BH131+IVA!BH114+IVA!BH97+IVA!BH80+IVA!BH45+IVA!BH28+IVA!BH11</f>
        <v>2070187.3650656892</v>
      </c>
      <c r="BI165" s="370">
        <f>IVA!BI148+IVA!BI131+IVA!BI114+IVA!BI97+IVA!BI80+IVA!BI45+IVA!BI28+IVA!BI11</f>
        <v>1963396.2803293047</v>
      </c>
      <c r="BJ165" s="370">
        <f>IVA!BJ148+IVA!BJ131+IVA!BJ114+IVA!BJ97+IVA!BJ80+IVA!BJ45+IVA!BJ28+IVA!BJ11</f>
        <v>2487428.2041873252</v>
      </c>
      <c r="BK165" s="370">
        <f>IVA!BK148+IVA!BK131+IVA!BK114+IVA!BK97+IVA!BK80+IVA!BK45+IVA!BK28+IVA!BK11</f>
        <v>2388548.1603871183</v>
      </c>
      <c r="BL165" s="370">
        <f>IVA!BL148+IVA!BL131+IVA!BL114+IVA!BL97+IVA!BL80+IVA!BL45+IVA!BL28+IVA!BL11</f>
        <v>2098245.6220078715</v>
      </c>
      <c r="BM165" s="370">
        <f>IVA!BM148+IVA!BM131+IVA!BM114+IVA!BM97+IVA!BM80+IVA!BM45+IVA!BM28+IVA!BM11</f>
        <v>2131347.0179705643</v>
      </c>
      <c r="BN165" s="370">
        <f>IVA!BN148+IVA!BN131+IVA!BN114+IVA!BN97+IVA!BN80+IVA!BN45+IVA!BN28+IVA!BN11</f>
        <v>2099591.0212591039</v>
      </c>
      <c r="BO165" s="370">
        <f>IVA!BO148+IVA!BO131+IVA!BO114+IVA!BO97+IVA!BO80+IVA!BO45+IVA!BO28+IVA!BO11</f>
        <v>1953804.5141940441</v>
      </c>
      <c r="BP165" s="370">
        <f>IVA!BP148+IVA!BP131+IVA!BP114+IVA!BP97+IVA!BP80+IVA!BP45+IVA!BP28+IVA!BP11</f>
        <v>2085171.8727209182</v>
      </c>
      <c r="BQ165" s="371">
        <f>IVA!BQ148+IVA!BQ131+IVA!BQ114+IVA!BQ97+IVA!BQ80+IVA!BQ45+IVA!BQ28+IVA!BQ11</f>
        <v>2080694.3180764737</v>
      </c>
      <c r="BR165" s="173">
        <f>IVA!BF165+IVA!BG165+IVA!BH165</f>
        <v>6128813.8342286991</v>
      </c>
      <c r="BS165" s="173">
        <f>IVA!BI165+IVA!BJ165+IVA!BK165</f>
        <v>6839372.6449037483</v>
      </c>
      <c r="BT165" s="173">
        <f>IVA!BL165+IVA!BM165+IVA!BN165</f>
        <v>6329183.6612375397</v>
      </c>
      <c r="BU165" s="174">
        <f>IVA!BO165+IVA!BP165+IVA!BQ165</f>
        <v>6119670.7049914356</v>
      </c>
      <c r="BV165" s="135">
        <f>IVA!BR165+IVA!BS165+IVA!BT165+IVA!BU165</f>
        <v>25417040.845361426</v>
      </c>
      <c r="BW165" s="136">
        <f>IVA!BR165/IVA!CJ7</f>
        <v>2.1674660968965989E-2</v>
      </c>
      <c r="BX165" s="137">
        <f>IVA!BS165/IVA!CK7</f>
        <v>2.1911998602974901E-2</v>
      </c>
      <c r="BY165" s="136">
        <f>IVA!BT165/IVA!CL7</f>
        <v>2.0719170018902493E-2</v>
      </c>
      <c r="BZ165" s="136">
        <f>IVA!BU165/IVA!CM7</f>
        <v>2.0714780479154416E-2</v>
      </c>
      <c r="CA165" s="271">
        <f>IVA!BV165/IVA!CN7</f>
        <v>8.5021509963409209E-2</v>
      </c>
      <c r="CI165" s="53">
        <v>2011</v>
      </c>
      <c r="CJ165" s="376">
        <f>IVA!CJ141+IVA!CJ117</f>
        <v>48904053.187538505</v>
      </c>
      <c r="CK165" s="376">
        <f>IVA!CK141+IVA!CK117</f>
        <v>52228818.510208495</v>
      </c>
      <c r="CL165" s="376">
        <f>IVA!CL141+IVA!CL117</f>
        <v>57697834.327080004</v>
      </c>
      <c r="CM165" s="376">
        <f>IVA!CM141+IVA!CM117</f>
        <v>57681733.247529499</v>
      </c>
      <c r="CN165" s="377">
        <f>IVA!CN141+IVA!CN117</f>
        <v>194154706.26687148</v>
      </c>
      <c r="CO165" s="375">
        <f>160948903483/1000</f>
        <v>160948903.48300001</v>
      </c>
      <c r="CP165" s="376">
        <v>190817640</v>
      </c>
      <c r="CQ165" s="376">
        <f>IVA!CN165-IVA!CP165</f>
        <v>3337066.2668714821</v>
      </c>
    </row>
    <row r="166" spans="27:95" ht="12.75" customHeight="1">
      <c r="AA166" s="121">
        <v>2000</v>
      </c>
      <c r="AB166" s="121" t="s">
        <v>575</v>
      </c>
      <c r="AC166" s="122"/>
      <c r="AD166" s="123"/>
      <c r="AE166" s="433">
        <v>23077.314920000001</v>
      </c>
      <c r="AF166" s="433">
        <v>22004.096529999999</v>
      </c>
      <c r="AG166" s="433">
        <v>28295.595969999998</v>
      </c>
      <c r="AH166" s="433">
        <v>25012.082979999999</v>
      </c>
      <c r="AI166" s="433">
        <v>28934.564200000001</v>
      </c>
      <c r="AJ166" s="433">
        <v>28291.599279999999</v>
      </c>
      <c r="AK166" s="433">
        <v>27680.8406</v>
      </c>
      <c r="AL166" s="433">
        <v>28615.406299999999</v>
      </c>
      <c r="AM166" s="433">
        <v>27199.888500000001</v>
      </c>
      <c r="AN166" s="433">
        <v>27592.457699999999</v>
      </c>
      <c r="AO166" s="433">
        <v>29494.988099999999</v>
      </c>
      <c r="AP166" s="433">
        <v>25410.87673</v>
      </c>
      <c r="AQ166" s="153">
        <f>IVA!AE166+IVA!AF166+IVA!AG166</f>
        <v>73377.007419999994</v>
      </c>
      <c r="AR166" s="153">
        <f>IVA!AH166+IVA!AI166+IVA!AJ166</f>
        <v>82238.246459999995</v>
      </c>
      <c r="AS166" s="153">
        <f>IVA!AK166+IVA!AL166+IVA!AM166</f>
        <v>83496.135399999999</v>
      </c>
      <c r="AT166" s="153">
        <f>IVA!AN166+IVA!AO166+IVA!AP166</f>
        <v>82498.322530000005</v>
      </c>
      <c r="AU166" s="127">
        <f>IVA!AQ166+IVA!AR166+IVA!AS166+IVA!AT166</f>
        <v>321609.71181000001</v>
      </c>
      <c r="AV166" s="128">
        <f>IVA!AQ166/IVA!CJ9</f>
        <v>2.713205226220585E-4</v>
      </c>
      <c r="AW166" s="128">
        <f>IVA!AR166/IVA!CK9</f>
        <v>2.8183472428250914E-4</v>
      </c>
      <c r="AX166" s="128">
        <f>IVA!AS166/IVA!CL9</f>
        <v>2.9042574247313861E-4</v>
      </c>
      <c r="AY166" s="128">
        <f>IVA!AT166/IVA!CM9</f>
        <v>2.8737148652211277E-4</v>
      </c>
      <c r="AZ166" s="269">
        <f>IVA!AU166/IVA!CN9</f>
        <v>1.1316167499610852E-3</v>
      </c>
      <c r="BA166" s="264">
        <v>1999</v>
      </c>
      <c r="BB166" s="368" t="s">
        <v>576</v>
      </c>
      <c r="BC166" s="369"/>
      <c r="BD166" s="369"/>
      <c r="BE166" s="369"/>
      <c r="BF166" s="370">
        <f>IVA!BF149+IVA!BF132+IVA!BF115+IVA!BF98+IVA!BF81+IVA!BF46+IVA!BF29+IVA!BF12</f>
        <v>2041300.7408848158</v>
      </c>
      <c r="BG166" s="370">
        <f>IVA!BG149+IVA!BG132+IVA!BG115+IVA!BG98+IVA!BG81+IVA!BG46+IVA!BG29+IVA!BG12</f>
        <v>1912416.2896853837</v>
      </c>
      <c r="BH166" s="370">
        <f>IVA!BH149+IVA!BH132+IVA!BH115+IVA!BH98+IVA!BH81+IVA!BH46+IVA!BH29+IVA!BH12</f>
        <v>2069521.056357061</v>
      </c>
      <c r="BI166" s="370">
        <f>IVA!BI149+IVA!BI132+IVA!BI115+IVA!BI98+IVA!BI81+IVA!BI46+IVA!BI29+IVA!BI12</f>
        <v>1938783.7900184856</v>
      </c>
      <c r="BJ166" s="370">
        <f>IVA!BJ149+IVA!BJ132+IVA!BJ115+IVA!BJ98+IVA!BJ81+IVA!BJ46+IVA!BJ29+IVA!BJ12</f>
        <v>2144413.7930642692</v>
      </c>
      <c r="BK166" s="370">
        <f>IVA!BK149+IVA!BK132+IVA!BK115+IVA!BK98+IVA!BK81+IVA!BK46+IVA!BK29+IVA!BK12</f>
        <v>2044238.5360395233</v>
      </c>
      <c r="BL166" s="370">
        <f>IVA!BL149+IVA!BL132+IVA!BL115+IVA!BL98+IVA!BL81+IVA!BL46+IVA!BL29+IVA!BL12</f>
        <v>1880669.2138310676</v>
      </c>
      <c r="BM166" s="370">
        <f>IVA!BM149+IVA!BM132+IVA!BM115+IVA!BM98+IVA!BM81+IVA!BM46+IVA!BM29+IVA!BM12</f>
        <v>2048020.7083026031</v>
      </c>
      <c r="BN166" s="370">
        <f>IVA!BN149+IVA!BN132+IVA!BN115+IVA!BN98+IVA!BN81+IVA!BN46+IVA!BN29+IVA!BN12</f>
        <v>2028879.5628370766</v>
      </c>
      <c r="BO166" s="370">
        <f>IVA!BO149+IVA!BO132+IVA!BO115+IVA!BO98+IVA!BO81+IVA!BO46+IVA!BO29+IVA!BO12</f>
        <v>1979506.1456945776</v>
      </c>
      <c r="BP166" s="370">
        <f>IVA!BP149+IVA!BP132+IVA!BP115+IVA!BP98+IVA!BP81+IVA!BP46+IVA!BP29+IVA!BP12</f>
        <v>2089213.0097297593</v>
      </c>
      <c r="BQ166" s="371">
        <f>IVA!BQ149+IVA!BQ132+IVA!BQ115+IVA!BQ98+IVA!BQ81+IVA!BQ46+IVA!BQ29+IVA!BQ12</f>
        <v>1898645.8467721951</v>
      </c>
      <c r="BR166" s="173">
        <f>IVA!BF166+IVA!BG166+IVA!BH166</f>
        <v>6023238.0869272612</v>
      </c>
      <c r="BS166" s="173">
        <f>IVA!BI166+IVA!BJ166+IVA!BK166</f>
        <v>6127436.1191222779</v>
      </c>
      <c r="BT166" s="173">
        <f>IVA!BL166+IVA!BM166+IVA!BN166</f>
        <v>5957569.4849707475</v>
      </c>
      <c r="BU166" s="174">
        <f>IVA!BO166+IVA!BP166+IVA!BQ166</f>
        <v>5967365.0021965317</v>
      </c>
      <c r="BV166" s="135">
        <f>IVA!BR166+IVA!BS166+IVA!BT166+IVA!BU166</f>
        <v>24075608.693216819</v>
      </c>
      <c r="BW166" s="136">
        <f>IVA!BR166/IVA!CJ8</f>
        <v>2.2246822065431295E-2</v>
      </c>
      <c r="BX166" s="137">
        <f>IVA!BS166/IVA!CK8</f>
        <v>2.1214690909505139E-2</v>
      </c>
      <c r="BY166" s="136">
        <f>IVA!BT166/IVA!CL8</f>
        <v>2.0897371812681764E-2</v>
      </c>
      <c r="BZ166" s="136">
        <f>IVA!BU166/IVA!CM8</f>
        <v>2.061772845258553E-2</v>
      </c>
      <c r="CA166" s="271">
        <f>IVA!BV166/IVA!CN8</f>
        <v>8.49158856843239E-2</v>
      </c>
      <c r="CI166" s="231">
        <v>2012</v>
      </c>
      <c r="CJ166" s="395">
        <f>IVA!CJ142+IVA!CJ118</f>
        <v>63679753.928915195</v>
      </c>
      <c r="CK166" s="395">
        <f>IVA!CK142+IVA!CK118</f>
        <v>65432242.993819609</v>
      </c>
      <c r="CL166" s="395">
        <f>IVA!CL142+IVA!CL118</f>
        <v>73811909.48796694</v>
      </c>
      <c r="CM166" s="395">
        <f>IVA!CM142+IVA!CM118</f>
        <v>75345835.779666156</v>
      </c>
      <c r="CN166" s="396">
        <f>IVA!CN142+IVA!CN118</f>
        <v>251180945.17259008</v>
      </c>
      <c r="CO166" s="398">
        <f>218058376000/1000</f>
        <v>218058376</v>
      </c>
      <c r="CP166" s="395">
        <v>249602518.07100001</v>
      </c>
      <c r="CQ166" s="395">
        <f>IVA!CN166-IVA!CP166</f>
        <v>1578427.1015900671</v>
      </c>
    </row>
    <row r="167" spans="27:95" ht="12.75" customHeight="1">
      <c r="AA167" s="121">
        <v>2001</v>
      </c>
      <c r="AB167" s="121" t="s">
        <v>575</v>
      </c>
      <c r="AC167" s="122"/>
      <c r="AD167" s="123"/>
      <c r="AE167" s="433">
        <v>30561.944159999999</v>
      </c>
      <c r="AF167" s="433">
        <v>25605.32993</v>
      </c>
      <c r="AG167" s="433">
        <v>28897.487809999999</v>
      </c>
      <c r="AH167" s="433">
        <v>24571.330959999999</v>
      </c>
      <c r="AI167" s="433">
        <v>29063.857660000001</v>
      </c>
      <c r="AJ167" s="433">
        <v>26832.427459999999</v>
      </c>
      <c r="AK167" s="433">
        <v>26181.788700000001</v>
      </c>
      <c r="AL167" s="433">
        <v>25700.015039999998</v>
      </c>
      <c r="AM167" s="433">
        <v>23506.630300000001</v>
      </c>
      <c r="AN167" s="433">
        <v>24317.629300000001</v>
      </c>
      <c r="AO167" s="433">
        <v>22879.366480000001</v>
      </c>
      <c r="AP167" s="433">
        <v>16171.6659</v>
      </c>
      <c r="AQ167" s="153">
        <f>IVA!AE167+IVA!AF167+IVA!AG167</f>
        <v>85064.761899999998</v>
      </c>
      <c r="AR167" s="153">
        <f>IVA!AH167+IVA!AI167+IVA!AJ167</f>
        <v>80467.616080000007</v>
      </c>
      <c r="AS167" s="153">
        <f>IVA!AK167+IVA!AL167+IVA!AM167</f>
        <v>75388.434040000007</v>
      </c>
      <c r="AT167" s="153">
        <f>IVA!AN167+IVA!AO167+IVA!AP167</f>
        <v>63368.661679999997</v>
      </c>
      <c r="AU167" s="127">
        <f>IVA!AQ167+IVA!AR167+IVA!AS167+IVA!AT167</f>
        <v>304289.47370000003</v>
      </c>
      <c r="AV167" s="128">
        <f>IVA!AQ167/IVA!CJ10</f>
        <v>3.2303360371547596E-4</v>
      </c>
      <c r="AW167" s="128">
        <f>IVA!AR167/IVA!CK10</f>
        <v>2.7937615028707973E-4</v>
      </c>
      <c r="AX167" s="128">
        <f>IVA!AS167/IVA!CL10</f>
        <v>2.7780964874043443E-4</v>
      </c>
      <c r="AY167" s="128">
        <f>IVA!AT167/IVA!CM10</f>
        <v>2.5140014868335045E-4</v>
      </c>
      <c r="AZ167" s="269">
        <f>IVA!AU167/IVA!CN10</f>
        <v>1.1324644615861613E-3</v>
      </c>
      <c r="BA167" s="264">
        <v>2000</v>
      </c>
      <c r="BB167" s="368" t="s">
        <v>576</v>
      </c>
      <c r="BC167" s="369"/>
      <c r="BD167" s="369"/>
      <c r="BE167" s="369"/>
      <c r="BF167" s="370">
        <f>IVA!BF150+IVA!BF133+IVA!BF116+IVA!BF99+IVA!BF82+IVA!BF47+IVA!BF30+IVA!BF13</f>
        <v>2150520.5990756219</v>
      </c>
      <c r="BG167" s="370">
        <f>IVA!BG150+IVA!BG133+IVA!BG116+IVA!BG99+IVA!BG82+IVA!BG47+IVA!BG30+IVA!BG13</f>
        <v>1799177.4823585204</v>
      </c>
      <c r="BH167" s="370">
        <f>IVA!BH150+IVA!BH133+IVA!BH116+IVA!BH99+IVA!BH82+IVA!BH47+IVA!BH30+IVA!BH13</f>
        <v>2030985.6254408099</v>
      </c>
      <c r="BI167" s="370">
        <f>IVA!BI150+IVA!BI133+IVA!BI116+IVA!BI99+IVA!BI82+IVA!BI47+IVA!BI30+IVA!BI13</f>
        <v>2043850.8926300588</v>
      </c>
      <c r="BJ167" s="370">
        <f>IVA!BJ150+IVA!BJ133+IVA!BJ116+IVA!BJ99+IVA!BJ82+IVA!BJ47+IVA!BJ30+IVA!BJ13</f>
        <v>2283238.1146690389</v>
      </c>
      <c r="BK167" s="370">
        <f>IVA!BK150+IVA!BK133+IVA!BK116+IVA!BK99+IVA!BK82+IVA!BK47+IVA!BK30+IVA!BK13</f>
        <v>2536763.8261868488</v>
      </c>
      <c r="BL167" s="370">
        <f>IVA!BL150+IVA!BL133+IVA!BL116+IVA!BL99+IVA!BL82+IVA!BL47+IVA!BL30+IVA!BL13</f>
        <v>2114111.1384363747</v>
      </c>
      <c r="BM167" s="370">
        <f>IVA!BM150+IVA!BM133+IVA!BM116+IVA!BM99+IVA!BM82+IVA!BM47+IVA!BM30+IVA!BM13</f>
        <v>2193647.3300338821</v>
      </c>
      <c r="BN167" s="370">
        <f>IVA!BN150+IVA!BN133+IVA!BN116+IVA!BN99+IVA!BN82+IVA!BN47+IVA!BN30+IVA!BN13</f>
        <v>2101985.2593616713</v>
      </c>
      <c r="BO167" s="370">
        <f>IVA!BO150+IVA!BO133+IVA!BO116+IVA!BO99+IVA!BO82+IVA!BO47+IVA!BO30+IVA!BO13</f>
        <v>2073297.6945909902</v>
      </c>
      <c r="BP167" s="370">
        <f>IVA!BP150+IVA!BP133+IVA!BP116+IVA!BP99+IVA!BP82+IVA!BP47+IVA!BP30+IVA!BP13</f>
        <v>2056523.6631833185</v>
      </c>
      <c r="BQ167" s="371">
        <f>IVA!BQ150+IVA!BQ133+IVA!BQ116+IVA!BQ99+IVA!BQ82+IVA!BQ47+IVA!BQ30+IVA!BQ13</f>
        <v>2116026.7325205468</v>
      </c>
      <c r="BR167" s="173">
        <f>IVA!BF167+IVA!BG167+IVA!BH167</f>
        <v>5980683.7068749517</v>
      </c>
      <c r="BS167" s="173">
        <f>IVA!BI167+IVA!BJ167+IVA!BK167</f>
        <v>6863852.8334859461</v>
      </c>
      <c r="BT167" s="173">
        <f>IVA!BL167+IVA!BM167+IVA!BN167</f>
        <v>6409743.7278319281</v>
      </c>
      <c r="BU167" s="174">
        <f>IVA!BO167+IVA!BP167+IVA!BQ167</f>
        <v>6245848.0902948556</v>
      </c>
      <c r="BV167" s="135">
        <f>IVA!BR167+IVA!BS167+IVA!BT167+IVA!BU167</f>
        <v>25500128.358487684</v>
      </c>
      <c r="BW167" s="136">
        <f>IVA!BR167/IVA!CJ9</f>
        <v>2.2114314633990592E-2</v>
      </c>
      <c r="BX167" s="137">
        <f>IVA!BS167/IVA!CK9</f>
        <v>2.3522778684029237E-2</v>
      </c>
      <c r="BY167" s="136">
        <f>IVA!BT167/IVA!CL9</f>
        <v>2.2295098716845894E-2</v>
      </c>
      <c r="BZ167" s="136">
        <f>IVA!BU167/IVA!CM9</f>
        <v>2.1756547227328595E-2</v>
      </c>
      <c r="CA167" s="271">
        <f>IVA!BV167/IVA!CN9</f>
        <v>8.9724816499540436E-2</v>
      </c>
      <c r="CO167" s="398">
        <f>287022501303/1000</f>
        <v>287022501.30299997</v>
      </c>
      <c r="CP167" s="28"/>
    </row>
    <row r="168" spans="27:95" ht="12.75" customHeight="1">
      <c r="AA168" s="121">
        <v>2002</v>
      </c>
      <c r="AB168" s="121" t="s">
        <v>575</v>
      </c>
      <c r="AC168" s="122"/>
      <c r="AD168" s="123"/>
      <c r="AE168" s="433">
        <v>18300.812600000001</v>
      </c>
      <c r="AF168" s="433">
        <v>16718.32806</v>
      </c>
      <c r="AG168" s="433">
        <v>17077.139609999998</v>
      </c>
      <c r="AH168" s="433">
        <v>15635.673860000001</v>
      </c>
      <c r="AI168" s="433">
        <v>23381.067510000001</v>
      </c>
      <c r="AJ168" s="433">
        <v>18417.64028</v>
      </c>
      <c r="AK168" s="433">
        <v>21558.053759999999</v>
      </c>
      <c r="AL168" s="433">
        <v>19823.597989999998</v>
      </c>
      <c r="AM168" s="433">
        <v>19376.907810000001</v>
      </c>
      <c r="AN168" s="433">
        <v>20510.929929999998</v>
      </c>
      <c r="AO168" s="433">
        <v>19869.42714</v>
      </c>
      <c r="AP168" s="433">
        <v>20617.148649999999</v>
      </c>
      <c r="AQ168" s="153">
        <f>IVA!AE168+IVA!AF168+IVA!AG168</f>
        <v>52096.280270000003</v>
      </c>
      <c r="AR168" s="153">
        <f>IVA!AH168+IVA!AI168+IVA!AJ168</f>
        <v>57434.381650000003</v>
      </c>
      <c r="AS168" s="153">
        <f>IVA!AK168+IVA!AL168+IVA!AM168</f>
        <v>60758.559559999994</v>
      </c>
      <c r="AT168" s="153">
        <f>IVA!AN168+IVA!AO168+IVA!AP168</f>
        <v>60997.505720000001</v>
      </c>
      <c r="AU168" s="127">
        <f>IVA!AQ168+IVA!AR168+IVA!AS168+IVA!AT168</f>
        <v>231286.72720000002</v>
      </c>
      <c r="AV168" s="128">
        <f>IVA!AQ168/IVA!CJ11</f>
        <v>2.1976267425134042E-4</v>
      </c>
      <c r="AW168" s="128">
        <f>IVA!AR168/IVA!CK11</f>
        <v>1.6941885584316455E-4</v>
      </c>
      <c r="AX168" s="128">
        <f>IVA!AS168/IVA!CL11</f>
        <v>1.8190846142468082E-4</v>
      </c>
      <c r="AY168" s="128">
        <f>IVA!AT168/IVA!CM11</f>
        <v>1.7927291449279159E-4</v>
      </c>
      <c r="AZ168" s="269">
        <f>IVA!AU168/IVA!CN11</f>
        <v>7.3992776490408921E-4</v>
      </c>
      <c r="BA168" s="264">
        <v>2001</v>
      </c>
      <c r="BB168" s="368" t="s">
        <v>576</v>
      </c>
      <c r="BC168" s="369"/>
      <c r="BD168" s="369"/>
      <c r="BE168" s="369"/>
      <c r="BF168" s="370">
        <f>IVA!BF151+IVA!BF134+IVA!BF117+IVA!BF100+IVA!BF83+IVA!BF48+IVA!BF31+IVA!BF14</f>
        <v>2160629.7174210302</v>
      </c>
      <c r="BG168" s="370">
        <f>IVA!BG151+IVA!BG134+IVA!BG117+IVA!BG100+IVA!BG83+IVA!BG48+IVA!BG31+IVA!BG14</f>
        <v>1901574.6252240478</v>
      </c>
      <c r="BH168" s="370">
        <f>IVA!BH151+IVA!BH134+IVA!BH117+IVA!BH100+IVA!BH83+IVA!BH48+IVA!BH31+IVA!BH14</f>
        <v>1887176.13697646</v>
      </c>
      <c r="BI168" s="370">
        <f>IVA!BI151+IVA!BI134+IVA!BI117+IVA!BI100+IVA!BI83+IVA!BI48+IVA!BI31+IVA!BI14</f>
        <v>1855963.5196223636</v>
      </c>
      <c r="BJ168" s="370">
        <f>IVA!BJ151+IVA!BJ134+IVA!BJ117+IVA!BJ100+IVA!BJ83+IVA!BJ48+IVA!BJ31+IVA!BJ14</f>
        <v>2485027.7830939894</v>
      </c>
      <c r="BK168" s="370">
        <f>IVA!BK151+IVA!BK134+IVA!BK117+IVA!BK100+IVA!BK83+IVA!BK48+IVA!BK31+IVA!BK14</f>
        <v>2459236.8554024319</v>
      </c>
      <c r="BL168" s="370">
        <f>IVA!BL151+IVA!BL134+IVA!BL117+IVA!BL100+IVA!BL83+IVA!BL48+IVA!BL31+IVA!BL14</f>
        <v>1799522.8609809112</v>
      </c>
      <c r="BM168" s="370">
        <f>IVA!BM151+IVA!BM134+IVA!BM117+IVA!BM100+IVA!BM83+IVA!BM48+IVA!BM31+IVA!BM14</f>
        <v>1973058.9211321913</v>
      </c>
      <c r="BN168" s="370">
        <f>IVA!BN151+IVA!BN134+IVA!BN117+IVA!BN100+IVA!BN83+IVA!BN48+IVA!BN31+IVA!BN14</f>
        <v>1698273.6684982469</v>
      </c>
      <c r="BO168" s="370">
        <f>IVA!BO151+IVA!BO134+IVA!BO117+IVA!BO100+IVA!BO83+IVA!BO48+IVA!BO31+IVA!BO14</f>
        <v>1662021.6541419262</v>
      </c>
      <c r="BP168" s="370">
        <f>IVA!BP151+IVA!BP134+IVA!BP117+IVA!BP100+IVA!BP83+IVA!BP48+IVA!BP31+IVA!BP14</f>
        <v>1684297.9638706357</v>
      </c>
      <c r="BQ168" s="371">
        <f>IVA!BQ151+IVA!BQ134+IVA!BQ117+IVA!BQ100+IVA!BQ83+IVA!BQ48+IVA!BQ31+IVA!BQ14</f>
        <v>1343461.3968392308</v>
      </c>
      <c r="BR168" s="173">
        <f>IVA!BF168+IVA!BG168+IVA!BH168</f>
        <v>5949380.479621538</v>
      </c>
      <c r="BS168" s="173">
        <f>IVA!BI168+IVA!BJ168+IVA!BK168</f>
        <v>6800228.1581187844</v>
      </c>
      <c r="BT168" s="173">
        <f>IVA!BL168+IVA!BM168+IVA!BN168</f>
        <v>5470855.4506113492</v>
      </c>
      <c r="BU168" s="174">
        <f>IVA!BO168+IVA!BP168+IVA!BQ168</f>
        <v>4689781.0148517927</v>
      </c>
      <c r="BV168" s="135">
        <f>IVA!BR168+IVA!BS168+IVA!BT168+IVA!BU168</f>
        <v>22910245.103203464</v>
      </c>
      <c r="BW168" s="136">
        <f>IVA!BR168/IVA!CJ10</f>
        <v>2.2592784289056502E-2</v>
      </c>
      <c r="BX168" s="137">
        <f>IVA!BS168/IVA!CK10</f>
        <v>2.3609765722402455E-2</v>
      </c>
      <c r="BY168" s="136">
        <f>IVA!BT168/IVA!CL10</f>
        <v>2.0160339585215636E-2</v>
      </c>
      <c r="BZ168" s="136">
        <f>IVA!BU168/IVA!CM10</f>
        <v>1.8605594834555369E-2</v>
      </c>
      <c r="CA168" s="271">
        <f>IVA!BV168/IVA!CN10</f>
        <v>8.5264330935041141E-2</v>
      </c>
    </row>
    <row r="169" spans="27:95" ht="12.75" customHeight="1">
      <c r="AA169" s="121">
        <v>2003</v>
      </c>
      <c r="AB169" s="121" t="s">
        <v>575</v>
      </c>
      <c r="AC169" s="122"/>
      <c r="AD169" s="123"/>
      <c r="AE169" s="433">
        <v>22805.921989999999</v>
      </c>
      <c r="AF169" s="433">
        <v>20776.22496</v>
      </c>
      <c r="AG169" s="433">
        <v>21614.699260000001</v>
      </c>
      <c r="AH169" s="433">
        <v>23841.806400000001</v>
      </c>
      <c r="AI169" s="433">
        <v>23694.170910000001</v>
      </c>
      <c r="AJ169" s="433">
        <v>24309.51928</v>
      </c>
      <c r="AK169" s="433">
        <v>26143.01568</v>
      </c>
      <c r="AL169" s="433">
        <v>26051.877769999999</v>
      </c>
      <c r="AM169" s="433">
        <v>26782.810290000001</v>
      </c>
      <c r="AN169" s="433">
        <v>27752.501029999999</v>
      </c>
      <c r="AO169" s="433">
        <v>26400.529890000002</v>
      </c>
      <c r="AP169" s="433">
        <v>24494.035179999999</v>
      </c>
      <c r="AQ169" s="153">
        <f>IVA!AE169+IVA!AF169+IVA!AG169</f>
        <v>65196.846209999996</v>
      </c>
      <c r="AR169" s="153">
        <f>IVA!AH169+IVA!AI169+IVA!AJ169</f>
        <v>71845.496589999995</v>
      </c>
      <c r="AS169" s="153">
        <f>IVA!AK169+IVA!AL169+IVA!AM169</f>
        <v>78977.703739999997</v>
      </c>
      <c r="AT169" s="153">
        <f>IVA!AN169+IVA!AO169+IVA!AP169</f>
        <v>78647.066099999996</v>
      </c>
      <c r="AU169" s="127">
        <f>IVA!AQ169+IVA!AR169+IVA!AS169+IVA!AT169</f>
        <v>294667.11263999995</v>
      </c>
      <c r="AV169" s="128">
        <f>IVA!AQ169/IVA!CJ12</f>
        <v>1.991582596941612E-4</v>
      </c>
      <c r="AW169" s="128">
        <f>IVA!AR169/IVA!CK12</f>
        <v>1.8001028763110717E-4</v>
      </c>
      <c r="AX169" s="128">
        <f>IVA!AS169/IVA!CL12</f>
        <v>2.0899806817788557E-4</v>
      </c>
      <c r="AY169" s="128">
        <f>IVA!AT169/IVA!CM12</f>
        <v>1.9697734636810809E-4</v>
      </c>
      <c r="AZ169" s="269">
        <f>IVA!AU169/IVA!CN12</f>
        <v>7.838780911047211E-4</v>
      </c>
      <c r="BA169" s="264">
        <v>2002</v>
      </c>
      <c r="BB169" s="368" t="s">
        <v>576</v>
      </c>
      <c r="BC169" s="369"/>
      <c r="BD169" s="369"/>
      <c r="BE169" s="369"/>
      <c r="BF169" s="370">
        <f>IVA!BF152+IVA!BF135+IVA!BF118+IVA!BF101+IVA!BF84+IVA!BF49+IVA!BF32+IVA!BF15</f>
        <v>1572585.8498077383</v>
      </c>
      <c r="BG169" s="370">
        <f>IVA!BG152+IVA!BG135+IVA!BG118+IVA!BG101+IVA!BG84+IVA!BG49+IVA!BG32+IVA!BG15</f>
        <v>1433479.5225118881</v>
      </c>
      <c r="BH169" s="370">
        <f>IVA!BH152+IVA!BH135+IVA!BH118+IVA!BH101+IVA!BH84+IVA!BH49+IVA!BH32+IVA!BH15</f>
        <v>1460570.7201150269</v>
      </c>
      <c r="BI169" s="370">
        <f>IVA!BI152+IVA!BI135+IVA!BI118+IVA!BI101+IVA!BI84+IVA!BI49+IVA!BI32+IVA!BI15</f>
        <v>1284717.2457842906</v>
      </c>
      <c r="BJ169" s="370">
        <f>IVA!BJ152+IVA!BJ135+IVA!BJ118+IVA!BJ101+IVA!BJ84+IVA!BJ49+IVA!BJ32+IVA!BJ15</f>
        <v>2261175.9278740129</v>
      </c>
      <c r="BK169" s="370">
        <f>IVA!BK152+IVA!BK135+IVA!BK118+IVA!BK101+IVA!BK84+IVA!BK49+IVA!BK32+IVA!BK15</f>
        <v>2055282.1946703545</v>
      </c>
      <c r="BL169" s="370">
        <f>IVA!BL152+IVA!BL135+IVA!BL118+IVA!BL101+IVA!BL84+IVA!BL49+IVA!BL32+IVA!BL15</f>
        <v>2056350.3132621644</v>
      </c>
      <c r="BM169" s="370">
        <f>IVA!BM152+IVA!BM135+IVA!BM118+IVA!BM101+IVA!BM84+IVA!BM49+IVA!BM32+IVA!BM15</f>
        <v>2052170.8246029259</v>
      </c>
      <c r="BN169" s="370">
        <f>IVA!BN152+IVA!BN135+IVA!BN118+IVA!BN101+IVA!BN84+IVA!BN49+IVA!BN32+IVA!BN15</f>
        <v>1959688.6503499451</v>
      </c>
      <c r="BO169" s="370">
        <f>IVA!BO152+IVA!BO135+IVA!BO118+IVA!BO101+IVA!BO84+IVA!BO49+IVA!BO32+IVA!BO15</f>
        <v>2117418.1950036632</v>
      </c>
      <c r="BP169" s="370">
        <f>IVA!BP152+IVA!BP135+IVA!BP118+IVA!BP101+IVA!BP84+IVA!BP49+IVA!BP32+IVA!BP15</f>
        <v>2371598.2571479608</v>
      </c>
      <c r="BQ169" s="371">
        <f>IVA!BQ152+IVA!BQ135+IVA!BQ118+IVA!BQ101+IVA!BQ84+IVA!BQ49+IVA!BQ32+IVA!BQ15</f>
        <v>2097112.1235788695</v>
      </c>
      <c r="BR169" s="173">
        <f>IVA!BF169+IVA!BG169+IVA!BH169</f>
        <v>4466636.092434654</v>
      </c>
      <c r="BS169" s="173">
        <f>IVA!BI169+IVA!BJ169+IVA!BK169</f>
        <v>5601175.3683286579</v>
      </c>
      <c r="BT169" s="173">
        <f>IVA!BL169+IVA!BM169+IVA!BN169</f>
        <v>6068209.7882150356</v>
      </c>
      <c r="BU169" s="174">
        <f>IVA!BO169+IVA!BP169+IVA!BQ169</f>
        <v>6586128.5757304942</v>
      </c>
      <c r="BV169" s="135">
        <f>IVA!BR169+IVA!BS169+IVA!BT169+IVA!BU169</f>
        <v>22722149.824708842</v>
      </c>
      <c r="BW169" s="136">
        <f>IVA!BR169/IVA!CJ11</f>
        <v>1.8842034162394081E-2</v>
      </c>
      <c r="BX169" s="137">
        <f>IVA!BS169/IVA!CK11</f>
        <v>1.6522241469612078E-2</v>
      </c>
      <c r="BY169" s="136">
        <f>IVA!BT169/IVA!CL11</f>
        <v>1.816795385161013E-2</v>
      </c>
      <c r="BZ169" s="136">
        <f>IVA!BU169/IVA!CM11</f>
        <v>1.9356766330993251E-2</v>
      </c>
      <c r="CA169" s="271">
        <f>IVA!BV169/IVA!CN11</f>
        <v>7.2692236762355186E-2</v>
      </c>
      <c r="CP169" s="28">
        <f>249602518071/1000</f>
        <v>249602518.07100001</v>
      </c>
    </row>
    <row r="170" spans="27:95" ht="12.75" customHeight="1">
      <c r="AA170" s="121">
        <v>2004</v>
      </c>
      <c r="AB170" s="121" t="s">
        <v>575</v>
      </c>
      <c r="AC170" s="122"/>
      <c r="AD170" s="123"/>
      <c r="AE170" s="433">
        <v>31126.510969999999</v>
      </c>
      <c r="AF170" s="433">
        <v>27265.869910000001</v>
      </c>
      <c r="AG170" s="433">
        <v>31162.1054</v>
      </c>
      <c r="AH170" s="433">
        <v>29575.207610000001</v>
      </c>
      <c r="AI170" s="433">
        <v>29739.130069999999</v>
      </c>
      <c r="AJ170" s="433">
        <v>12682.60671</v>
      </c>
      <c r="AK170" s="433">
        <v>56883.571629999999</v>
      </c>
      <c r="AL170" s="433">
        <v>41088.980080000001</v>
      </c>
      <c r="AM170" s="433">
        <v>60674.349719999998</v>
      </c>
      <c r="AN170" s="433">
        <v>47500.169450000001</v>
      </c>
      <c r="AO170" s="433">
        <v>44329.858050000003</v>
      </c>
      <c r="AP170" s="433">
        <v>43954.795429999998</v>
      </c>
      <c r="AQ170" s="153">
        <f>IVA!AE170+IVA!AF170+IVA!AG170</f>
        <v>89554.486279999997</v>
      </c>
      <c r="AR170" s="153">
        <f>IVA!AH170+IVA!AI170+IVA!AJ170</f>
        <v>71996.94438999999</v>
      </c>
      <c r="AS170" s="153">
        <f>IVA!AK170+IVA!AL170+IVA!AM170</f>
        <v>158646.90143</v>
      </c>
      <c r="AT170" s="153">
        <f>IVA!AN170+IVA!AO170+IVA!AP170</f>
        <v>135784.82292999999</v>
      </c>
      <c r="AU170" s="127">
        <f>IVA!AQ170+IVA!AR170+IVA!AS170+IVA!AT170</f>
        <v>455983.15503000002</v>
      </c>
      <c r="AV170" s="128">
        <f>IVA!AQ170/IVA!CJ13</f>
        <v>2.2798016959551138E-4</v>
      </c>
      <c r="AW170" s="128">
        <f>IVA!AR170/IVA!CK13</f>
        <v>1.5182403737241698E-4</v>
      </c>
      <c r="AX170" s="128">
        <f>IVA!AS170/IVA!CL13</f>
        <v>3.5092687001698683E-4</v>
      </c>
      <c r="AY170" s="128">
        <f>IVA!AT170/IVA!CM13</f>
        <v>2.8800705605812994E-4</v>
      </c>
      <c r="AZ170" s="269">
        <f>IVA!AU170/IVA!CN13</f>
        <v>1.018630295700649E-3</v>
      </c>
      <c r="BA170" s="264">
        <v>2003</v>
      </c>
      <c r="BB170" s="368" t="s">
        <v>576</v>
      </c>
      <c r="BC170" s="369"/>
      <c r="BD170" s="369"/>
      <c r="BE170" s="369"/>
      <c r="BF170" s="370">
        <f>IVA!BF153+IVA!BF136+IVA!BF119+IVA!BF102+IVA!BF85+IVA!BF50+IVA!BF33+IVA!BF16</f>
        <v>2569086.8489324581</v>
      </c>
      <c r="BG170" s="370">
        <f>IVA!BG153+IVA!BG136+IVA!BG119+IVA!BG102+IVA!BG85+IVA!BG50+IVA!BG33+IVA!BG16</f>
        <v>2016932.3961330531</v>
      </c>
      <c r="BH170" s="370">
        <f>IVA!BH153+IVA!BH136+IVA!BH119+IVA!BH102+IVA!BH85+IVA!BH50+IVA!BH33+IVA!BH16</f>
        <v>2156181.2570404802</v>
      </c>
      <c r="BI170" s="370">
        <f>IVA!BI153+IVA!BI136+IVA!BI119+IVA!BI102+IVA!BI85+IVA!BI50+IVA!BI33+IVA!BI16</f>
        <v>2444548.1709697456</v>
      </c>
      <c r="BJ170" s="370">
        <f>IVA!BJ153+IVA!BJ136+IVA!BJ119+IVA!BJ102+IVA!BJ85+IVA!BJ50+IVA!BJ33+IVA!BJ16</f>
        <v>3198665.2241126206</v>
      </c>
      <c r="BK170" s="370">
        <f>IVA!BK153+IVA!BK136+IVA!BK119+IVA!BK102+IVA!BK85+IVA!BK50+IVA!BK33+IVA!BK16</f>
        <v>2906502.930036325</v>
      </c>
      <c r="BL170" s="370">
        <f>IVA!BL153+IVA!BL136+IVA!BL119+IVA!BL102+IVA!BL85+IVA!BL50+IVA!BL33+IVA!BL16</f>
        <v>2804189.7255764715</v>
      </c>
      <c r="BM170" s="370">
        <f>IVA!BM153+IVA!BM136+IVA!BM119+IVA!BM102+IVA!BM85+IVA!BM50+IVA!BM33+IVA!BM16</f>
        <v>2911929.7074782467</v>
      </c>
      <c r="BN170" s="370">
        <f>IVA!BN153+IVA!BN136+IVA!BN119+IVA!BN102+IVA!BN85+IVA!BN50+IVA!BN33+IVA!BN16</f>
        <v>2940368.850849581</v>
      </c>
      <c r="BO170" s="370">
        <f>IVA!BO153+IVA!BO136+IVA!BO119+IVA!BO102+IVA!BO85+IVA!BO50+IVA!BO33+IVA!BO16</f>
        <v>2879329.3837181879</v>
      </c>
      <c r="BP170" s="370">
        <f>IVA!BP153+IVA!BP136+IVA!BP119+IVA!BP102+IVA!BP85+IVA!BP50+IVA!BP33+IVA!BP16</f>
        <v>3147457.3696118938</v>
      </c>
      <c r="BQ170" s="371">
        <f>IVA!BQ153+IVA!BQ136+IVA!BQ119+IVA!BQ102+IVA!BQ85+IVA!BQ50+IVA!BQ33+IVA!BQ16</f>
        <v>3203570.3785785865</v>
      </c>
      <c r="BR170" s="173">
        <f>IVA!BF170+IVA!BG170+IVA!BH170</f>
        <v>6742200.5021059914</v>
      </c>
      <c r="BS170" s="173">
        <f>IVA!BI170+IVA!BJ170+IVA!BK170</f>
        <v>8549716.3251186907</v>
      </c>
      <c r="BT170" s="173">
        <f>IVA!BL170+IVA!BM170+IVA!BN170</f>
        <v>8656488.2839042991</v>
      </c>
      <c r="BU170" s="174">
        <f>IVA!BO170+IVA!BP170+IVA!BQ170</f>
        <v>9230357.1319086682</v>
      </c>
      <c r="BV170" s="135">
        <f>IVA!BR170+IVA!BS170+IVA!BT170+IVA!BU170</f>
        <v>33178762.243037648</v>
      </c>
      <c r="BW170" s="136">
        <f>IVA!BR170/IVA!CJ12</f>
        <v>2.0595550192465808E-2</v>
      </c>
      <c r="BX170" s="137">
        <f>IVA!BS170/IVA!CK12</f>
        <v>2.1421480369629778E-2</v>
      </c>
      <c r="BY170" s="136">
        <f>IVA!BT170/IVA!CL12</f>
        <v>2.2907595977929081E-2</v>
      </c>
      <c r="BZ170" s="136">
        <f>IVA!BU170/IVA!CM12</f>
        <v>2.3118106549092372E-2</v>
      </c>
      <c r="CA170" s="271">
        <f>IVA!BV170/IVA!CN12</f>
        <v>8.8262665552583427E-2</v>
      </c>
      <c r="CP170" s="28">
        <v>249602518071</v>
      </c>
    </row>
    <row r="171" spans="27:95" ht="12.75" customHeight="1">
      <c r="AA171" s="121">
        <v>2005</v>
      </c>
      <c r="AB171" s="121" t="s">
        <v>575</v>
      </c>
      <c r="AC171" s="122"/>
      <c r="AD171" s="123"/>
      <c r="AE171" s="433">
        <v>45601.786419999997</v>
      </c>
      <c r="AF171" s="433">
        <v>47707.929709999997</v>
      </c>
      <c r="AG171" s="433">
        <v>47679.198109999998</v>
      </c>
      <c r="AH171" s="433">
        <v>47259.00879</v>
      </c>
      <c r="AI171" s="433">
        <v>52142.99351</v>
      </c>
      <c r="AJ171" s="433">
        <v>49143.221319999997</v>
      </c>
      <c r="AK171" s="433">
        <v>48630.016730000003</v>
      </c>
      <c r="AL171" s="433">
        <v>50428.138310000002</v>
      </c>
      <c r="AM171" s="433">
        <v>50710.535230000001</v>
      </c>
      <c r="AN171" s="433">
        <v>49445.42583</v>
      </c>
      <c r="AO171" s="433">
        <v>51272.496950000001</v>
      </c>
      <c r="AP171" s="433">
        <v>51551.56237</v>
      </c>
      <c r="AQ171" s="153">
        <f>IVA!AE171+IVA!AF171+IVA!AG171</f>
        <v>140988.91423999998</v>
      </c>
      <c r="AR171" s="153">
        <f>IVA!AH171+IVA!AI171+IVA!AJ171</f>
        <v>148545.22362</v>
      </c>
      <c r="AS171" s="153">
        <f>IVA!AK171+IVA!AL171+IVA!AM171</f>
        <v>149768.69027000002</v>
      </c>
      <c r="AT171" s="153">
        <f>IVA!AN171+IVA!AO171+IVA!AP171</f>
        <v>152269.48514999999</v>
      </c>
      <c r="AU171" s="127">
        <f>IVA!AQ171+IVA!AR171+IVA!AS171+IVA!AT171</f>
        <v>591572.31328</v>
      </c>
      <c r="AV171" s="128">
        <f>IVA!AQ171/IVA!CJ14</f>
        <v>3.0866905938296358E-4</v>
      </c>
      <c r="AW171" s="128">
        <f>IVA!AR171/IVA!CK14</f>
        <v>2.6890304595337551E-4</v>
      </c>
      <c r="AX171" s="128">
        <f>IVA!AS171/IVA!CL14</f>
        <v>2.7519466905317732E-4</v>
      </c>
      <c r="AY171" s="128">
        <f>IVA!AT171/IVA!CM14</f>
        <v>2.6511565976623151E-4</v>
      </c>
      <c r="AZ171" s="269">
        <f>IVA!AU171/IVA!CN14</f>
        <v>1.1121061289280725E-3</v>
      </c>
      <c r="BA171" s="264">
        <v>2004</v>
      </c>
      <c r="BB171" s="368" t="s">
        <v>576</v>
      </c>
      <c r="BC171" s="369"/>
      <c r="BD171" s="369"/>
      <c r="BE171" s="369"/>
      <c r="BF171" s="370">
        <f>IVA!BF154+IVA!BF137+IVA!BF120+IVA!BF103+IVA!BF86+IVA!BF51+IVA!BF34+IVA!BF17</f>
        <v>3559521.1995131201</v>
      </c>
      <c r="BG171" s="370">
        <f>IVA!BG154+IVA!BG137+IVA!BG120+IVA!BG103+IVA!BG86+IVA!BG51+IVA!BG34+IVA!BG17</f>
        <v>3075256.6884928159</v>
      </c>
      <c r="BH171" s="370">
        <f>IVA!BH154+IVA!BH137+IVA!BH120+IVA!BH103+IVA!BH86+IVA!BH51+IVA!BH34+IVA!BH17</f>
        <v>3242999.9811658291</v>
      </c>
      <c r="BI171" s="370">
        <f>IVA!BI154+IVA!BI137+IVA!BI120+IVA!BI103+IVA!BI86+IVA!BI51+IVA!BI34+IVA!BI17</f>
        <v>3262421.2833261769</v>
      </c>
      <c r="BJ171" s="370">
        <f>IVA!BJ154+IVA!BJ137+IVA!BJ120+IVA!BJ103+IVA!BJ86+IVA!BJ51+IVA!BJ34+IVA!BJ17</f>
        <v>6209423.2886209413</v>
      </c>
      <c r="BK171" s="370">
        <f>IVA!BK154+IVA!BK137+IVA!BK120+IVA!BK103+IVA!BK86+IVA!BK51+IVA!BK34+IVA!BK17</f>
        <v>4950979.013054911</v>
      </c>
      <c r="BL171" s="370">
        <f>IVA!BL154+IVA!BL137+IVA!BL120+IVA!BL103+IVA!BL86+IVA!BL51+IVA!BL34+IVA!BL17</f>
        <v>4062084.1000810219</v>
      </c>
      <c r="BM171" s="370">
        <f>IVA!BM154+IVA!BM137+IVA!BM120+IVA!BM103+IVA!BM86+IVA!BM51+IVA!BM34+IVA!BM17</f>
        <v>4183601.3802655563</v>
      </c>
      <c r="BN171" s="370">
        <f>IVA!BN154+IVA!BN137+IVA!BN120+IVA!BN103+IVA!BN86+IVA!BN51+IVA!BN34+IVA!BN17</f>
        <v>3945516.2273064759</v>
      </c>
      <c r="BO171" s="370">
        <f>IVA!BO154+IVA!BO137+IVA!BO120+IVA!BO103+IVA!BO86+IVA!BO51+IVA!BO34+IVA!BO17</f>
        <v>3901192.71138157</v>
      </c>
      <c r="BP171" s="370">
        <f>IVA!BP154+IVA!BP137+IVA!BP120+IVA!BP103+IVA!BP86+IVA!BP51+IVA!BP34+IVA!BP17</f>
        <v>4063378.3319061222</v>
      </c>
      <c r="BQ171" s="371">
        <f>IVA!BQ154+IVA!BQ137+IVA!BQ120+IVA!BQ103+IVA!BQ86+IVA!BQ51+IVA!BQ34+IVA!BQ17</f>
        <v>3685378.637116699</v>
      </c>
      <c r="BR171" s="173">
        <f>IVA!BF171+IVA!BG171+IVA!BH171</f>
        <v>9877777.8691717647</v>
      </c>
      <c r="BS171" s="173">
        <f>IVA!BI171+IVA!BJ171+IVA!BK171</f>
        <v>14422823.585002029</v>
      </c>
      <c r="BT171" s="173">
        <f>IVA!BL171+IVA!BM171+IVA!BN171</f>
        <v>12191201.707653053</v>
      </c>
      <c r="BU171" s="174">
        <f>IVA!BO171+IVA!BP171+IVA!BQ171</f>
        <v>11649949.680404391</v>
      </c>
      <c r="BV171" s="135">
        <f>IVA!BR171+IVA!BS171+IVA!BT171+IVA!BU171</f>
        <v>48141752.842231244</v>
      </c>
      <c r="BW171" s="136">
        <f>IVA!BR171/IVA!CJ13</f>
        <v>2.5146004040486447E-2</v>
      </c>
      <c r="BX171" s="137">
        <f>IVA!BS171/IVA!CK13</f>
        <v>3.0414225569401633E-2</v>
      </c>
      <c r="BY171" s="136">
        <f>IVA!BT171/IVA!CL13</f>
        <v>2.696693234125418E-2</v>
      </c>
      <c r="BZ171" s="136">
        <f>IVA!BU171/IVA!CM13</f>
        <v>2.4710182171157179E-2</v>
      </c>
      <c r="CA171" s="271">
        <f>IVA!BV171/IVA!CN13</f>
        <v>0.10754486737564511</v>
      </c>
    </row>
    <row r="172" spans="27:95" ht="12.75" customHeight="1">
      <c r="AA172" s="121">
        <v>2006</v>
      </c>
      <c r="AB172" s="121" t="s">
        <v>575</v>
      </c>
      <c r="AC172" s="122"/>
      <c r="AD172" s="123"/>
      <c r="AE172" s="433">
        <v>51206.939830000003</v>
      </c>
      <c r="AF172" s="433">
        <v>49437.958769999997</v>
      </c>
      <c r="AG172" s="433">
        <v>53532.347710000002</v>
      </c>
      <c r="AH172" s="433">
        <v>51280.206010000002</v>
      </c>
      <c r="AI172" s="433">
        <v>55127.006300000001</v>
      </c>
      <c r="AJ172" s="433">
        <v>54846.243219999997</v>
      </c>
      <c r="AK172" s="433">
        <v>55669.40509</v>
      </c>
      <c r="AL172" s="433">
        <v>56713.643239999998</v>
      </c>
      <c r="AM172" s="433">
        <v>57244.425309999999</v>
      </c>
      <c r="AN172" s="433">
        <v>59594.556389999998</v>
      </c>
      <c r="AO172" s="433">
        <v>58341.963660000001</v>
      </c>
      <c r="AP172" s="433">
        <v>58506.544520000003</v>
      </c>
      <c r="AQ172" s="153">
        <f>IVA!AE172+IVA!AF172+IVA!AG172</f>
        <v>154177.24631000002</v>
      </c>
      <c r="AR172" s="153">
        <f>IVA!AH172+IVA!AI172+IVA!AJ172</f>
        <v>161253.45553000001</v>
      </c>
      <c r="AS172" s="153">
        <f>IVA!AK172+IVA!AL172+IVA!AM172</f>
        <v>169627.47363999998</v>
      </c>
      <c r="AT172" s="153">
        <f>IVA!AN172+IVA!AO172+IVA!AP172</f>
        <v>176443.06456999999</v>
      </c>
      <c r="AU172" s="127">
        <f>IVA!AQ172+IVA!AR172+IVA!AS172+IVA!AT172</f>
        <v>661501.24004999991</v>
      </c>
      <c r="AV172" s="128">
        <f>IVA!AQ172/IVA!CJ15</f>
        <v>2.714416812677599E-4</v>
      </c>
      <c r="AW172" s="128">
        <f>IVA!AR172/IVA!CK15</f>
        <v>2.3773930827209854E-4</v>
      </c>
      <c r="AX172" s="128">
        <f>IVA!AS172/IVA!CL15</f>
        <v>2.5385839125983029E-4</v>
      </c>
      <c r="AY172" s="128">
        <f>IVA!AT172/IVA!CM15</f>
        <v>2.5088382881266008E-4</v>
      </c>
      <c r="AZ172" s="269">
        <f>IVA!AU172/IVA!CN15</f>
        <v>1.0107913112765885E-3</v>
      </c>
      <c r="BA172" s="264">
        <v>2005</v>
      </c>
      <c r="BB172" s="368" t="s">
        <v>576</v>
      </c>
      <c r="BC172" s="369"/>
      <c r="BD172" s="369"/>
      <c r="BE172" s="369"/>
      <c r="BF172" s="370">
        <f>IVA!BF155+IVA!BF138+IVA!BF121+IVA!BF104+IVA!BF87+IVA!BF52+IVA!BF35+IVA!BF18</f>
        <v>4348102.7550312523</v>
      </c>
      <c r="BG172" s="370">
        <f>IVA!BG155+IVA!BG138+IVA!BG121+IVA!BG104+IVA!BG87+IVA!BG52+IVA!BG35+IVA!BG18</f>
        <v>3994693.0785604641</v>
      </c>
      <c r="BH172" s="370">
        <f>IVA!BH155+IVA!BH138+IVA!BH121+IVA!BH104+IVA!BH87+IVA!BH52+IVA!BH35+IVA!BH18</f>
        <v>4111259.4047010383</v>
      </c>
      <c r="BI172" s="370">
        <f>IVA!BI155+IVA!BI138+IVA!BI121+IVA!BI104+IVA!BI87+IVA!BI52+IVA!BI35+IVA!BI18</f>
        <v>4544836.1566673759</v>
      </c>
      <c r="BJ172" s="370">
        <f>IVA!BJ155+IVA!BJ138+IVA!BJ121+IVA!BJ104+IVA!BJ87+IVA!BJ52+IVA!BJ35+IVA!BJ18</f>
        <v>5788023.9110713266</v>
      </c>
      <c r="BK172" s="370">
        <f>IVA!BK155+IVA!BK138+IVA!BK121+IVA!BK104+IVA!BK87+IVA!BK52+IVA!BK35+IVA!BK18</f>
        <v>5583618.2209348697</v>
      </c>
      <c r="BL172" s="370">
        <f>IVA!BL155+IVA!BL138+IVA!BL121+IVA!BL104+IVA!BL87+IVA!BL52+IVA!BL35+IVA!BL18</f>
        <v>4605975.6374086663</v>
      </c>
      <c r="BM172" s="370">
        <f>IVA!BM155+IVA!BM138+IVA!BM121+IVA!BM104+IVA!BM87+IVA!BM52+IVA!BM35+IVA!BM18</f>
        <v>4950661.3436024738</v>
      </c>
      <c r="BN172" s="370">
        <f>IVA!BN155+IVA!BN138+IVA!BN121+IVA!BN104+IVA!BN87+IVA!BN52+IVA!BN35+IVA!BN18</f>
        <v>4993003.8654199149</v>
      </c>
      <c r="BO172" s="370">
        <f>IVA!BO155+IVA!BO138+IVA!BO121+IVA!BO104+IVA!BO87+IVA!BO52+IVA!BO35+IVA!BO18</f>
        <v>4755770.5822057882</v>
      </c>
      <c r="BP172" s="370">
        <f>IVA!BP155+IVA!BP138+IVA!BP121+IVA!BP104+IVA!BP87+IVA!BP52+IVA!BP35+IVA!BP18</f>
        <v>4999185.2817679085</v>
      </c>
      <c r="BQ172" s="371">
        <f>IVA!BQ155+IVA!BQ138+IVA!BQ121+IVA!BQ104+IVA!BQ87+IVA!BQ52+IVA!BQ35+IVA!BQ18</f>
        <v>5433497.6473822445</v>
      </c>
      <c r="BR172" s="173">
        <f>IVA!BF172+IVA!BG172+IVA!BH172</f>
        <v>12454055.238292754</v>
      </c>
      <c r="BS172" s="173">
        <f>IVA!BI172+IVA!BJ172+IVA!BK172</f>
        <v>15916478.288673572</v>
      </c>
      <c r="BT172" s="173">
        <f>IVA!BL172+IVA!BM172+IVA!BN172</f>
        <v>14549640.846431056</v>
      </c>
      <c r="BU172" s="174">
        <f>IVA!BO172+IVA!BP172+IVA!BQ172</f>
        <v>15188453.51135594</v>
      </c>
      <c r="BV172" s="135">
        <f>IVA!BR172+IVA!BS172+IVA!BT172+IVA!BU172</f>
        <v>58108627.884753317</v>
      </c>
      <c r="BW172" s="136">
        <f>IVA!BR172/IVA!CJ14</f>
        <v>2.7265842400654942E-2</v>
      </c>
      <c r="BX172" s="137">
        <f>IVA!BS172/IVA!CK14</f>
        <v>2.8812703555005717E-2</v>
      </c>
      <c r="BY172" s="136">
        <f>IVA!BT172/IVA!CL14</f>
        <v>2.6734450240286426E-2</v>
      </c>
      <c r="BZ172" s="136">
        <f>IVA!BU172/IVA!CM14</f>
        <v>2.6444542513066126E-2</v>
      </c>
      <c r="CA172" s="271">
        <f>IVA!BV172/IVA!CN14</f>
        <v>0.10923932672901791</v>
      </c>
    </row>
    <row r="173" spans="27:95" ht="12.75" customHeight="1">
      <c r="AA173" s="121">
        <v>2007</v>
      </c>
      <c r="AB173" s="121" t="s">
        <v>575</v>
      </c>
      <c r="AC173" s="122"/>
      <c r="AD173" s="123"/>
      <c r="AE173" s="433">
        <v>62258.213230000001</v>
      </c>
      <c r="AF173" s="433">
        <v>54992.459000000003</v>
      </c>
      <c r="AG173" s="433">
        <v>62458.539920000003</v>
      </c>
      <c r="AH173" s="433">
        <v>58861.020199999999</v>
      </c>
      <c r="AI173" s="433">
        <v>62500.824610000003</v>
      </c>
      <c r="AJ173" s="433">
        <v>60565.259420000002</v>
      </c>
      <c r="AK173" s="433">
        <v>62927.994480000001</v>
      </c>
      <c r="AL173" s="433">
        <v>64306.475709999999</v>
      </c>
      <c r="AM173" s="433">
        <v>63417.328809999999</v>
      </c>
      <c r="AN173" s="433">
        <v>66022.394050000003</v>
      </c>
      <c r="AO173" s="433">
        <v>66106.955279999995</v>
      </c>
      <c r="AP173" s="433">
        <v>65811.467610000007</v>
      </c>
      <c r="AQ173" s="153">
        <f>IVA!AE173+IVA!AF173+IVA!AG173</f>
        <v>179709.21215000001</v>
      </c>
      <c r="AR173" s="153">
        <f>IVA!AH173+IVA!AI173+IVA!AJ173</f>
        <v>181927.10423</v>
      </c>
      <c r="AS173" s="153">
        <f>IVA!AK173+IVA!AL173+IVA!AM173</f>
        <v>190651.799</v>
      </c>
      <c r="AT173" s="153">
        <f>IVA!AN173+IVA!AO173+IVA!AP173</f>
        <v>197940.81693999999</v>
      </c>
      <c r="AU173" s="127">
        <f>IVA!AQ173+IVA!AR173+IVA!AS173+IVA!AT173</f>
        <v>750228.93231999991</v>
      </c>
      <c r="AV173" s="128">
        <f>IVA!AQ173/IVA!CJ16</f>
        <v>2.6384368708891239E-4</v>
      </c>
      <c r="AW173" s="128">
        <f>IVA!AR173/IVA!CK16</f>
        <v>2.1784408962018315E-4</v>
      </c>
      <c r="AX173" s="128">
        <f>IVA!AS173/IVA!CL16</f>
        <v>2.3040522536959355E-4</v>
      </c>
      <c r="AY173" s="128">
        <f>IVA!AT173/IVA!CM16</f>
        <v>2.1845001311798884E-4</v>
      </c>
      <c r="AZ173" s="269">
        <f>IVA!AU173/IVA!CN16</f>
        <v>9.2340888725236101E-4</v>
      </c>
      <c r="BA173" s="264">
        <v>2006</v>
      </c>
      <c r="BB173" s="368" t="s">
        <v>576</v>
      </c>
      <c r="BC173" s="369"/>
      <c r="BD173" s="369"/>
      <c r="BE173" s="369"/>
      <c r="BF173" s="370">
        <f>IVA!BF156+IVA!BF139+IVA!BF122+IVA!BF105+IVA!BF88+IVA!BF53+IVA!BF36+IVA!BF19</f>
        <v>5470424.3351995032</v>
      </c>
      <c r="BG173" s="370">
        <f>IVA!BG156+IVA!BG139+IVA!BG122+IVA!BG105+IVA!BG88+IVA!BG53+IVA!BG36+IVA!BG19</f>
        <v>5057598.7155410573</v>
      </c>
      <c r="BH173" s="370">
        <f>IVA!BH156+IVA!BH139+IVA!BH122+IVA!BH105+IVA!BH88+IVA!BH53+IVA!BH36+IVA!BH19</f>
        <v>5086865.2217074614</v>
      </c>
      <c r="BI173" s="370">
        <f>IVA!BI156+IVA!BI139+IVA!BI122+IVA!BI105+IVA!BI88+IVA!BI53+IVA!BI36+IVA!BI19</f>
        <v>4748785.916973846</v>
      </c>
      <c r="BJ173" s="370">
        <f>IVA!BJ156+IVA!BJ139+IVA!BJ122+IVA!BJ105+IVA!BJ88+IVA!BJ53+IVA!BJ36+IVA!BJ19</f>
        <v>6747882.2795256637</v>
      </c>
      <c r="BK173" s="370">
        <f>IVA!BK156+IVA!BK139+IVA!BK122+IVA!BK105+IVA!BK88+IVA!BK53+IVA!BK36+IVA!BK19</f>
        <v>6958024.7624242436</v>
      </c>
      <c r="BL173" s="370">
        <f>IVA!BL156+IVA!BL139+IVA!BL122+IVA!BL105+IVA!BL88+IVA!BL53+IVA!BL36+IVA!BL19</f>
        <v>5743312.1285649762</v>
      </c>
      <c r="BM173" s="370">
        <f>IVA!BM156+IVA!BM139+IVA!BM122+IVA!BM105+IVA!BM88+IVA!BM53+IVA!BM36+IVA!BM19</f>
        <v>6260191.4501672564</v>
      </c>
      <c r="BN173" s="370">
        <f>IVA!BN156+IVA!BN139+IVA!BN122+IVA!BN105+IVA!BN88+IVA!BN53+IVA!BN36+IVA!BN19</f>
        <v>6053538.25345283</v>
      </c>
      <c r="BO173" s="370">
        <f>IVA!BO156+IVA!BO139+IVA!BO122+IVA!BO105+IVA!BO88+IVA!BO53+IVA!BO36+IVA!BO19</f>
        <v>6352042.7249244945</v>
      </c>
      <c r="BP173" s="370">
        <f>IVA!BP156+IVA!BP139+IVA!BP122+IVA!BP105+IVA!BP88+IVA!BP53+IVA!BP36+IVA!BP19</f>
        <v>6639755.2915112926</v>
      </c>
      <c r="BQ173" s="371">
        <f>IVA!BQ156+IVA!BQ139+IVA!BQ122+IVA!BQ105+IVA!BQ88+IVA!BQ53+IVA!BQ36+IVA!BQ19</f>
        <v>6825640.7261584783</v>
      </c>
      <c r="BR173" s="173">
        <f>IVA!BF173+IVA!BG173+IVA!BH173</f>
        <v>15614888.272448022</v>
      </c>
      <c r="BS173" s="173">
        <f>IVA!BI173+IVA!BJ173+IVA!BK173</f>
        <v>18454692.958923753</v>
      </c>
      <c r="BT173" s="173">
        <f>IVA!BL173+IVA!BM173+IVA!BN173</f>
        <v>18057041.832185064</v>
      </c>
      <c r="BU173" s="174">
        <f>IVA!BO173+IVA!BP173+IVA!BQ173</f>
        <v>19817438.742594264</v>
      </c>
      <c r="BV173" s="135">
        <f>IVA!BR173+IVA!BS173+IVA!BT173+IVA!BU173</f>
        <v>71944061.806151092</v>
      </c>
      <c r="BW173" s="136">
        <f>IVA!BR173/IVA!CJ15</f>
        <v>2.7491290880622018E-2</v>
      </c>
      <c r="BX173" s="137">
        <f>IVA!BS173/IVA!CK15</f>
        <v>2.7208135937355191E-2</v>
      </c>
      <c r="BY173" s="136">
        <f>IVA!BT173/IVA!CL15</f>
        <v>2.7023520966647344E-2</v>
      </c>
      <c r="BZ173" s="136">
        <f>IVA!BU173/IVA!CM15</f>
        <v>2.8178352723123967E-2</v>
      </c>
      <c r="CA173" s="271">
        <f>IVA!BV173/IVA!CN15</f>
        <v>0.1099324206347773</v>
      </c>
    </row>
    <row r="174" spans="27:95" ht="12.75" customHeight="1">
      <c r="AA174" s="121">
        <v>2008</v>
      </c>
      <c r="AB174" s="121" t="s">
        <v>575</v>
      </c>
      <c r="AC174" s="122"/>
      <c r="AD174" s="123"/>
      <c r="AE174" s="433">
        <v>71892.491949999996</v>
      </c>
      <c r="AF174" s="433">
        <v>66793.45177</v>
      </c>
      <c r="AG174" s="433">
        <v>67836.026880000005</v>
      </c>
      <c r="AH174" s="433">
        <v>85567.232399999994</v>
      </c>
      <c r="AI174" s="433">
        <v>87815.427079999994</v>
      </c>
      <c r="AJ174" s="433">
        <v>85431.760720000006</v>
      </c>
      <c r="AK174" s="433">
        <v>91645.653579999998</v>
      </c>
      <c r="AL174" s="433">
        <v>88671.837839999993</v>
      </c>
      <c r="AM174" s="433">
        <v>93209.015400000004</v>
      </c>
      <c r="AN174" s="433">
        <v>93386.348190000004</v>
      </c>
      <c r="AO174" s="433">
        <v>89434.646710000001</v>
      </c>
      <c r="AP174" s="433">
        <v>92732.591450000007</v>
      </c>
      <c r="AQ174" s="153">
        <f>IVA!AE174+IVA!AF174+IVA!AG174</f>
        <v>206521.9706</v>
      </c>
      <c r="AR174" s="153">
        <f>IVA!AH174+IVA!AI174+IVA!AJ174</f>
        <v>258814.42019999999</v>
      </c>
      <c r="AS174" s="153">
        <f>IVA!AK174+IVA!AL174+IVA!AM174</f>
        <v>273526.50682000001</v>
      </c>
      <c r="AT174" s="153">
        <f>IVA!AN174+IVA!AO174+IVA!AP174</f>
        <v>275553.58635</v>
      </c>
      <c r="AU174" s="127">
        <f>IVA!AQ174+IVA!AR174+IVA!AS174+IVA!AT174</f>
        <v>1014416.4839699999</v>
      </c>
      <c r="AV174" s="128">
        <f>IVA!AQ174/IVA!CJ17</f>
        <v>2.3266332365601936E-4</v>
      </c>
      <c r="AW174" s="128">
        <f>IVA!AR174/IVA!CK17</f>
        <v>2.3359907278047495E-4</v>
      </c>
      <c r="AX174" s="128">
        <f>IVA!AS174/IVA!CL17</f>
        <v>2.5864148417511167E-4</v>
      </c>
      <c r="AY174" s="128">
        <f>IVA!AT174/IVA!CM17</f>
        <v>2.5564014233201104E-4</v>
      </c>
      <c r="AZ174" s="269">
        <f>IVA!AU174/IVA!CN17</f>
        <v>9.8224025761117317E-4</v>
      </c>
      <c r="BA174" s="264">
        <v>2007</v>
      </c>
      <c r="BB174" s="368" t="s">
        <v>576</v>
      </c>
      <c r="BC174" s="369"/>
      <c r="BD174" s="369"/>
      <c r="BE174" s="369"/>
      <c r="BF174" s="370">
        <f>IVA!BF157+IVA!BF140+IVA!BF123+IVA!BF106+IVA!BF89+IVA!BF54+IVA!BF37+IVA!BF20</f>
        <v>6853425.702739995</v>
      </c>
      <c r="BG174" s="370">
        <f>IVA!BG157+IVA!BG140+IVA!BG123+IVA!BG106+IVA!BG89+IVA!BG54+IVA!BG37+IVA!BG20</f>
        <v>6322518.7638142239</v>
      </c>
      <c r="BH174" s="370">
        <f>IVA!BH157+IVA!BH140+IVA!BH123+IVA!BH106+IVA!BH89+IVA!BH54+IVA!BH37+IVA!BH20</f>
        <v>6377889.9181676516</v>
      </c>
      <c r="BI174" s="370">
        <f>IVA!BI157+IVA!BI140+IVA!BI123+IVA!BI106+IVA!BI89+IVA!BI54+IVA!BI37+IVA!BI20</f>
        <v>6041403.2347712051</v>
      </c>
      <c r="BJ174" s="370">
        <f>IVA!BJ157+IVA!BJ140+IVA!BJ123+IVA!BJ106+IVA!BJ89+IVA!BJ54+IVA!BJ37+IVA!BJ20</f>
        <v>8815356.0192237254</v>
      </c>
      <c r="BK174" s="370">
        <f>IVA!BK157+IVA!BK140+IVA!BK123+IVA!BK106+IVA!BK89+IVA!BK54+IVA!BK37+IVA!BK20</f>
        <v>8842152.4260057341</v>
      </c>
      <c r="BL174" s="370">
        <f>IVA!BL157+IVA!BL140+IVA!BL123+IVA!BL106+IVA!BL89+IVA!BL54+IVA!BL37+IVA!BL20</f>
        <v>7983790.147253545</v>
      </c>
      <c r="BM174" s="370">
        <f>IVA!BM157+IVA!BM140+IVA!BM123+IVA!BM106+IVA!BM89+IVA!BM54+IVA!BM37+IVA!BM20</f>
        <v>8673132.1363103036</v>
      </c>
      <c r="BN174" s="370">
        <f>IVA!BN157+IVA!BN140+IVA!BN123+IVA!BN106+IVA!BN89+IVA!BN54+IVA!BN37+IVA!BN20</f>
        <v>7813648.4645996317</v>
      </c>
      <c r="BO174" s="370">
        <f>IVA!BO157+IVA!BO140+IVA!BO123+IVA!BO106+IVA!BO89+IVA!BO54+IVA!BO37+IVA!BO20</f>
        <v>8211035.2203622945</v>
      </c>
      <c r="BP174" s="370">
        <f>IVA!BP157+IVA!BP140+IVA!BP123+IVA!BP106+IVA!BP89+IVA!BP54+IVA!BP37+IVA!BP20</f>
        <v>8649010.2867563106</v>
      </c>
      <c r="BQ174" s="371">
        <f>IVA!BQ157+IVA!BQ140+IVA!BQ123+IVA!BQ106+IVA!BQ89+IVA!BQ54+IVA!BQ37+IVA!BQ20</f>
        <v>9198547.0349588096</v>
      </c>
      <c r="BR174" s="173">
        <f>IVA!BF174+IVA!BG174+IVA!BH174</f>
        <v>19553834.384721871</v>
      </c>
      <c r="BS174" s="173">
        <f>IVA!BI174+IVA!BJ174+IVA!BK174</f>
        <v>23698911.680000663</v>
      </c>
      <c r="BT174" s="173">
        <f>IVA!BL174+IVA!BM174+IVA!BN174</f>
        <v>24470570.74816348</v>
      </c>
      <c r="BU174" s="174">
        <f>IVA!BO174+IVA!BP174+IVA!BQ174</f>
        <v>26058592.542077415</v>
      </c>
      <c r="BV174" s="135">
        <f>IVA!BR174+IVA!BS174+IVA!BT174+IVA!BU174</f>
        <v>93781909.354963422</v>
      </c>
      <c r="BW174" s="136">
        <f>IVA!BR174/IVA!CJ16</f>
        <v>2.8708354452551491E-2</v>
      </c>
      <c r="BX174" s="137">
        <f>IVA!BS174/IVA!CK16</f>
        <v>2.8377672814447731E-2</v>
      </c>
      <c r="BY174" s="136">
        <f>IVA!BT174/IVA!CL16</f>
        <v>2.9573009002412772E-2</v>
      </c>
      <c r="BZ174" s="136">
        <f>IVA!BU174/IVA!CM16</f>
        <v>2.8758595476438057E-2</v>
      </c>
      <c r="CA174" s="271">
        <f>IVA!BV174/IVA!CN16</f>
        <v>0.11543016382222235</v>
      </c>
    </row>
    <row r="175" spans="27:95" ht="12.75" customHeight="1">
      <c r="AA175" s="121">
        <v>2009</v>
      </c>
      <c r="AB175" s="121" t="s">
        <v>575</v>
      </c>
      <c r="AC175" s="122"/>
      <c r="AD175" s="123"/>
      <c r="AE175" s="433">
        <v>89764</v>
      </c>
      <c r="AF175" s="433">
        <v>100392</v>
      </c>
      <c r="AG175" s="433">
        <v>105556</v>
      </c>
      <c r="AH175" s="433">
        <v>105743</v>
      </c>
      <c r="AI175" s="433">
        <v>103773</v>
      </c>
      <c r="AJ175" s="433">
        <v>108097</v>
      </c>
      <c r="AK175" s="433">
        <v>110232</v>
      </c>
      <c r="AL175" s="433">
        <v>108160</v>
      </c>
      <c r="AM175" s="433">
        <v>113545</v>
      </c>
      <c r="AN175" s="433">
        <v>112166</v>
      </c>
      <c r="AO175" s="433">
        <v>112805</v>
      </c>
      <c r="AP175" s="433">
        <v>115622</v>
      </c>
      <c r="AQ175" s="153">
        <f>IVA!AE175+IVA!AF175+IVA!AG175</f>
        <v>295712</v>
      </c>
      <c r="AR175" s="153">
        <f>IVA!AH175+IVA!AI175+IVA!AJ175</f>
        <v>317613</v>
      </c>
      <c r="AS175" s="153">
        <f>IVA!AK175+IVA!AL175+IVA!AM175</f>
        <v>331937</v>
      </c>
      <c r="AT175" s="153">
        <f>IVA!AN175+IVA!AO175+IVA!AP175</f>
        <v>340593</v>
      </c>
      <c r="AU175" s="127">
        <f>IVA!AQ175+IVA!AR175+IVA!AS175+IVA!AT175</f>
        <v>1285855</v>
      </c>
      <c r="AV175" s="128">
        <f>IVA!AQ175/IVA!CJ18</f>
        <v>2.9780797251052911E-4</v>
      </c>
      <c r="AW175" s="128">
        <f>IVA!AR175/IVA!CK18</f>
        <v>2.6570212737620386E-4</v>
      </c>
      <c r="AX175" s="128">
        <f>IVA!AS175/IVA!CL18</f>
        <v>2.839993551319358E-4</v>
      </c>
      <c r="AY175" s="128">
        <f>IVA!AT175/IVA!CM18</f>
        <v>2.7810235727232394E-4</v>
      </c>
      <c r="AZ175" s="269">
        <f>IVA!AU175/IVA!CN18</f>
        <v>1.122568110228238E-3</v>
      </c>
      <c r="BA175" s="264">
        <v>2008</v>
      </c>
      <c r="BB175" s="368" t="s">
        <v>576</v>
      </c>
      <c r="BC175" s="369"/>
      <c r="BD175" s="369"/>
      <c r="BE175" s="369"/>
      <c r="BF175" s="370">
        <f>IVA!BF158+IVA!BF141+IVA!BF124+IVA!BF107+IVA!BF90+IVA!BF55+IVA!BF38+IVA!BF21</f>
        <v>9587194.772714654</v>
      </c>
      <c r="BG175" s="370">
        <f>IVA!BG158+IVA!BG141+IVA!BG124+IVA!BG107+IVA!BG90+IVA!BG55+IVA!BG38+IVA!BG21</f>
        <v>8698838.7998451907</v>
      </c>
      <c r="BH175" s="370">
        <f>IVA!BH158+IVA!BH141+IVA!BH124+IVA!BH107+IVA!BH90+IVA!BH55+IVA!BH38+IVA!BH21</f>
        <v>7973899.4423845317</v>
      </c>
      <c r="BI175" s="370">
        <f>IVA!BI158+IVA!BI141+IVA!BI124+IVA!BI107+IVA!BI90+IVA!BI55+IVA!BI38+IVA!BI21</f>
        <v>8846686.6737116762</v>
      </c>
      <c r="BJ175" s="370">
        <f>IVA!BJ158+IVA!BJ141+IVA!BJ124+IVA!BJ107+IVA!BJ90+IVA!BJ55+IVA!BJ38+IVA!BJ21</f>
        <v>10495588.76434538</v>
      </c>
      <c r="BK175" s="370">
        <f>IVA!BK158+IVA!BK141+IVA!BK124+IVA!BK107+IVA!BK90+IVA!BK55+IVA!BK38+IVA!BK21</f>
        <v>11156939.473203268</v>
      </c>
      <c r="BL175" s="370">
        <f>IVA!BL158+IVA!BL141+IVA!BL124+IVA!BL107+IVA!BL90+IVA!BL55+IVA!BL38+IVA!BL21</f>
        <v>10209523.064143086</v>
      </c>
      <c r="BM175" s="370">
        <f>IVA!BM158+IVA!BM141+IVA!BM124+IVA!BM107+IVA!BM90+IVA!BM55+IVA!BM38+IVA!BM21</f>
        <v>10551937.01243687</v>
      </c>
      <c r="BN175" s="370">
        <f>IVA!BN158+IVA!BN141+IVA!BN124+IVA!BN107+IVA!BN90+IVA!BN55+IVA!BN38+IVA!BN21</f>
        <v>10347679.51265358</v>
      </c>
      <c r="BO175" s="370">
        <f>IVA!BO158+IVA!BO141+IVA!BO124+IVA!BO107+IVA!BO90+IVA!BO55+IVA!BO38+IVA!BO21</f>
        <v>10506486.293541651</v>
      </c>
      <c r="BP175" s="370">
        <f>IVA!BP158+IVA!BP141+IVA!BP124+IVA!BP107+IVA!BP90+IVA!BP55+IVA!BP38+IVA!BP21</f>
        <v>9822094.7923735119</v>
      </c>
      <c r="BQ175" s="371">
        <f>IVA!BQ158+IVA!BQ141+IVA!BQ124+IVA!BQ107+IVA!BQ90+IVA!BQ55+IVA!BQ38+IVA!BQ21</f>
        <v>10106604.693928089</v>
      </c>
      <c r="BR175" s="173">
        <f>IVA!BF175+IVA!BG175+IVA!BH175</f>
        <v>26259933.014944375</v>
      </c>
      <c r="BS175" s="173">
        <f>IVA!BI175+IVA!BJ175+IVA!BK175</f>
        <v>30499214.911260325</v>
      </c>
      <c r="BT175" s="173">
        <f>IVA!BL175+IVA!BM175+IVA!BN175</f>
        <v>31109139.58923354</v>
      </c>
      <c r="BU175" s="174">
        <f>IVA!BO175+IVA!BP175+IVA!BQ175</f>
        <v>30435185.779843252</v>
      </c>
      <c r="BV175" s="135">
        <f>IVA!BR175+IVA!BS175+IVA!BT175+IVA!BU175</f>
        <v>118303473.29528148</v>
      </c>
      <c r="BW175" s="136">
        <f>IVA!BR175/IVA!CJ17</f>
        <v>2.958389016186054E-2</v>
      </c>
      <c r="BX175" s="137">
        <f>IVA!BS175/IVA!CK17</f>
        <v>2.7527787355500863E-2</v>
      </c>
      <c r="BY175" s="136">
        <f>IVA!BT175/IVA!CL17</f>
        <v>2.9416213179167327E-2</v>
      </c>
      <c r="BZ175" s="136">
        <f>IVA!BU175/IVA!CM17</f>
        <v>2.8235724773974902E-2</v>
      </c>
      <c r="CA175" s="271">
        <f>IVA!BV175/IVA!CN17</f>
        <v>0.11455101126815913</v>
      </c>
    </row>
    <row r="176" spans="27:95" ht="12.75" customHeight="1">
      <c r="AA176" s="121">
        <v>2010</v>
      </c>
      <c r="AB176" s="121" t="s">
        <v>575</v>
      </c>
      <c r="AC176" s="122"/>
      <c r="AD176" s="123"/>
      <c r="AE176" s="433">
        <v>195199</v>
      </c>
      <c r="AF176" s="433">
        <v>207516</v>
      </c>
      <c r="AG176" s="433">
        <v>220637</v>
      </c>
      <c r="AH176" s="433">
        <v>215507</v>
      </c>
      <c r="AI176" s="433">
        <v>212162</v>
      </c>
      <c r="AJ176" s="433">
        <v>223120</v>
      </c>
      <c r="AK176" s="433">
        <v>229329</v>
      </c>
      <c r="AL176" s="433">
        <v>229070</v>
      </c>
      <c r="AM176" s="433">
        <v>231834</v>
      </c>
      <c r="AN176" s="433">
        <v>228663</v>
      </c>
      <c r="AO176" s="433">
        <v>242021</v>
      </c>
      <c r="AP176" s="433">
        <v>234874</v>
      </c>
      <c r="AQ176" s="153">
        <f>IVA!AE176+IVA!AF176+IVA!AG176</f>
        <v>623352</v>
      </c>
      <c r="AR176" s="153">
        <f>IVA!AH176+IVA!AI176+IVA!AJ176</f>
        <v>650789</v>
      </c>
      <c r="AS176" s="153">
        <f>IVA!AK176+IVA!AL176+IVA!AM176</f>
        <v>690233</v>
      </c>
      <c r="AT176" s="153">
        <f>IVA!AN176+IVA!AO176+IVA!AP176</f>
        <v>705558</v>
      </c>
      <c r="AU176" s="127">
        <f>IVA!AQ176+IVA!AR176+IVA!AS176+IVA!AT176</f>
        <v>2669932</v>
      </c>
      <c r="AV176" s="128">
        <f>IVA!AQ176/IVA!CJ19</f>
        <v>5.1204347693942979E-4</v>
      </c>
      <c r="AW176" s="128">
        <f>IVA!AR176/IVA!CK19</f>
        <v>4.3147595650854827E-4</v>
      </c>
      <c r="AX176" s="128">
        <f>IVA!AS176/IVA!CL19</f>
        <v>4.7087345881401913E-4</v>
      </c>
      <c r="AY176" s="128">
        <f>IVA!AT176/IVA!CM19</f>
        <v>4.4681066499727471E-4</v>
      </c>
      <c r="AZ176" s="269">
        <f>IVA!AU176/IVA!CN19</f>
        <v>1.8507067173563275E-3</v>
      </c>
      <c r="BA176" s="264">
        <v>2009</v>
      </c>
      <c r="BB176" s="368" t="s">
        <v>576</v>
      </c>
      <c r="BC176" s="369"/>
      <c r="BD176" s="369"/>
      <c r="BE176" s="369"/>
      <c r="BF176" s="370">
        <f>IVA!BF159+IVA!BF142+IVA!BF125+IVA!BF108+IVA!BF91+IVA!BF56+IVA!BF39+IVA!BF22</f>
        <v>9633639.8896166682</v>
      </c>
      <c r="BG176" s="370">
        <f>IVA!BG159+IVA!BG142+IVA!BG125+IVA!BG108+IVA!BG91+IVA!BG56+IVA!BG39+IVA!BG22</f>
        <v>9579871.643666666</v>
      </c>
      <c r="BH176" s="370">
        <f>IVA!BH159+IVA!BH142+IVA!BH125+IVA!BH108+IVA!BH91+IVA!BH56+IVA!BH39+IVA!BH22</f>
        <v>9207445.4082166664</v>
      </c>
      <c r="BI176" s="370">
        <f>IVA!BI159+IVA!BI142+IVA!BI125+IVA!BI108+IVA!BI91+IVA!BI56+IVA!BI39+IVA!BI22</f>
        <v>9292309.2269666679</v>
      </c>
      <c r="BJ176" s="370">
        <f>IVA!BJ159+IVA!BJ142+IVA!BJ125+IVA!BJ108+IVA!BJ91+IVA!BJ56+IVA!BJ39+IVA!BJ22</f>
        <v>11393425.269966668</v>
      </c>
      <c r="BK176" s="370">
        <f>IVA!BK159+IVA!BK142+IVA!BK125+IVA!BK108+IVA!BK91+IVA!BK56+IVA!BK39+IVA!BK22</f>
        <v>11537646.624316666</v>
      </c>
      <c r="BL176" s="370">
        <f>IVA!BL159+IVA!BL142+IVA!BL125+IVA!BL108+IVA!BL91+IVA!BL56+IVA!BL39+IVA!BL22</f>
        <v>10874459.695366668</v>
      </c>
      <c r="BM176" s="370">
        <f>IVA!BM159+IVA!BM142+IVA!BM125+IVA!BM108+IVA!BM91+IVA!BM56+IVA!BM39+IVA!BM22</f>
        <v>10838542.769216668</v>
      </c>
      <c r="BN176" s="370">
        <f>IVA!BN159+IVA!BN142+IVA!BN125+IVA!BN108+IVA!BN91+IVA!BN56+IVA!BN39+IVA!BN22</f>
        <v>10984976.815016668</v>
      </c>
      <c r="BO176" s="370">
        <f>IVA!BO159+IVA!BO142+IVA!BO125+IVA!BO108+IVA!BO91+IVA!BO56+IVA!BO39+IVA!BO22</f>
        <v>11149465.805066667</v>
      </c>
      <c r="BP176" s="370">
        <f>IVA!BP159+IVA!BP142+IVA!BP125+IVA!BP108+IVA!BP91+IVA!BP56+IVA!BP39+IVA!BP22</f>
        <v>11066341.372016668</v>
      </c>
      <c r="BQ176" s="371">
        <f>IVA!BQ159+IVA!BQ142+IVA!BQ125+IVA!BQ108+IVA!BQ91+IVA!BQ56+IVA!BQ39+IVA!BQ22</f>
        <v>11938757.082616668</v>
      </c>
      <c r="BR176" s="173">
        <f>IVA!BF176+IVA!BG176+IVA!BH176</f>
        <v>28420956.941500001</v>
      </c>
      <c r="BS176" s="173">
        <f>IVA!BI176+IVA!BJ176+IVA!BK176</f>
        <v>32223381.12125</v>
      </c>
      <c r="BT176" s="173">
        <f>IVA!BL176+IVA!BM176+IVA!BN176</f>
        <v>32697979.279600006</v>
      </c>
      <c r="BU176" s="174">
        <f>IVA!BO176+IVA!BP176+IVA!BQ176</f>
        <v>34154564.2597</v>
      </c>
      <c r="BV176" s="135">
        <f>IVA!BR176+IVA!BS176+IVA!BT176+IVA!BU176</f>
        <v>127496881.60205001</v>
      </c>
      <c r="BW176" s="136">
        <f>IVA!BR176/IVA!CJ18</f>
        <v>2.8622401402571298E-2</v>
      </c>
      <c r="BX176" s="137">
        <f>IVA!BS176/IVA!CK18</f>
        <v>2.6956771023762663E-2</v>
      </c>
      <c r="BY176" s="136">
        <f>IVA!BT176/IVA!CL18</f>
        <v>2.7975805738811282E-2</v>
      </c>
      <c r="BZ176" s="136">
        <f>IVA!BU176/IVA!CM18</f>
        <v>2.7888021281211407E-2</v>
      </c>
      <c r="CA176" s="271">
        <f>IVA!BV176/IVA!CN18</f>
        <v>0.11130643302705723</v>
      </c>
    </row>
    <row r="177" spans="27:79" ht="12.75" customHeight="1">
      <c r="AA177" s="121">
        <v>2011</v>
      </c>
      <c r="AB177" s="121" t="s">
        <v>575</v>
      </c>
      <c r="AC177" s="122"/>
      <c r="AD177" s="123"/>
      <c r="AE177" s="433">
        <v>254030</v>
      </c>
      <c r="AF177" s="433">
        <v>234474</v>
      </c>
      <c r="AG177" s="433">
        <v>249509</v>
      </c>
      <c r="AH177" s="433">
        <v>232915</v>
      </c>
      <c r="AI177" s="433">
        <v>277729</v>
      </c>
      <c r="AJ177" s="433">
        <v>252343</v>
      </c>
      <c r="AK177" s="433">
        <v>277460</v>
      </c>
      <c r="AL177" s="433">
        <v>268455</v>
      </c>
      <c r="AM177" s="433">
        <v>266348</v>
      </c>
      <c r="AN177" s="433">
        <v>264564</v>
      </c>
      <c r="AO177" s="433">
        <v>257188</v>
      </c>
      <c r="AP177" s="433">
        <v>262354</v>
      </c>
      <c r="AQ177" s="153">
        <f>IVA!AE177+IVA!AF177+IVA!AG177</f>
        <v>738013</v>
      </c>
      <c r="AR177" s="153">
        <f>IVA!AH177+IVA!AI177+IVA!AJ177</f>
        <v>762987</v>
      </c>
      <c r="AS177" s="153">
        <f>IVA!AK177+IVA!AL177+IVA!AM177</f>
        <v>812263</v>
      </c>
      <c r="AT177" s="153">
        <f>IVA!AN177+IVA!AO177+IVA!AP177</f>
        <v>784106</v>
      </c>
      <c r="AU177" s="127">
        <f>IVA!AQ177+IVA!AR177+IVA!AS177+IVA!AT177</f>
        <v>3097369</v>
      </c>
      <c r="AV177" s="128">
        <f>IVA!AQ177/IVA!CJ20</f>
        <v>4.7079766263922736E-4</v>
      </c>
      <c r="AW177" s="128">
        <f>IVA!AR177/IVA!CK20</f>
        <v>3.8608260610340108E-4</v>
      </c>
      <c r="AX177" s="128">
        <f>IVA!AS177/IVA!CL20</f>
        <v>4.3543849143738733E-4</v>
      </c>
      <c r="AY177" s="128">
        <f>IVA!AT177/IVA!CM20</f>
        <v>4.0028074568918183E-4</v>
      </c>
      <c r="AZ177" s="269">
        <f>IVA!AU177/IVA!CN20</f>
        <v>1.6815047667393347E-3</v>
      </c>
      <c r="BA177" s="264">
        <v>2010</v>
      </c>
      <c r="BB177" s="368" t="s">
        <v>576</v>
      </c>
      <c r="BC177" s="369"/>
      <c r="BD177" s="369"/>
      <c r="BE177" s="369"/>
      <c r="BF177" s="370">
        <f>IVA!BF160+IVA!BF143+IVA!BF126+IVA!BF109+IVA!BF92+IVA!BF57+IVA!BF40+IVA!BF23</f>
        <v>12038466.754316667</v>
      </c>
      <c r="BG177" s="370">
        <f>IVA!BG160+IVA!BG143+IVA!BG126+IVA!BG109+IVA!BG92+IVA!BG57+IVA!BG40+IVA!BG23</f>
        <v>11829921.430416666</v>
      </c>
      <c r="BH177" s="370">
        <f>IVA!BH160+IVA!BH143+IVA!BH126+IVA!BH109+IVA!BH92+IVA!BH57+IVA!BH40+IVA!BH23</f>
        <v>11894641.278566666</v>
      </c>
      <c r="BI177" s="370">
        <f>IVA!BI160+IVA!BI143+IVA!BI126+IVA!BI109+IVA!BI92+IVA!BI57+IVA!BI40+IVA!BI23</f>
        <v>12160890.943366667</v>
      </c>
      <c r="BJ177" s="370">
        <f>IVA!BJ160+IVA!BJ143+IVA!BJ126+IVA!BJ109+IVA!BJ92+IVA!BJ57+IVA!BJ40+IVA!BJ23</f>
        <v>16910742.254016668</v>
      </c>
      <c r="BK177" s="370">
        <f>IVA!BK160+IVA!BK143+IVA!BK126+IVA!BK109+IVA!BK92+IVA!BK57+IVA!BK40+IVA!BK23</f>
        <v>16285171.672616666</v>
      </c>
      <c r="BL177" s="370">
        <f>IVA!BL160+IVA!BL143+IVA!BL126+IVA!BL109+IVA!BL92+IVA!BL57+IVA!BL40+IVA!BL23</f>
        <v>14651463.959766667</v>
      </c>
      <c r="BM177" s="370">
        <f>IVA!BM160+IVA!BM143+IVA!BM126+IVA!BM109+IVA!BM92+IVA!BM57+IVA!BM40+IVA!BM23</f>
        <v>14608959.130216667</v>
      </c>
      <c r="BN177" s="370">
        <f>IVA!BN160+IVA!BN143+IVA!BN126+IVA!BN109+IVA!BN92+IVA!BN57+IVA!BN40+IVA!BN23</f>
        <v>14889185.835716667</v>
      </c>
      <c r="BO177" s="370">
        <f>IVA!BO160+IVA!BO143+IVA!BO126+IVA!BO109+IVA!BO92+IVA!BO57+IVA!BO40+IVA!BO23</f>
        <v>14630495.374216666</v>
      </c>
      <c r="BP177" s="370">
        <f>IVA!BP160+IVA!BP143+IVA!BP126+IVA!BP109+IVA!BP92+IVA!BP57+IVA!BP40+IVA!BP23</f>
        <v>15295079.845516667</v>
      </c>
      <c r="BQ177" s="371">
        <f>IVA!BQ160+IVA!BQ143+IVA!BQ126+IVA!BQ109+IVA!BQ92+IVA!BQ57+IVA!BQ40+IVA!BQ23</f>
        <v>16852501.876166668</v>
      </c>
      <c r="BR177" s="173">
        <f>IVA!BF177+IVA!BG177+IVA!BH177</f>
        <v>35763029.463299997</v>
      </c>
      <c r="BS177" s="173">
        <f>IVA!BI177+IVA!BJ177+IVA!BK177</f>
        <v>45356804.870000005</v>
      </c>
      <c r="BT177" s="173">
        <f>IVA!BL177+IVA!BM177+IVA!BN177</f>
        <v>44149608.925700001</v>
      </c>
      <c r="BU177" s="174">
        <f>IVA!BO177+IVA!BP177+IVA!BQ177</f>
        <v>46778077.095899999</v>
      </c>
      <c r="BV177" s="135">
        <f>IVA!BR177+IVA!BS177+IVA!BT177+IVA!BU177</f>
        <v>172047520.3549</v>
      </c>
      <c r="BW177" s="136">
        <f>IVA!BR177/IVA!CJ19</f>
        <v>2.9377022857511328E-2</v>
      </c>
      <c r="BX177" s="137">
        <f>IVA!BS177/IVA!CK19</f>
        <v>3.0071760225595136E-2</v>
      </c>
      <c r="BY177" s="136">
        <f>IVA!BT177/IVA!CL19</f>
        <v>3.011863973488757E-2</v>
      </c>
      <c r="BZ177" s="136">
        <f>IVA!BU177/IVA!CM19</f>
        <v>2.9623282188725609E-2</v>
      </c>
      <c r="CA177" s="271">
        <f>IVA!BV177/IVA!CN19</f>
        <v>0.11925753226123846</v>
      </c>
    </row>
    <row r="178" spans="27:79" ht="12.75" customHeight="1">
      <c r="AA178" s="243">
        <v>2012</v>
      </c>
      <c r="AB178" s="243" t="s">
        <v>575</v>
      </c>
      <c r="AC178" s="244"/>
      <c r="AD178" s="245"/>
      <c r="AE178" s="438">
        <v>267455.67385999998</v>
      </c>
      <c r="AF178" s="438">
        <v>261003.16847</v>
      </c>
      <c r="AG178" s="438">
        <v>294269.03447999997</v>
      </c>
      <c r="AH178" s="438">
        <v>240601.68867999999</v>
      </c>
      <c r="AI178" s="438">
        <v>310976.82864000002</v>
      </c>
      <c r="AJ178" s="438">
        <v>280785.58072000003</v>
      </c>
      <c r="AK178" s="438">
        <v>368662.16995000001</v>
      </c>
      <c r="AL178" s="438">
        <v>385482.17306</v>
      </c>
      <c r="AM178" s="438">
        <v>373063.08958999999</v>
      </c>
      <c r="AN178" s="438">
        <v>412427.83635</v>
      </c>
      <c r="AO178" s="438">
        <v>385319.10271000001</v>
      </c>
      <c r="AP178" s="438">
        <v>377011.33601000003</v>
      </c>
      <c r="AQ178" s="325">
        <f>IVA!AE178+IVA!AF178+IVA!AG178</f>
        <v>822727.87681000005</v>
      </c>
      <c r="AR178" s="325">
        <f>IVA!AH178+IVA!AI178+IVA!AJ178</f>
        <v>832364.09804000007</v>
      </c>
      <c r="AS178" s="325">
        <f>IVA!AK178+IVA!AL178+IVA!AM178</f>
        <v>1127207.4325999999</v>
      </c>
      <c r="AT178" s="325">
        <f>IVA!AN178+IVA!AO178+IVA!AP178</f>
        <v>1174758.27507</v>
      </c>
      <c r="AU178" s="248">
        <f>IVA!AQ178+IVA!AR178+IVA!AS178+IVA!AT178</f>
        <v>3957057.6825199998</v>
      </c>
      <c r="AV178" s="250">
        <f>IVA!AQ178/IVA!CJ21</f>
        <v>4.3880341281697768E-4</v>
      </c>
      <c r="AW178" s="250">
        <f>IVA!AR178/IVA!CK21</f>
        <v>3.6617021158234938E-4</v>
      </c>
      <c r="AX178" s="250">
        <f>IVA!AS178/IVA!CL21</f>
        <v>5.1637847827948466E-4</v>
      </c>
      <c r="AY178" s="250">
        <f>IVA!AT178/IVA!CM21</f>
        <v>5.0506005730522523E-4</v>
      </c>
      <c r="AZ178" s="294">
        <f>IVA!AU178/IVA!CN21</f>
        <v>1.828377138918988E-3</v>
      </c>
      <c r="BA178" s="264">
        <v>2011</v>
      </c>
      <c r="BB178" s="368" t="s">
        <v>576</v>
      </c>
      <c r="BC178" s="369"/>
      <c r="BD178" s="369"/>
      <c r="BE178" s="369"/>
      <c r="BF178" s="370">
        <f>IVA!BF161+IVA!BF144+IVA!BF127+IVA!BF110+IVA!BF93+IVA!BF58+IVA!BF41+IVA!BF24</f>
        <v>17019213.199716669</v>
      </c>
      <c r="BG178" s="370">
        <f>IVA!BG161+IVA!BG144+IVA!BG127+IVA!BG110+IVA!BG93+IVA!BG58+IVA!BG41+IVA!BG24</f>
        <v>15733536.821666665</v>
      </c>
      <c r="BH178" s="370">
        <f>IVA!BH161+IVA!BH144+IVA!BH127+IVA!BH110+IVA!BH93+IVA!BH58+IVA!BH41+IVA!BH24</f>
        <v>16017149.762866667</v>
      </c>
      <c r="BI178" s="370">
        <f>IVA!BI161+IVA!BI144+IVA!BI127+IVA!BI110+IVA!BI93+IVA!BI58+IVA!BI41+IVA!BI24</f>
        <v>16445856.956516668</v>
      </c>
      <c r="BJ178" s="370">
        <f>IVA!BJ161+IVA!BJ144+IVA!BJ127+IVA!BJ110+IVA!BJ93+IVA!BJ58+IVA!BJ41+IVA!BJ24</f>
        <v>22463385.517716669</v>
      </c>
      <c r="BK178" s="370">
        <f>IVA!BK161+IVA!BK144+IVA!BK127+IVA!BK110+IVA!BK93+IVA!BK58+IVA!BK41+IVA!BK24</f>
        <v>21349112.769716665</v>
      </c>
      <c r="BL178" s="370">
        <f>IVA!BL161+IVA!BL144+IVA!BL127+IVA!BL110+IVA!BL93+IVA!BL58+IVA!BL41+IVA!BL24</f>
        <v>19287139.149016667</v>
      </c>
      <c r="BM178" s="370">
        <f>IVA!BM161+IVA!BM144+IVA!BM127+IVA!BM110+IVA!BM93+IVA!BM58+IVA!BM41+IVA!BM24</f>
        <v>19820975.253466666</v>
      </c>
      <c r="BN178" s="370">
        <f>IVA!BN161+IVA!BN144+IVA!BN127+IVA!BN110+IVA!BN93+IVA!BN58+IVA!BN41+IVA!BN24</f>
        <v>20449575.787216667</v>
      </c>
      <c r="BO178" s="370">
        <f>IVA!BO161+IVA!BO144+IVA!BO127+IVA!BO110+IVA!BO93+IVA!BO58+IVA!BO41+IVA!BO24</f>
        <v>19406592.545366667</v>
      </c>
      <c r="BP178" s="370">
        <f>IVA!BP161+IVA!BP144+IVA!BP127+IVA!BP110+IVA!BP93+IVA!BP58+IVA!BP41+IVA!BP24</f>
        <v>21424829.314716667</v>
      </c>
      <c r="BQ178" s="371">
        <f>IVA!BQ161+IVA!BQ144+IVA!BQ127+IVA!BQ110+IVA!BQ93+IVA!BQ58+IVA!BQ41+IVA!BQ24</f>
        <v>20975687.718266666</v>
      </c>
      <c r="BR178" s="173">
        <f>IVA!BF178+IVA!BG178+IVA!BH178</f>
        <v>48769899.784249999</v>
      </c>
      <c r="BS178" s="173">
        <f>IVA!BI178+IVA!BJ178+IVA!BK178</f>
        <v>60258355.243950002</v>
      </c>
      <c r="BT178" s="173">
        <f>IVA!BL178+IVA!BM178+IVA!BN178</f>
        <v>59557690.189699993</v>
      </c>
      <c r="BU178" s="174">
        <f>IVA!BO178+IVA!BP178+IVA!BQ178</f>
        <v>61807109.57835</v>
      </c>
      <c r="BV178" s="135">
        <f>IVA!BR178+IVA!BS178+IVA!BT178+IVA!BU178</f>
        <v>230393054.79624999</v>
      </c>
      <c r="BW178" s="136">
        <f>IVA!BR178/IVA!CJ20</f>
        <v>3.1111585873926689E-2</v>
      </c>
      <c r="BX178" s="137">
        <f>IVA!BS178/IVA!CK20</f>
        <v>3.0491611039360777E-2</v>
      </c>
      <c r="BY178" s="136">
        <f>IVA!BT178/IVA!CL20</f>
        <v>3.192772632718497E-2</v>
      </c>
      <c r="BZ178" s="136">
        <f>IVA!BU178/IVA!CM20</f>
        <v>3.1552106361786431E-2</v>
      </c>
      <c r="CA178" s="271">
        <f>IVA!BV178/IVA!CN20</f>
        <v>0.125076159754789</v>
      </c>
    </row>
    <row r="179" spans="27:79" ht="12.75" customHeight="1">
      <c r="AA179" s="439">
        <v>1996</v>
      </c>
      <c r="AB179" s="439" t="s">
        <v>577</v>
      </c>
      <c r="AC179" s="440"/>
      <c r="AD179" s="441"/>
      <c r="AE179" s="442">
        <v>0</v>
      </c>
      <c r="AF179" s="442">
        <v>0</v>
      </c>
      <c r="AG179" s="442">
        <v>0</v>
      </c>
      <c r="AH179" s="442">
        <v>0</v>
      </c>
      <c r="AI179" s="442">
        <v>0</v>
      </c>
      <c r="AJ179" s="442">
        <v>0</v>
      </c>
      <c r="AK179" s="442">
        <v>0</v>
      </c>
      <c r="AL179" s="442">
        <v>0</v>
      </c>
      <c r="AM179" s="442">
        <v>0</v>
      </c>
      <c r="AN179" s="443">
        <v>0</v>
      </c>
      <c r="AO179" s="443">
        <v>0</v>
      </c>
      <c r="AP179" s="443">
        <v>0</v>
      </c>
      <c r="AQ179" s="153">
        <f>IVA!AE179+IVA!AF179+IVA!AG179</f>
        <v>0</v>
      </c>
      <c r="AR179" s="153">
        <f>IVA!AH179+IVA!AI179+IVA!AJ179</f>
        <v>0</v>
      </c>
      <c r="AS179" s="153">
        <f>IVA!AK179+IVA!AL179+IVA!AM179</f>
        <v>0</v>
      </c>
      <c r="AT179" s="153">
        <f>IVA!AN179+IVA!AO179+IVA!AP179</f>
        <v>0</v>
      </c>
      <c r="AU179" s="248"/>
      <c r="AV179" s="250"/>
      <c r="AW179" s="250"/>
      <c r="AX179" s="250"/>
      <c r="AY179" s="250"/>
      <c r="AZ179" s="294"/>
      <c r="BA179" s="295">
        <v>2012</v>
      </c>
      <c r="BB179" s="387" t="s">
        <v>576</v>
      </c>
      <c r="BC179" s="388"/>
      <c r="BD179" s="388"/>
      <c r="BE179" s="388"/>
      <c r="BF179" s="389">
        <f>IVA!BF162+IVA!BF145+IVA!BF128+IVA!BF111+IVA!BF94+IVA!BF59+IVA!BF42+IVA!BF25</f>
        <v>21749401.174346268</v>
      </c>
      <c r="BG179" s="389">
        <f>IVA!BG162+IVA!BG145+IVA!BG128+IVA!BG111+IVA!BG94+IVA!BG59+IVA!BG42+IVA!BG25</f>
        <v>19957020.600932918</v>
      </c>
      <c r="BH179" s="389">
        <f>IVA!BH162+IVA!BH145+IVA!BH128+IVA!BH111+IVA!BH94+IVA!BH59+IVA!BH42+IVA!BH25</f>
        <v>19420867.703431003</v>
      </c>
      <c r="BI179" s="389">
        <f>IVA!BI162+IVA!BI145+IVA!BI128+IVA!BI111+IVA!BI94+IVA!BI59+IVA!BI42+IVA!BI25</f>
        <v>19313730.306539677</v>
      </c>
      <c r="BJ179" s="389">
        <f>IVA!BJ162+IVA!BJ145+IVA!BJ128+IVA!BJ111+IVA!BJ94+IVA!BJ59+IVA!BJ42+IVA!BJ25</f>
        <v>25806415.302789044</v>
      </c>
      <c r="BK179" s="389">
        <f>IVA!BK162+IVA!BK145+IVA!BK128+IVA!BK111+IVA!BK94+IVA!BK59+IVA!BK42+IVA!BK25</f>
        <v>26233229.318286784</v>
      </c>
      <c r="BL179" s="389">
        <f>IVA!BL162+IVA!BL145+IVA!BL128+IVA!BL111+IVA!BL94+IVA!BL59+IVA!BL42+IVA!BL25</f>
        <v>23081671.590394292</v>
      </c>
      <c r="BM179" s="389">
        <f>IVA!BM162+IVA!BM145+IVA!BM128+IVA!BM111+IVA!BM94+IVA!BM59+IVA!BM42+IVA!BM25</f>
        <v>25336985.541461527</v>
      </c>
      <c r="BN179" s="389">
        <f>IVA!BN162+IVA!BN145+IVA!BN128+IVA!BN111+IVA!BN94+IVA!BN59+IVA!BN42+IVA!BN25</f>
        <v>24357713.421688091</v>
      </c>
      <c r="BO179" s="389">
        <f>IVA!BO162+IVA!BO145+IVA!BO128+IVA!BO111+IVA!BO94+IVA!BO59+IVA!BO42+IVA!BO25</f>
        <v>26039677.74982439</v>
      </c>
      <c r="BP179" s="389">
        <f>IVA!BP162+IVA!BP145+IVA!BP128+IVA!BP111+IVA!BP94+IVA!BP59+IVA!BP42+IVA!BP25</f>
        <v>27312874.391756821</v>
      </c>
      <c r="BQ179" s="390">
        <f>IVA!BQ162+IVA!BQ145+IVA!BQ128+IVA!BQ111+IVA!BQ94+IVA!BQ59+IVA!BQ42+IVA!BQ25</f>
        <v>27619280.668676112</v>
      </c>
      <c r="BR179" s="257">
        <f>IVA!BF179+IVA!BG179+IVA!BH179</f>
        <v>61127289.478710189</v>
      </c>
      <c r="BS179" s="257">
        <f>IVA!BI179+IVA!BJ179+IVA!BK179</f>
        <v>71353374.927615494</v>
      </c>
      <c r="BT179" s="257">
        <f>IVA!BL179+IVA!BM179+IVA!BN179</f>
        <v>72776370.55354391</v>
      </c>
      <c r="BU179" s="258">
        <f>IVA!BO179+IVA!BP179+IVA!BQ179</f>
        <v>80971832.810257316</v>
      </c>
      <c r="BV179" s="259">
        <f>IVA!BR179+IVA!BS179+IVA!BT179+IVA!BU179</f>
        <v>286228867.77012694</v>
      </c>
      <c r="BW179" s="262">
        <f>IVA!BR179/IVA!CJ21</f>
        <v>3.2602351270156135E-2</v>
      </c>
      <c r="BX179" s="261">
        <f>IVA!BS179/IVA!CK21</f>
        <v>3.1389485029307551E-2</v>
      </c>
      <c r="BY179" s="262">
        <f>IVA!BT179/IVA!CL21</f>
        <v>3.3339162246704745E-2</v>
      </c>
      <c r="BZ179" s="262">
        <f>IVA!BU179/IVA!CM21</f>
        <v>3.4811960372716541E-2</v>
      </c>
      <c r="CA179" s="301">
        <f>IVA!BV179/IVA!CN21</f>
        <v>0.13225339641657372</v>
      </c>
    </row>
    <row r="180" spans="27:79" ht="12.75" customHeight="1">
      <c r="AA180" s="439">
        <v>1997</v>
      </c>
      <c r="AB180" s="439" t="s">
        <v>577</v>
      </c>
      <c r="AC180" s="440"/>
      <c r="AD180" s="441"/>
      <c r="AE180" s="442">
        <v>0</v>
      </c>
      <c r="AF180" s="442">
        <v>0</v>
      </c>
      <c r="AG180" s="442">
        <v>0</v>
      </c>
      <c r="AH180" s="442">
        <v>0</v>
      </c>
      <c r="AI180" s="442">
        <v>0</v>
      </c>
      <c r="AJ180" s="442">
        <v>0</v>
      </c>
      <c r="AK180" s="442">
        <v>0</v>
      </c>
      <c r="AL180" s="442">
        <v>0</v>
      </c>
      <c r="AM180" s="442">
        <v>0</v>
      </c>
      <c r="AN180" s="442">
        <v>0</v>
      </c>
      <c r="AO180" s="442">
        <v>0</v>
      </c>
      <c r="AP180" s="442">
        <v>0</v>
      </c>
      <c r="AQ180" s="153">
        <f>IVA!AE180+IVA!AF180+IVA!AG180</f>
        <v>0</v>
      </c>
      <c r="AR180" s="153">
        <f>IVA!AH180+IVA!AI180+IVA!AJ180</f>
        <v>0</v>
      </c>
      <c r="AS180" s="153">
        <f>IVA!AK180+IVA!AL180+IVA!AM180</f>
        <v>0</v>
      </c>
      <c r="AT180" s="153">
        <f>IVA!AN180+IVA!AO180+IVA!AP180</f>
        <v>0</v>
      </c>
      <c r="AU180" s="127">
        <f>IVA!AQ180+IVA!AR180+IVA!AS180+IVA!AT180</f>
        <v>0</v>
      </c>
      <c r="AV180" s="128">
        <f>IVA!AQ180/IVA!CJ6</f>
        <v>0</v>
      </c>
      <c r="AW180" s="128">
        <f>IVA!AR180/IVA!CK6</f>
        <v>0</v>
      </c>
      <c r="AX180" s="128">
        <f>IVA!AS180/IVA!CL6</f>
        <v>0</v>
      </c>
      <c r="AY180" s="128">
        <f>IVA!AT180/IVA!CM6</f>
        <v>0</v>
      </c>
      <c r="AZ180" s="269">
        <f>IVA!AU180/IVA!CN6</f>
        <v>0</v>
      </c>
      <c r="BA180" s="264">
        <v>1996</v>
      </c>
      <c r="BB180" s="351" t="s">
        <v>578</v>
      </c>
      <c r="BC180" s="352"/>
      <c r="BD180" s="352"/>
      <c r="BE180" s="352"/>
      <c r="BF180" s="353">
        <f>IVA!BF163*0.15</f>
        <v>269000.42499999999</v>
      </c>
      <c r="BG180" s="353">
        <f>IVA!BG163*0.15</f>
        <v>271387.17249999999</v>
      </c>
      <c r="BH180" s="353">
        <f>IVA!BH163*0.15</f>
        <v>269388.38799999998</v>
      </c>
      <c r="BI180" s="353">
        <f>IVA!BI163*0.15</f>
        <v>258553.8175</v>
      </c>
      <c r="BJ180" s="353">
        <f>IVA!BJ163*0.15</f>
        <v>286856.44750000001</v>
      </c>
      <c r="BK180" s="353">
        <f>IVA!BK163*0.15</f>
        <v>299272.32699999999</v>
      </c>
      <c r="BL180" s="353">
        <f>IVA!BL163*0.15</f>
        <v>274749.04149999999</v>
      </c>
      <c r="BM180" s="353">
        <f>IVA!BM163*0.15</f>
        <v>276757.21299999999</v>
      </c>
      <c r="BN180" s="353">
        <f>IVA!BN163*0.15</f>
        <v>245424.277</v>
      </c>
      <c r="BO180" s="353">
        <f>IVA!BO163*0.15</f>
        <v>296599.74550000002</v>
      </c>
      <c r="BP180" s="353">
        <f>IVA!BP163*0.15</f>
        <v>289606.04199999996</v>
      </c>
      <c r="BQ180" s="353">
        <f>IVA!BQ163*0.15</f>
        <v>268594.26699999999</v>
      </c>
      <c r="BR180" s="173">
        <f>IVA!BF180+IVA!BG180+IVA!BH180</f>
        <v>809775.98549999995</v>
      </c>
      <c r="BS180" s="173">
        <f>IVA!BI180+IVA!BJ180+IVA!BK180</f>
        <v>844682.59199999995</v>
      </c>
      <c r="BT180" s="173">
        <f>IVA!BL180+IVA!BM180+IVA!BN180</f>
        <v>796930.53150000004</v>
      </c>
      <c r="BU180" s="174">
        <f>IVA!BO180+IVA!BP180+IVA!BQ180</f>
        <v>854800.05449999997</v>
      </c>
      <c r="BV180" s="135">
        <f>IVA!BR180+IVA!BS180+IVA!BT180+IVA!BU180</f>
        <v>3306189.1635000003</v>
      </c>
      <c r="BW180" s="262"/>
      <c r="BX180" s="261"/>
      <c r="BY180" s="262"/>
      <c r="BZ180" s="262"/>
      <c r="CA180" s="301"/>
    </row>
    <row r="181" spans="27:79" ht="12.75" customHeight="1">
      <c r="AA181" s="439">
        <v>1998</v>
      </c>
      <c r="AB181" s="439" t="s">
        <v>577</v>
      </c>
      <c r="AC181" s="440"/>
      <c r="AD181" s="441"/>
      <c r="AE181" s="442">
        <v>0</v>
      </c>
      <c r="AF181" s="442">
        <v>0</v>
      </c>
      <c r="AG181" s="442">
        <v>0</v>
      </c>
      <c r="AH181" s="442">
        <v>0</v>
      </c>
      <c r="AI181" s="442">
        <v>0</v>
      </c>
      <c r="AJ181" s="442">
        <v>0</v>
      </c>
      <c r="AK181" s="442">
        <v>0</v>
      </c>
      <c r="AL181" s="442">
        <v>0</v>
      </c>
      <c r="AM181" s="442">
        <v>0</v>
      </c>
      <c r="AN181" s="443">
        <v>25627</v>
      </c>
      <c r="AO181" s="443">
        <v>38758</v>
      </c>
      <c r="AP181" s="443">
        <v>35245</v>
      </c>
      <c r="AQ181" s="153">
        <f>IVA!AE181+IVA!AF181+IVA!AG181</f>
        <v>0</v>
      </c>
      <c r="AR181" s="153">
        <f>IVA!AH181+IVA!AI181+IVA!AJ181</f>
        <v>0</v>
      </c>
      <c r="AS181" s="153">
        <f>IVA!AK181+IVA!AL181+IVA!AM181</f>
        <v>0</v>
      </c>
      <c r="AT181" s="153">
        <f>IVA!AN181+IVA!AO181+IVA!AP181</f>
        <v>99630</v>
      </c>
      <c r="AU181" s="127">
        <f>IVA!AQ181+IVA!AR181+IVA!AS181+IVA!AT181</f>
        <v>99630</v>
      </c>
      <c r="AV181" s="128">
        <f>IVA!AQ181/IVA!CJ7</f>
        <v>0</v>
      </c>
      <c r="AW181" s="128">
        <f>IVA!AR181/IVA!CK7</f>
        <v>0</v>
      </c>
      <c r="AX181" s="128">
        <f>IVA!AS181/IVA!CL7</f>
        <v>0</v>
      </c>
      <c r="AY181" s="128">
        <f>IVA!AT181/IVA!CM7</f>
        <v>3.3724258683638479E-4</v>
      </c>
      <c r="AZ181" s="269">
        <f>IVA!AU181/IVA!CN7</f>
        <v>3.3326826239099143E-4</v>
      </c>
      <c r="BA181" s="264">
        <v>1997</v>
      </c>
      <c r="BB181" s="351" t="s">
        <v>578</v>
      </c>
      <c r="BC181" s="352"/>
      <c r="BD181" s="352"/>
      <c r="BE181" s="352"/>
      <c r="BF181" s="353">
        <v>311773.23582468601</v>
      </c>
      <c r="BG181" s="353">
        <v>272985.71188593103</v>
      </c>
      <c r="BH181" s="353">
        <v>274210.92417256301</v>
      </c>
      <c r="BI181" s="353">
        <v>292194.10456643201</v>
      </c>
      <c r="BJ181" s="353">
        <v>367292.83042631298</v>
      </c>
      <c r="BK181" s="353">
        <v>298378.75430809299</v>
      </c>
      <c r="BL181" s="353">
        <v>285629.987264016</v>
      </c>
      <c r="BM181" s="353">
        <v>307035.26384908502</v>
      </c>
      <c r="BN181" s="353">
        <v>323007.97209840402</v>
      </c>
      <c r="BO181" s="353">
        <v>293519.00775279797</v>
      </c>
      <c r="BP181" s="353">
        <v>313306.57313779602</v>
      </c>
      <c r="BQ181" s="354">
        <v>304796.40302714298</v>
      </c>
      <c r="BR181" s="173">
        <f>IVA!BF181+IVA!BG181+IVA!BH181</f>
        <v>858969.87188317999</v>
      </c>
      <c r="BS181" s="173">
        <f>IVA!BI181+IVA!BJ181+IVA!BK181</f>
        <v>957865.68930083804</v>
      </c>
      <c r="BT181" s="173">
        <f>IVA!BL181+IVA!BM181+IVA!BN181</f>
        <v>915673.22321150498</v>
      </c>
      <c r="BU181" s="174">
        <f>IVA!BO181+IVA!BP181+IVA!BQ181</f>
        <v>911621.98391773703</v>
      </c>
      <c r="BV181" s="135">
        <f>IVA!BR181+IVA!BS181+IVA!BT181+IVA!BU181</f>
        <v>3644130.7683132598</v>
      </c>
      <c r="BW181" s="136">
        <f>IVA!BR181/IVA!CJ6</f>
        <v>3.1665924643632676E-3</v>
      </c>
      <c r="BX181" s="137">
        <f>IVA!BS181/IVA!CK6</f>
        <v>3.1942427713649506E-3</v>
      </c>
      <c r="BY181" s="136">
        <f>IVA!BT181/IVA!CL6</f>
        <v>3.0699989917689491E-3</v>
      </c>
      <c r="BZ181" s="136">
        <f>IVA!BU181/IVA!CM6</f>
        <v>3.0182408320680739E-3</v>
      </c>
      <c r="CA181" s="271">
        <f>IVA!BV181/IVA!CN6</f>
        <v>1.2443299658670267E-2</v>
      </c>
    </row>
    <row r="182" spans="27:79" ht="12.75" customHeight="1">
      <c r="AA182" s="439">
        <v>1999</v>
      </c>
      <c r="AB182" s="439" t="s">
        <v>577</v>
      </c>
      <c r="AC182" s="440"/>
      <c r="AD182" s="441"/>
      <c r="AE182" s="443">
        <v>33246</v>
      </c>
      <c r="AF182" s="443">
        <v>32513</v>
      </c>
      <c r="AG182" s="443">
        <v>35578</v>
      </c>
      <c r="AH182" s="443">
        <v>32123</v>
      </c>
      <c r="AI182" s="443">
        <v>31900</v>
      </c>
      <c r="AJ182" s="443">
        <v>30036</v>
      </c>
      <c r="AK182" s="443">
        <v>32651</v>
      </c>
      <c r="AL182" s="443">
        <v>31854</v>
      </c>
      <c r="AM182" s="443">
        <v>32265</v>
      </c>
      <c r="AN182" s="443">
        <v>30383</v>
      </c>
      <c r="AO182" s="443">
        <v>32203</v>
      </c>
      <c r="AP182" s="443">
        <v>30657</v>
      </c>
      <c r="AQ182" s="153">
        <f>IVA!AE182+IVA!AF182+IVA!AG182</f>
        <v>101337</v>
      </c>
      <c r="AR182" s="153">
        <f>IVA!AH182+IVA!AI182+IVA!AJ182</f>
        <v>94059</v>
      </c>
      <c r="AS182" s="153">
        <f>IVA!AK182+IVA!AL182+IVA!AM182</f>
        <v>96770</v>
      </c>
      <c r="AT182" s="153">
        <f>IVA!AN182+IVA!AO182+IVA!AP182</f>
        <v>93243</v>
      </c>
      <c r="AU182" s="127">
        <f>IVA!AQ182+IVA!AR182+IVA!AS182+IVA!AT182</f>
        <v>385409</v>
      </c>
      <c r="AV182" s="128">
        <f>IVA!AQ182/IVA!CJ8</f>
        <v>3.7428807812488456E-4</v>
      </c>
      <c r="AW182" s="128">
        <f>IVA!AR182/IVA!CK8</f>
        <v>3.2565539215168168E-4</v>
      </c>
      <c r="AX182" s="128">
        <f>IVA!AS182/IVA!CL8</f>
        <v>3.3944021558032127E-4</v>
      </c>
      <c r="AY182" s="128">
        <f>IVA!AT182/IVA!CM8</f>
        <v>3.2216210226738154E-4</v>
      </c>
      <c r="AZ182" s="269">
        <f>IVA!AU182/IVA!CN8</f>
        <v>1.3593569742197361E-3</v>
      </c>
      <c r="BA182" s="264">
        <v>1998</v>
      </c>
      <c r="BB182" s="351" t="s">
        <v>578</v>
      </c>
      <c r="BC182" s="352"/>
      <c r="BD182" s="352"/>
      <c r="BE182" s="352"/>
      <c r="BF182" s="353">
        <v>304810.05624896102</v>
      </c>
      <c r="BG182" s="353">
        <v>303983.91412549099</v>
      </c>
      <c r="BH182" s="353">
        <v>310528.10475985298</v>
      </c>
      <c r="BI182" s="353">
        <v>294509.44204939599</v>
      </c>
      <c r="BJ182" s="353">
        <v>373114.230628099</v>
      </c>
      <c r="BK182" s="353">
        <v>358282.22405806801</v>
      </c>
      <c r="BL182" s="353">
        <v>314736.84330118098</v>
      </c>
      <c r="BM182" s="353">
        <v>319702.05269558501</v>
      </c>
      <c r="BN182" s="353">
        <v>314938.65318886598</v>
      </c>
      <c r="BO182" s="353">
        <v>293070.677129107</v>
      </c>
      <c r="BP182" s="353">
        <v>312775.78090813803</v>
      </c>
      <c r="BQ182" s="354">
        <v>312104.14771147101</v>
      </c>
      <c r="BR182" s="173">
        <f>IVA!BF182+IVA!BG182+IVA!BH182</f>
        <v>919322.07513430493</v>
      </c>
      <c r="BS182" s="173">
        <f>IVA!BI182+IVA!BJ182+IVA!BK182</f>
        <v>1025905.8967355631</v>
      </c>
      <c r="BT182" s="173">
        <f>IVA!BL182+IVA!BM182+IVA!BN182</f>
        <v>949377.54918563191</v>
      </c>
      <c r="BU182" s="174">
        <f>IVA!BO182+IVA!BP182+IVA!BQ182</f>
        <v>917950.60574871604</v>
      </c>
      <c r="BV182" s="135">
        <f>IVA!BR182+IVA!BS182+IVA!BT182+IVA!BU182</f>
        <v>3812556.1268042158</v>
      </c>
      <c r="BW182" s="136">
        <f>IVA!BR182/IVA!CJ7</f>
        <v>3.2511991453448986E-3</v>
      </c>
      <c r="BX182" s="137">
        <f>IVA!BS182/IVA!CK7</f>
        <v>3.2867997904462379E-3</v>
      </c>
      <c r="BY182" s="136">
        <f>IVA!BT182/IVA!CL7</f>
        <v>3.1078755028353766E-3</v>
      </c>
      <c r="BZ182" s="136">
        <f>IVA!BU182/IVA!CM7</f>
        <v>3.1072170718731648E-3</v>
      </c>
      <c r="CA182" s="271">
        <f>IVA!BV182/IVA!CN7</f>
        <v>1.2753226494511388E-2</v>
      </c>
    </row>
    <row r="183" spans="27:79" ht="12.75" customHeight="1">
      <c r="AA183" s="439">
        <v>2000</v>
      </c>
      <c r="AB183" s="439" t="s">
        <v>577</v>
      </c>
      <c r="AC183" s="440"/>
      <c r="AD183" s="441"/>
      <c r="AE183" s="443">
        <v>31685.54277</v>
      </c>
      <c r="AF183" s="443">
        <v>30204.976139999999</v>
      </c>
      <c r="AG183" s="443">
        <v>33358.133970000003</v>
      </c>
      <c r="AH183" s="443">
        <v>27404.168979999999</v>
      </c>
      <c r="AI183" s="443">
        <v>30592.6695</v>
      </c>
      <c r="AJ183" s="443">
        <v>29630.010600000001</v>
      </c>
      <c r="AK183" s="443">
        <v>28557.960299999999</v>
      </c>
      <c r="AL183" s="443">
        <v>29113.8586</v>
      </c>
      <c r="AM183" s="443">
        <v>27571.765899999999</v>
      </c>
      <c r="AN183" s="443">
        <v>28079.3161</v>
      </c>
      <c r="AO183" s="443">
        <v>28190.667369999999</v>
      </c>
      <c r="AP183" s="443">
        <v>29163.371149999999</v>
      </c>
      <c r="AQ183" s="153">
        <f>IVA!AE183+IVA!AF183+IVA!AG183</f>
        <v>95248.652880000009</v>
      </c>
      <c r="AR183" s="153">
        <f>IVA!AH183+IVA!AI183+IVA!AJ183</f>
        <v>87626.84908</v>
      </c>
      <c r="AS183" s="153">
        <f>IVA!AK183+IVA!AL183+IVA!AM183</f>
        <v>85243.584799999997</v>
      </c>
      <c r="AT183" s="153">
        <f>IVA!AN183+IVA!AO183+IVA!AP183</f>
        <v>85433.354619999998</v>
      </c>
      <c r="AU183" s="127">
        <f>IVA!AQ183+IVA!AR183+IVA!AS183+IVA!AT183</f>
        <v>353552.44138000003</v>
      </c>
      <c r="AV183" s="128">
        <f>IVA!AQ183/IVA!CJ9</f>
        <v>3.5219362559346857E-4</v>
      </c>
      <c r="AW183" s="128">
        <f>IVA!AR183/IVA!CK9</f>
        <v>3.0030174417956383E-4</v>
      </c>
      <c r="AX183" s="128">
        <f>IVA!AS183/IVA!CL9</f>
        <v>2.9650391946897165E-4</v>
      </c>
      <c r="AY183" s="128">
        <f>IVA!AT183/IVA!CM9</f>
        <v>2.9759526451937673E-4</v>
      </c>
      <c r="AZ183" s="269">
        <f>IVA!AU183/IVA!CN9</f>
        <v>1.2440105194696505E-3</v>
      </c>
      <c r="BA183" s="264">
        <v>1999</v>
      </c>
      <c r="BB183" s="351" t="s">
        <v>578</v>
      </c>
      <c r="BC183" s="352"/>
      <c r="BD183" s="352"/>
      <c r="BE183" s="352"/>
      <c r="BF183" s="353">
        <v>306195.111132722</v>
      </c>
      <c r="BG183" s="353">
        <v>286862.44345280802</v>
      </c>
      <c r="BH183" s="353">
        <v>310428.15845355898</v>
      </c>
      <c r="BI183" s="353">
        <v>290817.56850277301</v>
      </c>
      <c r="BJ183" s="353">
        <v>321662.06895963999</v>
      </c>
      <c r="BK183" s="353">
        <v>306635.78040592797</v>
      </c>
      <c r="BL183" s="353">
        <v>282100.38207465998</v>
      </c>
      <c r="BM183" s="353">
        <v>307203.10624539002</v>
      </c>
      <c r="BN183" s="353">
        <v>304331.93442556099</v>
      </c>
      <c r="BO183" s="353">
        <v>296925.92185418698</v>
      </c>
      <c r="BP183" s="353">
        <v>313381.95145946398</v>
      </c>
      <c r="BQ183" s="354">
        <v>284796.87701582903</v>
      </c>
      <c r="BR183" s="173">
        <f>IVA!BF183+IVA!BG183+IVA!BH183</f>
        <v>903485.71303908899</v>
      </c>
      <c r="BS183" s="173">
        <f>IVA!BI183+IVA!BJ183+IVA!BK183</f>
        <v>919115.41786834085</v>
      </c>
      <c r="BT183" s="173">
        <f>IVA!BL183+IVA!BM183+IVA!BN183</f>
        <v>893635.42274561105</v>
      </c>
      <c r="BU183" s="174">
        <f>IVA!BO183+IVA!BP183+IVA!BQ183</f>
        <v>895104.75032948004</v>
      </c>
      <c r="BV183" s="135">
        <f>IVA!BR183+IVA!BS183+IVA!BT183+IVA!BU183</f>
        <v>3611341.3039825209</v>
      </c>
      <c r="BW183" s="136">
        <f>IVA!BR183/IVA!CJ8</f>
        <v>3.3370233098146936E-3</v>
      </c>
      <c r="BX183" s="137">
        <f>IVA!BS183/IVA!CK8</f>
        <v>3.1822036364257682E-3</v>
      </c>
      <c r="BY183" s="136">
        <f>IVA!BT183/IVA!CL8</f>
        <v>3.1346057719022604E-3</v>
      </c>
      <c r="BZ183" s="136">
        <f>IVA!BU183/IVA!CM8</f>
        <v>3.0926592678878306E-3</v>
      </c>
      <c r="CA183" s="271">
        <f>IVA!BV183/IVA!CN8</f>
        <v>1.2737382852648577E-2</v>
      </c>
    </row>
    <row r="184" spans="27:79" ht="12.75" customHeight="1">
      <c r="AA184" s="439">
        <v>2001</v>
      </c>
      <c r="AB184" s="439" t="s">
        <v>577</v>
      </c>
      <c r="AC184" s="440"/>
      <c r="AD184" s="441"/>
      <c r="AE184" s="443">
        <v>30825.380730000001</v>
      </c>
      <c r="AF184" s="443">
        <v>25806.43982</v>
      </c>
      <c r="AG184" s="443">
        <v>29386.185580000001</v>
      </c>
      <c r="AH184" s="443">
        <v>24464.396980000001</v>
      </c>
      <c r="AI184" s="443">
        <v>28836.571520000001</v>
      </c>
      <c r="AJ184" s="443">
        <v>26606.676950000001</v>
      </c>
      <c r="AK184" s="443">
        <v>25933.503509999999</v>
      </c>
      <c r="AL184" s="443">
        <v>25253.192299999999</v>
      </c>
      <c r="AM184" s="443">
        <v>23189.117399999999</v>
      </c>
      <c r="AN184" s="443">
        <v>24032.890449999999</v>
      </c>
      <c r="AO184" s="443">
        <v>22490.75849</v>
      </c>
      <c r="AP184" s="443">
        <v>15528.73768</v>
      </c>
      <c r="AQ184" s="153">
        <f>IVA!AE184+IVA!AF184+IVA!AG184</f>
        <v>86018.006130000009</v>
      </c>
      <c r="AR184" s="153">
        <f>IVA!AH184+IVA!AI184+IVA!AJ184</f>
        <v>79907.645450000011</v>
      </c>
      <c r="AS184" s="153">
        <f>IVA!AK184+IVA!AL184+IVA!AM184</f>
        <v>74375.813209999993</v>
      </c>
      <c r="AT184" s="153">
        <f>IVA!AN184+IVA!AO184+IVA!AP184</f>
        <v>62052.386619999997</v>
      </c>
      <c r="AU184" s="127">
        <f>IVA!AQ184+IVA!AR184+IVA!AS184+IVA!AT184</f>
        <v>302353.85141</v>
      </c>
      <c r="AV184" s="128">
        <f>IVA!AQ184/IVA!CJ10</f>
        <v>3.2665355058842299E-4</v>
      </c>
      <c r="AW184" s="128">
        <f>IVA!AR184/IVA!CK10</f>
        <v>2.7743198384467264E-4</v>
      </c>
      <c r="AX184" s="128">
        <f>IVA!AS184/IVA!CL10</f>
        <v>2.7407809706845931E-4</v>
      </c>
      <c r="AY184" s="128">
        <f>IVA!AT184/IVA!CM10</f>
        <v>2.4617813930175373E-4</v>
      </c>
      <c r="AZ184" s="269">
        <f>IVA!AU184/IVA!CN10</f>
        <v>1.12526071763858E-3</v>
      </c>
      <c r="BA184" s="264">
        <v>2000</v>
      </c>
      <c r="BB184" s="351" t="s">
        <v>578</v>
      </c>
      <c r="BC184" s="352"/>
      <c r="BD184" s="352"/>
      <c r="BE184" s="352"/>
      <c r="BF184" s="353">
        <v>322578.08986134297</v>
      </c>
      <c r="BG184" s="353">
        <v>269876.62235377799</v>
      </c>
      <c r="BH184" s="353">
        <v>304647.84381612099</v>
      </c>
      <c r="BI184" s="353">
        <v>306577.633894509</v>
      </c>
      <c r="BJ184" s="353">
        <v>342485.71720035601</v>
      </c>
      <c r="BK184" s="353">
        <v>380514.57392802701</v>
      </c>
      <c r="BL184" s="353">
        <v>317116.67076545599</v>
      </c>
      <c r="BM184" s="353">
        <v>329047.09950508201</v>
      </c>
      <c r="BN184" s="353">
        <v>315297.78890425101</v>
      </c>
      <c r="BO184" s="353">
        <v>310994.65418864798</v>
      </c>
      <c r="BP184" s="353">
        <v>308478.54947749799</v>
      </c>
      <c r="BQ184" s="354">
        <v>317404.00987808203</v>
      </c>
      <c r="BR184" s="173">
        <f>IVA!BF184+IVA!BG184+IVA!BH184</f>
        <v>897102.5560312419</v>
      </c>
      <c r="BS184" s="173">
        <f>IVA!BI184+IVA!BJ184+IVA!BK184</f>
        <v>1029577.925022892</v>
      </c>
      <c r="BT184" s="173">
        <f>IVA!BL184+IVA!BM184+IVA!BN184</f>
        <v>961461.55917478912</v>
      </c>
      <c r="BU184" s="174">
        <f>IVA!BO184+IVA!BP184+IVA!BQ184</f>
        <v>936877.21354422788</v>
      </c>
      <c r="BV184" s="135">
        <f>IVA!BR184+IVA!BS184+IVA!BT184+IVA!BU184</f>
        <v>3825019.253773151</v>
      </c>
      <c r="BW184" s="136">
        <f>IVA!BR184/IVA!CJ9</f>
        <v>3.3171471950985856E-3</v>
      </c>
      <c r="BX184" s="137">
        <f>IVA!BS184/IVA!CK9</f>
        <v>3.5284168026043861E-3</v>
      </c>
      <c r="BY184" s="136">
        <f>IVA!BT184/IVA!CL9</f>
        <v>3.3442648075268839E-3</v>
      </c>
      <c r="BZ184" s="136">
        <f>IVA!BU184/IVA!CM9</f>
        <v>3.2634820840992877E-3</v>
      </c>
      <c r="CA184" s="271">
        <f>IVA!BV184/IVA!CN9</f>
        <v>1.3458722474931059E-2</v>
      </c>
    </row>
    <row r="185" spans="27:79" ht="12.75" customHeight="1">
      <c r="AA185" s="439">
        <v>2002</v>
      </c>
      <c r="AB185" s="439" t="s">
        <v>577</v>
      </c>
      <c r="AC185" s="440"/>
      <c r="AD185" s="441"/>
      <c r="AE185" s="443">
        <v>17826.29261</v>
      </c>
      <c r="AF185" s="443">
        <v>16050.77218</v>
      </c>
      <c r="AG185" s="443">
        <v>16381.46889</v>
      </c>
      <c r="AH185" s="443">
        <v>15171.18209</v>
      </c>
      <c r="AI185" s="443">
        <v>24437.293470000001</v>
      </c>
      <c r="AJ185" s="443">
        <v>16544.506259999998</v>
      </c>
      <c r="AK185" s="443">
        <v>21059.64356</v>
      </c>
      <c r="AL185" s="443">
        <v>18714.192070000001</v>
      </c>
      <c r="AM185" s="443">
        <v>18426.372940000001</v>
      </c>
      <c r="AN185" s="443">
        <v>19230.822619999999</v>
      </c>
      <c r="AO185" s="443">
        <v>18643.870889999998</v>
      </c>
      <c r="AP185" s="443">
        <v>20770.56626</v>
      </c>
      <c r="AQ185" s="153">
        <f>IVA!AE185+IVA!AF185+IVA!AG185</f>
        <v>50258.533680000008</v>
      </c>
      <c r="AR185" s="153">
        <f>IVA!AH185+IVA!AI185+IVA!AJ185</f>
        <v>56152.981820000001</v>
      </c>
      <c r="AS185" s="153">
        <f>IVA!AK185+IVA!AL185+IVA!AM185</f>
        <v>58200.208570000003</v>
      </c>
      <c r="AT185" s="153">
        <f>IVA!AN185+IVA!AO185+IVA!AP185</f>
        <v>58645.259769999997</v>
      </c>
      <c r="AU185" s="127">
        <f>IVA!AQ185+IVA!AR185+IVA!AS185+IVA!AT185</f>
        <v>223256.98384</v>
      </c>
      <c r="AV185" s="128">
        <f>IVA!AQ185/IVA!CJ11</f>
        <v>2.1201033371720729E-4</v>
      </c>
      <c r="AW185" s="128">
        <f>IVA!AR185/IVA!CK11</f>
        <v>1.656390067903938E-4</v>
      </c>
      <c r="AX185" s="128">
        <f>IVA!AS185/IVA!CL11</f>
        <v>1.742488708131616E-4</v>
      </c>
      <c r="AY185" s="128">
        <f>IVA!AT185/IVA!CM11</f>
        <v>1.7235961562781687E-4</v>
      </c>
      <c r="AZ185" s="269">
        <f>IVA!AU185/IVA!CN11</f>
        <v>7.1423917425711902E-4</v>
      </c>
      <c r="BA185" s="264">
        <v>2001</v>
      </c>
      <c r="BB185" s="351" t="s">
        <v>578</v>
      </c>
      <c r="BC185" s="352"/>
      <c r="BD185" s="352"/>
      <c r="BE185" s="352"/>
      <c r="BF185" s="353">
        <v>324094.45761315402</v>
      </c>
      <c r="BG185" s="353">
        <v>285236.19378360698</v>
      </c>
      <c r="BH185" s="353">
        <v>283076.42054646899</v>
      </c>
      <c r="BI185" s="353">
        <v>278394.52794335398</v>
      </c>
      <c r="BJ185" s="353">
        <v>372754.16746409802</v>
      </c>
      <c r="BK185" s="353">
        <v>368885.52831036499</v>
      </c>
      <c r="BL185" s="353">
        <v>269928.42914713698</v>
      </c>
      <c r="BM185" s="353">
        <v>295958.83816982899</v>
      </c>
      <c r="BN185" s="353">
        <v>254741.050274737</v>
      </c>
      <c r="BO185" s="353">
        <v>249303.24812128901</v>
      </c>
      <c r="BP185" s="353">
        <v>252644.69458059501</v>
      </c>
      <c r="BQ185" s="354">
        <v>201519.209525885</v>
      </c>
      <c r="BR185" s="173">
        <f>IVA!BF185+IVA!BG185+IVA!BH185</f>
        <v>892407.07194323</v>
      </c>
      <c r="BS185" s="173">
        <f>IVA!BI185+IVA!BJ185+IVA!BK185</f>
        <v>1020034.2237178171</v>
      </c>
      <c r="BT185" s="173">
        <f>IVA!BL185+IVA!BM185+IVA!BN185</f>
        <v>820628.31759170303</v>
      </c>
      <c r="BU185" s="174">
        <f>IVA!BO185+IVA!BP185+IVA!BQ185</f>
        <v>703467.15222776902</v>
      </c>
      <c r="BV185" s="135">
        <f>IVA!BR185+IVA!BS185+IVA!BT185+IVA!BU185</f>
        <v>3436536.7654805193</v>
      </c>
      <c r="BW185" s="136">
        <f>IVA!BR185/IVA!CJ10</f>
        <v>3.3889176433584728E-3</v>
      </c>
      <c r="BX185" s="137">
        <f>IVA!BS185/IVA!CK10</f>
        <v>3.5414648583603661E-3</v>
      </c>
      <c r="BY185" s="136">
        <f>IVA!BT185/IVA!CL10</f>
        <v>3.0240509377823478E-3</v>
      </c>
      <c r="BZ185" s="136">
        <f>IVA!BU185/IVA!CM10</f>
        <v>2.7908392251833058E-3</v>
      </c>
      <c r="CA185" s="271">
        <f>IVA!BV185/IVA!CN10</f>
        <v>1.2789649640256169E-2</v>
      </c>
    </row>
    <row r="186" spans="27:79" ht="12.75" customHeight="1">
      <c r="AA186" s="439">
        <v>2003</v>
      </c>
      <c r="AB186" s="439" t="s">
        <v>577</v>
      </c>
      <c r="AC186" s="440"/>
      <c r="AD186" s="441"/>
      <c r="AE186" s="443">
        <v>21738.87326</v>
      </c>
      <c r="AF186" s="443">
        <v>19437.269359999998</v>
      </c>
      <c r="AG186" s="443">
        <v>20335.888859999999</v>
      </c>
      <c r="AH186" s="443">
        <v>22304.588820000001</v>
      </c>
      <c r="AI186" s="443">
        <v>26647.34893</v>
      </c>
      <c r="AJ186" s="443">
        <v>23970.053380000001</v>
      </c>
      <c r="AK186" s="443">
        <v>25345.378089999998</v>
      </c>
      <c r="AL186" s="443">
        <v>24796.026949999999</v>
      </c>
      <c r="AM186" s="443">
        <v>25444.42671</v>
      </c>
      <c r="AN186" s="443">
        <v>25879.635160000002</v>
      </c>
      <c r="AO186" s="443">
        <v>24415.279790000001</v>
      </c>
      <c r="AP186" s="443">
        <v>22426.61407</v>
      </c>
      <c r="AQ186" s="153">
        <f>IVA!AE186+IVA!AF186+IVA!AG186</f>
        <v>61512.031479999998</v>
      </c>
      <c r="AR186" s="153">
        <f>IVA!AH186+IVA!AI186+IVA!AJ186</f>
        <v>72921.991129999995</v>
      </c>
      <c r="AS186" s="153">
        <f>IVA!AK186+IVA!AL186+IVA!AM186</f>
        <v>75585.831749999998</v>
      </c>
      <c r="AT186" s="153">
        <f>IVA!AN186+IVA!AO186+IVA!AP186</f>
        <v>72721.529020000002</v>
      </c>
      <c r="AU186" s="127">
        <f>IVA!AQ186+IVA!AR186+IVA!AS186+IVA!AT186</f>
        <v>282741.38338000001</v>
      </c>
      <c r="AV186" s="128">
        <f>IVA!AQ186/IVA!CJ12</f>
        <v>1.8790217398476303E-4</v>
      </c>
      <c r="AW186" s="128">
        <f>IVA!AR186/IVA!CK12</f>
        <v>1.8270746561686958E-4</v>
      </c>
      <c r="AX186" s="128">
        <f>IVA!AS186/IVA!CL12</f>
        <v>2.0002218435439016E-4</v>
      </c>
      <c r="AY186" s="128">
        <f>IVA!AT186/IVA!CM12</f>
        <v>1.8213640407103459E-4</v>
      </c>
      <c r="AZ186" s="269">
        <f>IVA!AU186/IVA!CN12</f>
        <v>7.5215307841631335E-4</v>
      </c>
      <c r="BA186" s="264">
        <v>2002</v>
      </c>
      <c r="BB186" s="351" t="s">
        <v>578</v>
      </c>
      <c r="BC186" s="352"/>
      <c r="BD186" s="352"/>
      <c r="BE186" s="352"/>
      <c r="BF186" s="353">
        <v>235887.87747116099</v>
      </c>
      <c r="BG186" s="353">
        <v>215021.92837678301</v>
      </c>
      <c r="BH186" s="353">
        <v>219085.60801725401</v>
      </c>
      <c r="BI186" s="353">
        <v>192707.58686764399</v>
      </c>
      <c r="BJ186" s="353">
        <v>339176.38918110199</v>
      </c>
      <c r="BK186" s="353">
        <v>308292.32920055301</v>
      </c>
      <c r="BL186" s="353">
        <v>308452.54698932503</v>
      </c>
      <c r="BM186" s="353">
        <v>307825.62369043898</v>
      </c>
      <c r="BN186" s="353">
        <v>293953.297552492</v>
      </c>
      <c r="BO186" s="353">
        <v>317612.72925054899</v>
      </c>
      <c r="BP186" s="353">
        <v>355739.73857219401</v>
      </c>
      <c r="BQ186" s="354">
        <v>314566.81853683002</v>
      </c>
      <c r="BR186" s="173">
        <f>IVA!BF186+IVA!BG186+IVA!BH186</f>
        <v>669995.41386519803</v>
      </c>
      <c r="BS186" s="173">
        <f>IVA!BI186+IVA!BJ186+IVA!BK186</f>
        <v>840176.30524929892</v>
      </c>
      <c r="BT186" s="173">
        <f>IVA!BL186+IVA!BM186+IVA!BN186</f>
        <v>910231.46823225601</v>
      </c>
      <c r="BU186" s="174">
        <f>IVA!BO186+IVA!BP186+IVA!BQ186</f>
        <v>987919.28635957302</v>
      </c>
      <c r="BV186" s="135">
        <f>IVA!BR186+IVA!BS186+IVA!BT186+IVA!BU186</f>
        <v>3408322.4737063255</v>
      </c>
      <c r="BW186" s="136">
        <f>IVA!BR186/IVA!CJ11</f>
        <v>2.8263051243591123E-3</v>
      </c>
      <c r="BX186" s="137">
        <f>IVA!BS186/IVA!CK11</f>
        <v>2.4783362204418122E-3</v>
      </c>
      <c r="BY186" s="136">
        <f>IVA!BT186/IVA!CL11</f>
        <v>2.7251930777415214E-3</v>
      </c>
      <c r="BZ186" s="136">
        <f>IVA!BU186/IVA!CM11</f>
        <v>2.9035149496489843E-3</v>
      </c>
      <c r="CA186" s="271">
        <f>IVA!BV186/IVA!CN11</f>
        <v>1.0903835514353276E-2</v>
      </c>
    </row>
    <row r="187" spans="27:79" ht="12.75" customHeight="1">
      <c r="AA187" s="439">
        <v>2004</v>
      </c>
      <c r="AB187" s="439" t="s">
        <v>577</v>
      </c>
      <c r="AC187" s="440"/>
      <c r="AD187" s="441"/>
      <c r="AE187" s="443">
        <v>28337.778549999999</v>
      </c>
      <c r="AF187" s="443">
        <v>24403.737440000001</v>
      </c>
      <c r="AG187" s="443">
        <v>27845.591680000001</v>
      </c>
      <c r="AH187" s="443">
        <v>26181.868910000001</v>
      </c>
      <c r="AI187" s="443">
        <v>26648.54838</v>
      </c>
      <c r="AJ187" s="443">
        <v>9361.0626400000001</v>
      </c>
      <c r="AK187" s="443">
        <v>63989.73057</v>
      </c>
      <c r="AL187" s="443">
        <v>52046.575989999998</v>
      </c>
      <c r="AM187" s="443">
        <v>72937.052150000003</v>
      </c>
      <c r="AN187" s="443">
        <v>58570.600830000003</v>
      </c>
      <c r="AO187" s="443">
        <v>54986.884469999997</v>
      </c>
      <c r="AP187" s="443">
        <v>54067.122949999997</v>
      </c>
      <c r="AQ187" s="153">
        <f>IVA!AE187+IVA!AF187+IVA!AG187</f>
        <v>80587.107669999998</v>
      </c>
      <c r="AR187" s="153">
        <f>IVA!AH187+IVA!AI187+IVA!AJ187</f>
        <v>62191.479930000001</v>
      </c>
      <c r="AS187" s="153">
        <f>IVA!AK187+IVA!AL187+IVA!AM187</f>
        <v>188973.35871</v>
      </c>
      <c r="AT187" s="153">
        <f>IVA!AN187+IVA!AO187+IVA!AP187</f>
        <v>167624.60824999999</v>
      </c>
      <c r="AU187" s="127">
        <f>IVA!AQ187+IVA!AR187+IVA!AS187+IVA!AT187</f>
        <v>499376.55456000002</v>
      </c>
      <c r="AV187" s="128">
        <f>IVA!AQ187/IVA!CJ13</f>
        <v>2.0515178230575559E-4</v>
      </c>
      <c r="AW187" s="128">
        <f>IVA!AR187/IVA!CK13</f>
        <v>1.3114669869864241E-4</v>
      </c>
      <c r="AX187" s="128">
        <f>IVA!AS187/IVA!CL13</f>
        <v>4.1800897900270826E-4</v>
      </c>
      <c r="AY187" s="128">
        <f>IVA!AT187/IVA!CM13</f>
        <v>3.5554098685880149E-4</v>
      </c>
      <c r="AZ187" s="269">
        <f>IVA!AU187/IVA!CN13</f>
        <v>1.115567717417011E-3</v>
      </c>
      <c r="BA187" s="264">
        <v>2003</v>
      </c>
      <c r="BB187" s="351" t="s">
        <v>578</v>
      </c>
      <c r="BC187" s="352"/>
      <c r="BD187" s="352"/>
      <c r="BE187" s="352"/>
      <c r="BF187" s="353">
        <v>385363.027339869</v>
      </c>
      <c r="BG187" s="353">
        <v>302539.85941995803</v>
      </c>
      <c r="BH187" s="353">
        <v>323427.18855607201</v>
      </c>
      <c r="BI187" s="353">
        <v>366682.22564546199</v>
      </c>
      <c r="BJ187" s="353">
        <v>479799.78361689299</v>
      </c>
      <c r="BK187" s="353">
        <v>435975.43950544897</v>
      </c>
      <c r="BL187" s="353">
        <v>420628.45883647102</v>
      </c>
      <c r="BM187" s="353">
        <v>436789.45612173702</v>
      </c>
      <c r="BN187" s="353">
        <v>441055.32762743701</v>
      </c>
      <c r="BO187" s="353">
        <v>431899.407557728</v>
      </c>
      <c r="BP187" s="353">
        <v>472118.60544178402</v>
      </c>
      <c r="BQ187" s="354">
        <v>480535.55678678799</v>
      </c>
      <c r="BR187" s="173">
        <f>IVA!BF187+IVA!BG187+IVA!BH187</f>
        <v>1011330.075315899</v>
      </c>
      <c r="BS187" s="173">
        <f>IVA!BI187+IVA!BJ187+IVA!BK187</f>
        <v>1282457.4487678041</v>
      </c>
      <c r="BT187" s="173">
        <f>IVA!BL187+IVA!BM187+IVA!BN187</f>
        <v>1298473.2425856451</v>
      </c>
      <c r="BU187" s="174">
        <f>IVA!BO187+IVA!BP187+IVA!BQ187</f>
        <v>1384553.5697863</v>
      </c>
      <c r="BV187" s="135">
        <f>IVA!BR187+IVA!BS187+IVA!BT187+IVA!BU187</f>
        <v>4976814.3364556478</v>
      </c>
      <c r="BW187" s="136">
        <f>IVA!BR187/IVA!CJ12</f>
        <v>3.0893325288698717E-3</v>
      </c>
      <c r="BX187" s="137">
        <f>IVA!BS187/IVA!CK12</f>
        <v>3.213222055444468E-3</v>
      </c>
      <c r="BY187" s="136">
        <f>IVA!BT187/IVA!CL12</f>
        <v>3.4361393966893627E-3</v>
      </c>
      <c r="BZ187" s="136">
        <f>IVA!BU187/IVA!CM12</f>
        <v>3.4677159823638549E-3</v>
      </c>
      <c r="CA187" s="271">
        <f>IVA!BV187/IVA!CN12</f>
        <v>1.3239399832887517E-2</v>
      </c>
    </row>
    <row r="188" spans="27:79" ht="12.75" customHeight="1">
      <c r="AA188" s="439">
        <v>2005</v>
      </c>
      <c r="AB188" s="439" t="s">
        <v>577</v>
      </c>
      <c r="AC188" s="440"/>
      <c r="AD188" s="441"/>
      <c r="AE188" s="443">
        <v>57209.001519999998</v>
      </c>
      <c r="AF188" s="443">
        <v>62154.714540000001</v>
      </c>
      <c r="AG188" s="443">
        <v>61854.013350000001</v>
      </c>
      <c r="AH188" s="443">
        <v>60897.398529999999</v>
      </c>
      <c r="AI188" s="443">
        <v>61961.787989999997</v>
      </c>
      <c r="AJ188" s="443">
        <v>62725.213349999998</v>
      </c>
      <c r="AK188" s="443">
        <v>62579.464529999997</v>
      </c>
      <c r="AL188" s="443">
        <v>64402.35802</v>
      </c>
      <c r="AM188" s="443">
        <v>64679.734230000002</v>
      </c>
      <c r="AN188" s="443">
        <v>63848.605179999999</v>
      </c>
      <c r="AO188" s="443">
        <v>67326.558749999997</v>
      </c>
      <c r="AP188" s="443">
        <v>67283.244260000007</v>
      </c>
      <c r="AQ188" s="153">
        <f>IVA!AE188+IVA!AF188+IVA!AG188</f>
        <v>181217.72941</v>
      </c>
      <c r="AR188" s="153">
        <f>IVA!AH188+IVA!AI188+IVA!AJ188</f>
        <v>185584.39986999999</v>
      </c>
      <c r="AS188" s="153">
        <f>IVA!AK188+IVA!AL188+IVA!AM188</f>
        <v>191661.55677999998</v>
      </c>
      <c r="AT188" s="153">
        <f>IVA!AN188+IVA!AO188+IVA!AP188</f>
        <v>198458.40818999999</v>
      </c>
      <c r="AU188" s="127">
        <f>IVA!AQ188+IVA!AR188+IVA!AS188+IVA!AT188</f>
        <v>756922.09424999997</v>
      </c>
      <c r="AV188" s="128">
        <f>IVA!AQ188/IVA!CJ14</f>
        <v>3.9674258350045098E-4</v>
      </c>
      <c r="AW188" s="128">
        <f>IVA!AR188/IVA!CK14</f>
        <v>3.359529791017337E-4</v>
      </c>
      <c r="AX188" s="128">
        <f>IVA!AS188/IVA!CL14</f>
        <v>3.5217132895535495E-4</v>
      </c>
      <c r="AY188" s="128">
        <f>IVA!AT188/IVA!CM14</f>
        <v>3.4553496895072368E-4</v>
      </c>
      <c r="AZ188" s="269">
        <f>IVA!AU188/IVA!CN14</f>
        <v>1.422949792002979E-3</v>
      </c>
      <c r="BA188" s="264">
        <v>2004</v>
      </c>
      <c r="BB188" s="351" t="s">
        <v>578</v>
      </c>
      <c r="BC188" s="352"/>
      <c r="BD188" s="352"/>
      <c r="BE188" s="352"/>
      <c r="BF188" s="353">
        <v>533928.17992696795</v>
      </c>
      <c r="BG188" s="353">
        <v>461288.50327392202</v>
      </c>
      <c r="BH188" s="353">
        <v>486449.99717487401</v>
      </c>
      <c r="BI188" s="353">
        <v>489363.192498927</v>
      </c>
      <c r="BJ188" s="353">
        <v>931413.49329314101</v>
      </c>
      <c r="BK188" s="353">
        <v>742646.85195823701</v>
      </c>
      <c r="BL188" s="353">
        <v>609312.61501215305</v>
      </c>
      <c r="BM188" s="353">
        <v>627540.20703983295</v>
      </c>
      <c r="BN188" s="353">
        <v>591827.43409597105</v>
      </c>
      <c r="BO188" s="353">
        <v>585178.90670723503</v>
      </c>
      <c r="BP188" s="353">
        <v>609506.74978591804</v>
      </c>
      <c r="BQ188" s="354">
        <v>552806.79556750495</v>
      </c>
      <c r="BR188" s="173">
        <f>IVA!BF188+IVA!BG188+IVA!BH188</f>
        <v>1481666.6803757639</v>
      </c>
      <c r="BS188" s="173">
        <f>IVA!BI188+IVA!BJ188+IVA!BK188</f>
        <v>2163423.5377503051</v>
      </c>
      <c r="BT188" s="173">
        <f>IVA!BL188+IVA!BM188+IVA!BN188</f>
        <v>1828680.2561479572</v>
      </c>
      <c r="BU188" s="174">
        <f>IVA!BO188+IVA!BP188+IVA!BQ188</f>
        <v>1747492.452060658</v>
      </c>
      <c r="BV188" s="135">
        <f>IVA!BR188+IVA!BS188+IVA!BT188+IVA!BU188</f>
        <v>7221262.9263346847</v>
      </c>
      <c r="BW188" s="136">
        <f>IVA!BR188/IVA!CJ13</f>
        <v>3.7719006060729652E-3</v>
      </c>
      <c r="BX188" s="137">
        <f>IVA!BS188/IVA!CK13</f>
        <v>4.5621338354102465E-3</v>
      </c>
      <c r="BY188" s="136">
        <f>IVA!BT188/IVA!CL13</f>
        <v>4.0450398511881255E-3</v>
      </c>
      <c r="BZ188" s="136">
        <f>IVA!BU188/IVA!CM13</f>
        <v>3.7065273256735756E-3</v>
      </c>
      <c r="CA188" s="271">
        <f>IVA!BV188/IVA!CN13</f>
        <v>1.6131730106346762E-2</v>
      </c>
    </row>
    <row r="189" spans="27:79" ht="12.75" customHeight="1">
      <c r="AA189" s="439">
        <v>2006</v>
      </c>
      <c r="AB189" s="439" t="s">
        <v>577</v>
      </c>
      <c r="AC189" s="440"/>
      <c r="AD189" s="441"/>
      <c r="AE189" s="443">
        <v>65230.451520000002</v>
      </c>
      <c r="AF189" s="443">
        <v>64294.094620000003</v>
      </c>
      <c r="AG189" s="443">
        <v>70239.976089999996</v>
      </c>
      <c r="AH189" s="443">
        <v>66618.060410000006</v>
      </c>
      <c r="AI189" s="443">
        <v>71913.649160000001</v>
      </c>
      <c r="AJ189" s="443">
        <v>71548.535300000003</v>
      </c>
      <c r="AK189" s="443">
        <v>73217.092900000003</v>
      </c>
      <c r="AL189" s="443">
        <v>73336.791589999993</v>
      </c>
      <c r="AM189" s="443">
        <v>75251.003389999998</v>
      </c>
      <c r="AN189" s="443">
        <v>79999.026559999998</v>
      </c>
      <c r="AO189" s="443">
        <v>78451.830470000001</v>
      </c>
      <c r="AP189" s="443">
        <v>78645.206510000004</v>
      </c>
      <c r="AQ189" s="153">
        <f>IVA!AE189+IVA!AF189+IVA!AG189</f>
        <v>199764.52223</v>
      </c>
      <c r="AR189" s="153">
        <f>IVA!AH189+IVA!AI189+IVA!AJ189</f>
        <v>210080.24486999999</v>
      </c>
      <c r="AS189" s="153">
        <f>IVA!AK189+IVA!AL189+IVA!AM189</f>
        <v>221804.88787999999</v>
      </c>
      <c r="AT189" s="153">
        <f>IVA!AN189+IVA!AO189+IVA!AP189</f>
        <v>237096.06354</v>
      </c>
      <c r="AU189" s="127">
        <f>IVA!AQ189+IVA!AR189+IVA!AS189+IVA!AT189</f>
        <v>868745.71851999999</v>
      </c>
      <c r="AV189" s="128">
        <f>IVA!AQ189/IVA!CJ15</f>
        <v>3.5170181767765155E-4</v>
      </c>
      <c r="AW189" s="128">
        <f>IVA!AR189/IVA!CK15</f>
        <v>3.0972565476424847E-4</v>
      </c>
      <c r="AX189" s="128">
        <f>IVA!AS189/IVA!CL15</f>
        <v>3.3194523742235369E-4</v>
      </c>
      <c r="AY189" s="128">
        <f>IVA!AT189/IVA!CM15</f>
        <v>3.3712613393045048E-4</v>
      </c>
      <c r="AZ189" s="269">
        <f>IVA!AU189/IVA!CN15</f>
        <v>1.3274663308603617E-3</v>
      </c>
      <c r="BA189" s="264">
        <v>2005</v>
      </c>
      <c r="BB189" s="351" t="s">
        <v>578</v>
      </c>
      <c r="BC189" s="352"/>
      <c r="BD189" s="352"/>
      <c r="BE189" s="352"/>
      <c r="BF189" s="353">
        <v>652215.41325468803</v>
      </c>
      <c r="BG189" s="353">
        <v>599203.96178407001</v>
      </c>
      <c r="BH189" s="353">
        <v>616688.91070515604</v>
      </c>
      <c r="BI189" s="353">
        <v>681725.42350010597</v>
      </c>
      <c r="BJ189" s="353">
        <v>868203.58666069899</v>
      </c>
      <c r="BK189" s="353">
        <v>837542.73314023099</v>
      </c>
      <c r="BL189" s="353">
        <v>690896.34561129997</v>
      </c>
      <c r="BM189" s="353">
        <v>742599.20154037105</v>
      </c>
      <c r="BN189" s="353">
        <v>748950.57981298701</v>
      </c>
      <c r="BO189" s="353">
        <v>713365.587330868</v>
      </c>
      <c r="BP189" s="353">
        <v>749877.79226518702</v>
      </c>
      <c r="BQ189" s="354">
        <v>815024.64710733702</v>
      </c>
      <c r="BR189" s="173">
        <f>IVA!BF189+IVA!BG189+IVA!BH189</f>
        <v>1868108.2857439141</v>
      </c>
      <c r="BS189" s="173">
        <f>IVA!BI189+IVA!BJ189+IVA!BK189</f>
        <v>2387471.7433010358</v>
      </c>
      <c r="BT189" s="173">
        <f>IVA!BL189+IVA!BM189+IVA!BN189</f>
        <v>2182446.126964658</v>
      </c>
      <c r="BU189" s="174">
        <f>IVA!BO189+IVA!BP189+IVA!BQ189</f>
        <v>2278268.0267033922</v>
      </c>
      <c r="BV189" s="135">
        <f>IVA!BR189+IVA!BS189+IVA!BT189+IVA!BU189</f>
        <v>8716294.182713002</v>
      </c>
      <c r="BW189" s="136">
        <f>IVA!BR189/IVA!CJ14</f>
        <v>4.0898763600982439E-3</v>
      </c>
      <c r="BX189" s="137">
        <f>IVA!BS189/IVA!CK14</f>
        <v>4.3219055332508576E-3</v>
      </c>
      <c r="BY189" s="136">
        <f>IVA!BT189/IVA!CL14</f>
        <v>4.0101675360429629E-3</v>
      </c>
      <c r="BZ189" s="136">
        <f>IVA!BU189/IVA!CM14</f>
        <v>3.9666813769599204E-3</v>
      </c>
      <c r="CA189" s="271">
        <f>IVA!BV189/IVA!CN14</f>
        <v>1.6385899009352695E-2</v>
      </c>
    </row>
    <row r="190" spans="27:79" ht="12.75" customHeight="1">
      <c r="AA190" s="439">
        <v>2007</v>
      </c>
      <c r="AB190" s="439" t="s">
        <v>577</v>
      </c>
      <c r="AC190" s="440"/>
      <c r="AD190" s="441"/>
      <c r="AE190" s="443">
        <v>83002.685719999994</v>
      </c>
      <c r="AF190" s="443">
        <v>76129.373940000005</v>
      </c>
      <c r="AG190" s="443">
        <v>86483.633440000005</v>
      </c>
      <c r="AH190" s="443">
        <v>82472.061669999996</v>
      </c>
      <c r="AI190" s="443">
        <v>87390.075429999997</v>
      </c>
      <c r="AJ190" s="443">
        <v>86955.334279999995</v>
      </c>
      <c r="AK190" s="443">
        <v>89857.276710000006</v>
      </c>
      <c r="AL190" s="443">
        <v>91790.675229999993</v>
      </c>
      <c r="AM190" s="443">
        <v>90125.940730000002</v>
      </c>
      <c r="AN190" s="443">
        <v>96419.787349999999</v>
      </c>
      <c r="AO190" s="443">
        <v>96356.815879999995</v>
      </c>
      <c r="AP190" s="443">
        <v>96343.988500000007</v>
      </c>
      <c r="AQ190" s="153">
        <f>IVA!AE190+IVA!AF190+IVA!AG190</f>
        <v>245615.6931</v>
      </c>
      <c r="AR190" s="153">
        <f>IVA!AH190+IVA!AI190+IVA!AJ190</f>
        <v>256817.47138</v>
      </c>
      <c r="AS190" s="153">
        <f>IVA!AK190+IVA!AL190+IVA!AM190</f>
        <v>271773.89266999997</v>
      </c>
      <c r="AT190" s="153">
        <f>IVA!AN190+IVA!AO190+IVA!AP190</f>
        <v>289120.59172999999</v>
      </c>
      <c r="AU190" s="127">
        <f>IVA!AQ190+IVA!AR190+IVA!AS190+IVA!AT190</f>
        <v>1063327.64888</v>
      </c>
      <c r="AV190" s="128">
        <f>IVA!AQ190/IVA!CJ16</f>
        <v>3.6060561002466528E-4</v>
      </c>
      <c r="AW190" s="128">
        <f>IVA!AR190/IVA!CK16</f>
        <v>3.0751969855247088E-4</v>
      </c>
      <c r="AX190" s="128">
        <f>IVA!AS190/IVA!CL16</f>
        <v>3.2844235049784702E-4</v>
      </c>
      <c r="AY190" s="128">
        <f>IVA!AT190/IVA!CM16</f>
        <v>3.1907717686768881E-4</v>
      </c>
      <c r="AZ190" s="269">
        <f>IVA!AU190/IVA!CN16</f>
        <v>1.3087821046844669E-3</v>
      </c>
      <c r="BA190" s="264">
        <v>2006</v>
      </c>
      <c r="BB190" s="351" t="s">
        <v>578</v>
      </c>
      <c r="BC190" s="352"/>
      <c r="BD190" s="352"/>
      <c r="BE190" s="352"/>
      <c r="BF190" s="353">
        <v>820563.65027992497</v>
      </c>
      <c r="BG190" s="353">
        <v>758639.80733115901</v>
      </c>
      <c r="BH190" s="353">
        <v>763029.783256119</v>
      </c>
      <c r="BI190" s="353">
        <v>712317.88754607702</v>
      </c>
      <c r="BJ190" s="353">
        <v>1012182.34192885</v>
      </c>
      <c r="BK190" s="353">
        <v>1043703.7143636401</v>
      </c>
      <c r="BL190" s="353">
        <v>861496.81928474596</v>
      </c>
      <c r="BM190" s="353">
        <v>939028.717525088</v>
      </c>
      <c r="BN190" s="353">
        <v>908030.73801792401</v>
      </c>
      <c r="BO190" s="353">
        <v>952806.40873867401</v>
      </c>
      <c r="BP190" s="353">
        <v>995963.29372669396</v>
      </c>
      <c r="BQ190" s="354">
        <v>1023846.10892377</v>
      </c>
      <c r="BR190" s="173">
        <f>IVA!BF190+IVA!BG190+IVA!BH190</f>
        <v>2342233.2408672031</v>
      </c>
      <c r="BS190" s="173">
        <f>IVA!BI190+IVA!BJ190+IVA!BK190</f>
        <v>2768203.943838567</v>
      </c>
      <c r="BT190" s="173">
        <f>IVA!BL190+IVA!BM190+IVA!BN190</f>
        <v>2708556.2748277579</v>
      </c>
      <c r="BU190" s="174">
        <f>IVA!BO190+IVA!BP190+IVA!BQ190</f>
        <v>2972615.811389138</v>
      </c>
      <c r="BV190" s="135">
        <f>IVA!BR190+IVA!BS190+IVA!BT190+IVA!BU190</f>
        <v>10791609.270922665</v>
      </c>
      <c r="BW190" s="136">
        <f>IVA!BR190/IVA!CJ15</f>
        <v>4.1236936320933025E-3</v>
      </c>
      <c r="BX190" s="137">
        <f>IVA!BS190/IVA!CK15</f>
        <v>4.0812203906032849E-3</v>
      </c>
      <c r="BY190" s="136">
        <f>IVA!BT190/IVA!CL15</f>
        <v>4.0535281449970992E-3</v>
      </c>
      <c r="BZ190" s="136">
        <f>IVA!BU190/IVA!CM15</f>
        <v>4.2267529084685932E-3</v>
      </c>
      <c r="CA190" s="271">
        <f>IVA!BV190/IVA!CN15</f>
        <v>1.6489863095216595E-2</v>
      </c>
    </row>
    <row r="191" spans="27:79" ht="12.75" customHeight="1">
      <c r="AA191" s="439">
        <v>2008</v>
      </c>
      <c r="AB191" s="439" t="s">
        <v>577</v>
      </c>
      <c r="AC191" s="440"/>
      <c r="AD191" s="441"/>
      <c r="AE191" s="443">
        <v>103441.82324</v>
      </c>
      <c r="AF191" s="443">
        <v>101232.85045</v>
      </c>
      <c r="AG191" s="443">
        <v>97459.223599999998</v>
      </c>
      <c r="AH191" s="443">
        <v>111151.40187</v>
      </c>
      <c r="AI191" s="443">
        <v>112632.82987</v>
      </c>
      <c r="AJ191" s="443">
        <v>110336.04541999999</v>
      </c>
      <c r="AK191" s="443">
        <v>116937.56322</v>
      </c>
      <c r="AL191" s="443">
        <v>114967.50457</v>
      </c>
      <c r="AM191" s="443">
        <v>119765.11594</v>
      </c>
      <c r="AN191" s="443">
        <v>124581.24714000001</v>
      </c>
      <c r="AO191" s="443">
        <v>118959.89573</v>
      </c>
      <c r="AP191" s="443">
        <v>123243.62118</v>
      </c>
      <c r="AQ191" s="153">
        <f>IVA!AE191+IVA!AF191+IVA!AG191</f>
        <v>302133.89728999999</v>
      </c>
      <c r="AR191" s="153">
        <f>IVA!AH191+IVA!AI191+IVA!AJ191</f>
        <v>334120.27716</v>
      </c>
      <c r="AS191" s="153">
        <f>IVA!AK191+IVA!AL191+IVA!AM191</f>
        <v>351670.18372999999</v>
      </c>
      <c r="AT191" s="153">
        <f>IVA!AN191+IVA!AO191+IVA!AP191</f>
        <v>366784.76405</v>
      </c>
      <c r="AU191" s="127">
        <f>IVA!AQ191+IVA!AR191+IVA!AS191+IVA!AT191</f>
        <v>1354709.1222299999</v>
      </c>
      <c r="AV191" s="128">
        <f>IVA!AQ191/IVA!CJ17</f>
        <v>3.4037771636795421E-4</v>
      </c>
      <c r="AW191" s="128">
        <f>IVA!AR191/IVA!CK17</f>
        <v>3.0156815405191749E-4</v>
      </c>
      <c r="AX191" s="128">
        <f>IVA!AS191/IVA!CL17</f>
        <v>3.3253266499658576E-4</v>
      </c>
      <c r="AY191" s="128">
        <f>IVA!AT191/IVA!CM17</f>
        <v>3.402783122113231E-4</v>
      </c>
      <c r="AZ191" s="269">
        <f>IVA!AU191/IVA!CN17</f>
        <v>1.3117391704833077E-3</v>
      </c>
      <c r="BA191" s="264">
        <v>2007</v>
      </c>
      <c r="BB191" s="351" t="s">
        <v>578</v>
      </c>
      <c r="BC191" s="352"/>
      <c r="BD191" s="352"/>
      <c r="BE191" s="352"/>
      <c r="BF191" s="353">
        <v>1028013.855411</v>
      </c>
      <c r="BG191" s="353">
        <v>948377.81457213406</v>
      </c>
      <c r="BH191" s="353">
        <v>956683.48772514798</v>
      </c>
      <c r="BI191" s="353">
        <v>906210.48521568102</v>
      </c>
      <c r="BJ191" s="353">
        <v>1322303.4028835599</v>
      </c>
      <c r="BK191" s="353">
        <v>1326322.8639008601</v>
      </c>
      <c r="BL191" s="353">
        <v>1197568.5220880299</v>
      </c>
      <c r="BM191" s="353">
        <v>1300969.8204465499</v>
      </c>
      <c r="BN191" s="353">
        <v>1172047.2696899399</v>
      </c>
      <c r="BO191" s="353">
        <v>1231655.2830543399</v>
      </c>
      <c r="BP191" s="353">
        <v>1297351.54301345</v>
      </c>
      <c r="BQ191" s="354">
        <v>1379782.05524382</v>
      </c>
      <c r="BR191" s="173">
        <f>IVA!BF191+IVA!BG191+IVA!BH191</f>
        <v>2933075.1577082821</v>
      </c>
      <c r="BS191" s="173">
        <f>IVA!BI191+IVA!BJ191+IVA!BK191</f>
        <v>3554836.7520001009</v>
      </c>
      <c r="BT191" s="173">
        <f>IVA!BL191+IVA!BM191+IVA!BN191</f>
        <v>3670585.6122245197</v>
      </c>
      <c r="BU191" s="174">
        <f>IVA!BO191+IVA!BP191+IVA!BQ191</f>
        <v>3908788.8813116099</v>
      </c>
      <c r="BV191" s="135">
        <f>IVA!BR191+IVA!BS191+IVA!BT191+IVA!BU191</f>
        <v>14067286.403244512</v>
      </c>
      <c r="BW191" s="136">
        <f>IVA!BR191/IVA!CJ16</f>
        <v>4.3062531678827254E-3</v>
      </c>
      <c r="BX191" s="137">
        <f>IVA!BS191/IVA!CK16</f>
        <v>4.2566509221671619E-3</v>
      </c>
      <c r="BY191" s="136">
        <f>IVA!BT191/IVA!CL16</f>
        <v>4.4359513503619127E-3</v>
      </c>
      <c r="BZ191" s="136">
        <f>IVA!BU191/IVA!CM16</f>
        <v>4.3137893214657058E-3</v>
      </c>
      <c r="CA191" s="271">
        <f>IVA!BV191/IVA!CN16</f>
        <v>1.7314524573333351E-2</v>
      </c>
    </row>
    <row r="192" spans="27:79" ht="12.75" customHeight="1">
      <c r="AA192" s="439">
        <v>2009</v>
      </c>
      <c r="AB192" s="439" t="s">
        <v>577</v>
      </c>
      <c r="AC192" s="440"/>
      <c r="AD192" s="441"/>
      <c r="AE192" s="443">
        <v>117296</v>
      </c>
      <c r="AF192" s="443">
        <v>116404</v>
      </c>
      <c r="AG192" s="443">
        <v>126784</v>
      </c>
      <c r="AH192" s="443">
        <v>126093</v>
      </c>
      <c r="AI192" s="443">
        <v>122163</v>
      </c>
      <c r="AJ192" s="443">
        <v>133944</v>
      </c>
      <c r="AK192" s="443">
        <v>131379</v>
      </c>
      <c r="AL192" s="443">
        <v>129132</v>
      </c>
      <c r="AM192" s="443">
        <v>133759</v>
      </c>
      <c r="AN192" s="443">
        <v>136788</v>
      </c>
      <c r="AO192" s="443">
        <v>135096</v>
      </c>
      <c r="AP192" s="443">
        <v>141007</v>
      </c>
      <c r="AQ192" s="153">
        <f>IVA!AE192+IVA!AF192+IVA!AG192</f>
        <v>360484</v>
      </c>
      <c r="AR192" s="153">
        <f>IVA!AH192+IVA!AI192+IVA!AJ192</f>
        <v>382200</v>
      </c>
      <c r="AS192" s="153">
        <f>IVA!AK192+IVA!AL192+IVA!AM192</f>
        <v>394270</v>
      </c>
      <c r="AT192" s="153">
        <f>IVA!AN192+IVA!AO192+IVA!AP192</f>
        <v>412891</v>
      </c>
      <c r="AU192" s="127">
        <f>IVA!AQ192+IVA!AR192+IVA!AS192+IVA!AT192</f>
        <v>1549845</v>
      </c>
      <c r="AV192" s="128">
        <f>IVA!AQ192/IVA!CJ18</f>
        <v>3.6303906896739251E-4</v>
      </c>
      <c r="AW192" s="128">
        <f>IVA!AR192/IVA!CK18</f>
        <v>3.1973298663211242E-4</v>
      </c>
      <c r="AX192" s="128">
        <f>IVA!AS192/IVA!CL18</f>
        <v>3.3733035409691699E-4</v>
      </c>
      <c r="AY192" s="128">
        <f>IVA!AT192/IVA!CM18</f>
        <v>3.3713540911447712E-4</v>
      </c>
      <c r="AZ192" s="269">
        <f>IVA!AU192/IVA!CN18</f>
        <v>1.3530348078101212E-3</v>
      </c>
      <c r="BA192" s="264">
        <v>2008</v>
      </c>
      <c r="BB192" s="351" t="s">
        <v>578</v>
      </c>
      <c r="BC192" s="352"/>
      <c r="BD192" s="352"/>
      <c r="BE192" s="352"/>
      <c r="BF192" s="353">
        <v>1438079.2159072</v>
      </c>
      <c r="BG192" s="353">
        <v>1304825.8199767801</v>
      </c>
      <c r="BH192" s="353">
        <v>1196084.91635768</v>
      </c>
      <c r="BI192" s="353">
        <v>1327003.0010567501</v>
      </c>
      <c r="BJ192" s="353">
        <v>1574338.3146518101</v>
      </c>
      <c r="BK192" s="353">
        <v>1673540.92098049</v>
      </c>
      <c r="BL192" s="353">
        <v>1531428.4596214599</v>
      </c>
      <c r="BM192" s="353">
        <v>1582790.55186553</v>
      </c>
      <c r="BN192" s="353">
        <v>1552151.9268980401</v>
      </c>
      <c r="BO192" s="353">
        <v>1575972.94403125</v>
      </c>
      <c r="BP192" s="353">
        <v>1473314.2188560299</v>
      </c>
      <c r="BQ192" s="354">
        <v>1515990.7040892099</v>
      </c>
      <c r="BR192" s="173">
        <f>IVA!BF192+IVA!BG192+IVA!BH192</f>
        <v>3938989.9522416601</v>
      </c>
      <c r="BS192" s="173">
        <f>IVA!BI192+IVA!BJ192+IVA!BK192</f>
        <v>4574882.2366890498</v>
      </c>
      <c r="BT192" s="173">
        <f>IVA!BL192+IVA!BM192+IVA!BN192</f>
        <v>4666370.9383850303</v>
      </c>
      <c r="BU192" s="174">
        <f>IVA!BO192+IVA!BP192+IVA!BQ192</f>
        <v>4565277.8669764902</v>
      </c>
      <c r="BV192" s="135">
        <f>IVA!BR192+IVA!BS192+IVA!BT192+IVA!BU192</f>
        <v>17745520.994292229</v>
      </c>
      <c r="BW192" s="136">
        <f>IVA!BR192/IVA!CJ17</f>
        <v>4.4375835242790856E-3</v>
      </c>
      <c r="BX192" s="137">
        <f>IVA!BS192/IVA!CK17</f>
        <v>4.1291681033251305E-3</v>
      </c>
      <c r="BY192" s="136">
        <f>IVA!BT192/IVA!CL17</f>
        <v>4.4124319768750987E-3</v>
      </c>
      <c r="BZ192" s="136">
        <f>IVA!BU192/IVA!CM17</f>
        <v>4.2353587160962377E-3</v>
      </c>
      <c r="CA192" s="271">
        <f>IVA!BV192/IVA!CN17</f>
        <v>1.7182651690223875E-2</v>
      </c>
    </row>
    <row r="193" spans="27:79" ht="12.75" customHeight="1">
      <c r="AA193" s="439">
        <v>2010</v>
      </c>
      <c r="AB193" s="439" t="s">
        <v>577</v>
      </c>
      <c r="AC193" s="440"/>
      <c r="AD193" s="441"/>
      <c r="AE193" s="443">
        <v>134036</v>
      </c>
      <c r="AF193" s="443">
        <v>149528</v>
      </c>
      <c r="AG193" s="443">
        <v>158863</v>
      </c>
      <c r="AH193" s="443">
        <v>158725</v>
      </c>
      <c r="AI193" s="443">
        <v>155064</v>
      </c>
      <c r="AJ193" s="443">
        <v>178645</v>
      </c>
      <c r="AK193" s="443">
        <v>181376</v>
      </c>
      <c r="AL193" s="443">
        <v>183462</v>
      </c>
      <c r="AM193" s="443">
        <v>185513</v>
      </c>
      <c r="AN193" s="443">
        <v>196458</v>
      </c>
      <c r="AO193" s="443">
        <v>204328</v>
      </c>
      <c r="AP193" s="443">
        <v>206555</v>
      </c>
      <c r="AQ193" s="153">
        <f>IVA!AE193+IVA!AF193+IVA!AG193</f>
        <v>442427</v>
      </c>
      <c r="AR193" s="153">
        <f>IVA!AH193+IVA!AI193+IVA!AJ193</f>
        <v>492434</v>
      </c>
      <c r="AS193" s="153">
        <f>IVA!AK193+IVA!AL193+IVA!AM193</f>
        <v>550351</v>
      </c>
      <c r="AT193" s="153">
        <f>IVA!AN193+IVA!AO193+IVA!AP193</f>
        <v>607341</v>
      </c>
      <c r="AU193" s="127">
        <f>IVA!AQ193+IVA!AR193+IVA!AS193+IVA!AT193</f>
        <v>2092553</v>
      </c>
      <c r="AV193" s="128">
        <f>IVA!AQ193/IVA!CJ19</f>
        <v>3.6342525470662017E-4</v>
      </c>
      <c r="AW193" s="128">
        <f>IVA!AR193/IVA!CK19</f>
        <v>3.264858981441457E-4</v>
      </c>
      <c r="AX193" s="128">
        <f>IVA!AS193/IVA!CL19</f>
        <v>3.7544666646154885E-4</v>
      </c>
      <c r="AY193" s="128">
        <f>IVA!AT193/IVA!CM19</f>
        <v>3.8461251391113104E-4</v>
      </c>
      <c r="AZ193" s="269">
        <f>IVA!AU193/IVA!CN19</f>
        <v>1.4504870886315215E-3</v>
      </c>
      <c r="BA193" s="264">
        <v>2009</v>
      </c>
      <c r="BB193" s="351" t="s">
        <v>578</v>
      </c>
      <c r="BC193" s="352"/>
      <c r="BD193" s="352"/>
      <c r="BE193" s="352"/>
      <c r="BF193" s="353">
        <v>1445045.9834425</v>
      </c>
      <c r="BG193" s="353">
        <v>1436980.74655</v>
      </c>
      <c r="BH193" s="353">
        <v>1381116.8112325</v>
      </c>
      <c r="BI193" s="353">
        <v>1393846.384045</v>
      </c>
      <c r="BJ193" s="353">
        <v>1709013.7904950001</v>
      </c>
      <c r="BK193" s="353">
        <v>1730646.9936474999</v>
      </c>
      <c r="BL193" s="353">
        <v>1631168.9543049999</v>
      </c>
      <c r="BM193" s="353">
        <v>1625781.4153825</v>
      </c>
      <c r="BN193" s="353">
        <v>1647746.5222525001</v>
      </c>
      <c r="BO193" s="353">
        <v>1672419.8707600001</v>
      </c>
      <c r="BP193" s="353">
        <v>1659951.2058025</v>
      </c>
      <c r="BQ193" s="354">
        <v>1790813.5623925</v>
      </c>
      <c r="BR193" s="173">
        <f>IVA!BF193+IVA!BG193+IVA!BH193</f>
        <v>4263143.5412250003</v>
      </c>
      <c r="BS193" s="173">
        <f>IVA!BI193+IVA!BJ193+IVA!BK193</f>
        <v>4833507.1681875</v>
      </c>
      <c r="BT193" s="173">
        <f>IVA!BL193+IVA!BM193+IVA!BN193</f>
        <v>4904696.8919399995</v>
      </c>
      <c r="BU193" s="174">
        <f>IVA!BO193+IVA!BP193+IVA!BQ193</f>
        <v>5123184.6389549999</v>
      </c>
      <c r="BV193" s="135">
        <f>IVA!BR193+IVA!BS193+IVA!BT193+IVA!BU193</f>
        <v>19124532.240307499</v>
      </c>
      <c r="BW193" s="136">
        <f>IVA!BR193/IVA!CJ18</f>
        <v>4.2933602103856945E-3</v>
      </c>
      <c r="BX193" s="137">
        <f>IVA!BS193/IVA!CK18</f>
        <v>4.0435156535643989E-3</v>
      </c>
      <c r="BY193" s="136">
        <f>IVA!BT193/IVA!CL18</f>
        <v>4.1963708608216913E-3</v>
      </c>
      <c r="BZ193" s="136">
        <f>IVA!BU193/IVA!CM18</f>
        <v>4.1832031921817106E-3</v>
      </c>
      <c r="CA193" s="271">
        <f>IVA!BV193/IVA!CN18</f>
        <v>1.6695964954058583E-2</v>
      </c>
    </row>
    <row r="194" spans="27:79" ht="12.75" customHeight="1">
      <c r="AA194" s="439">
        <v>2011</v>
      </c>
      <c r="AB194" s="439" t="s">
        <v>577</v>
      </c>
      <c r="AC194" s="440"/>
      <c r="AD194" s="441"/>
      <c r="AE194" s="443">
        <v>209780</v>
      </c>
      <c r="AF194" s="443">
        <v>209049</v>
      </c>
      <c r="AG194" s="443">
        <v>244707</v>
      </c>
      <c r="AH194" s="443">
        <v>229787</v>
      </c>
      <c r="AI194" s="443">
        <v>242926</v>
      </c>
      <c r="AJ194" s="443">
        <v>251991</v>
      </c>
      <c r="AK194" s="443">
        <v>254610</v>
      </c>
      <c r="AL194" s="443">
        <v>257389</v>
      </c>
      <c r="AM194" s="443">
        <v>255929</v>
      </c>
      <c r="AN194" s="443">
        <v>274366</v>
      </c>
      <c r="AO194" s="443">
        <v>274776</v>
      </c>
      <c r="AP194" s="443">
        <v>277726</v>
      </c>
      <c r="AQ194" s="153">
        <f>IVA!AE194+IVA!AF194+IVA!AG194</f>
        <v>663536</v>
      </c>
      <c r="AR194" s="153">
        <f>IVA!AH194+IVA!AI194+IVA!AJ194</f>
        <v>724704</v>
      </c>
      <c r="AS194" s="153">
        <f>IVA!AK194+IVA!AL194+IVA!AM194</f>
        <v>767928</v>
      </c>
      <c r="AT194" s="153">
        <f>IVA!AN194+IVA!AO194+IVA!AP194</f>
        <v>826868</v>
      </c>
      <c r="AU194" s="127">
        <f>IVA!AQ194+IVA!AR194+IVA!AS194+IVA!AT194</f>
        <v>2983036</v>
      </c>
      <c r="AV194" s="128">
        <f>IVA!AQ194/IVA!CJ20</f>
        <v>4.2328684979394993E-4</v>
      </c>
      <c r="AW194" s="128">
        <f>IVA!AR194/IVA!CK20</f>
        <v>3.667108469391473E-4</v>
      </c>
      <c r="AX194" s="128">
        <f>IVA!AS194/IVA!CL20</f>
        <v>4.1167135503221246E-4</v>
      </c>
      <c r="AY194" s="128">
        <f>IVA!AT194/IVA!CM20</f>
        <v>4.2211045397755207E-4</v>
      </c>
      <c r="AZ194" s="269">
        <f>IVA!AU194/IVA!CN20</f>
        <v>1.6194354800332276E-3</v>
      </c>
      <c r="BA194" s="264">
        <v>2010</v>
      </c>
      <c r="BB194" s="351" t="s">
        <v>578</v>
      </c>
      <c r="BC194" s="352"/>
      <c r="BD194" s="352"/>
      <c r="BE194" s="352"/>
      <c r="BF194" s="353">
        <v>1805770.0131475001</v>
      </c>
      <c r="BG194" s="353">
        <v>1774488.2145624999</v>
      </c>
      <c r="BH194" s="353">
        <v>1784196.191785</v>
      </c>
      <c r="BI194" s="353">
        <v>1824133.6415049999</v>
      </c>
      <c r="BJ194" s="353">
        <v>2536611.3381025</v>
      </c>
      <c r="BK194" s="353">
        <v>2442775.7508924999</v>
      </c>
      <c r="BL194" s="353">
        <v>2197719.593965</v>
      </c>
      <c r="BM194" s="353">
        <v>2191343.8695324999</v>
      </c>
      <c r="BN194" s="353">
        <v>2233377.8753574998</v>
      </c>
      <c r="BO194" s="353">
        <v>2194574.3061325001</v>
      </c>
      <c r="BP194" s="353">
        <v>2294261.9768274999</v>
      </c>
      <c r="BQ194" s="354">
        <v>2527875.2814250002</v>
      </c>
      <c r="BR194" s="173">
        <f>IVA!BF194+IVA!BG194+IVA!BH194</f>
        <v>5364454.4194950005</v>
      </c>
      <c r="BS194" s="173">
        <f>IVA!BI194+IVA!BJ194+IVA!BK194</f>
        <v>6803520.7304999996</v>
      </c>
      <c r="BT194" s="173">
        <f>IVA!BL194+IVA!BM194+IVA!BN194</f>
        <v>6622441.3388550002</v>
      </c>
      <c r="BU194" s="174">
        <f>IVA!BO194+IVA!BP194+IVA!BQ194</f>
        <v>7016711.5643849997</v>
      </c>
      <c r="BV194" s="135">
        <f>IVA!BR194+IVA!BS194+IVA!BT194+IVA!BU194</f>
        <v>25807128.053234998</v>
      </c>
      <c r="BW194" s="136">
        <f>IVA!BR194/IVA!CJ19</f>
        <v>4.4065534286266998E-3</v>
      </c>
      <c r="BX194" s="137">
        <f>IVA!BS194/IVA!CK19</f>
        <v>4.5107640338392695E-3</v>
      </c>
      <c r="BY194" s="136">
        <f>IVA!BT194/IVA!CL19</f>
        <v>4.517795960233135E-3</v>
      </c>
      <c r="BZ194" s="136">
        <f>IVA!BU194/IVA!CM19</f>
        <v>4.4434923283088413E-3</v>
      </c>
      <c r="CA194" s="271">
        <f>IVA!BV194/IVA!CN19</f>
        <v>1.7888629839185766E-2</v>
      </c>
    </row>
    <row r="195" spans="27:79" ht="12.75" customHeight="1">
      <c r="AA195" s="444">
        <v>2012</v>
      </c>
      <c r="AB195" s="444" t="s">
        <v>577</v>
      </c>
      <c r="AC195" s="445"/>
      <c r="AD195" s="446"/>
      <c r="AE195" s="447">
        <v>273341.44426000002</v>
      </c>
      <c r="AF195" s="447">
        <v>279927.56939000002</v>
      </c>
      <c r="AG195" s="447">
        <v>295038.89728999999</v>
      </c>
      <c r="AH195" s="447">
        <v>282400.76403000002</v>
      </c>
      <c r="AI195" s="447">
        <v>318640.95756000001</v>
      </c>
      <c r="AJ195" s="447">
        <v>319567.68857</v>
      </c>
      <c r="AK195" s="447">
        <v>334244.78107999999</v>
      </c>
      <c r="AL195" s="447">
        <v>340804.52289999998</v>
      </c>
      <c r="AM195" s="447">
        <v>323919.69611000002</v>
      </c>
      <c r="AN195" s="447">
        <v>365869.00488000002</v>
      </c>
      <c r="AO195" s="447">
        <v>344468.99654999998</v>
      </c>
      <c r="AP195" s="447">
        <v>346883.15964999999</v>
      </c>
      <c r="AQ195" s="325">
        <f>IVA!AE195+IVA!AF195+IVA!AG195</f>
        <v>848307.91094000009</v>
      </c>
      <c r="AR195" s="325">
        <f>IVA!AH195+IVA!AI195+IVA!AJ195</f>
        <v>920609.41015999997</v>
      </c>
      <c r="AS195" s="325">
        <f>IVA!AK195+IVA!AL195+IVA!AM195</f>
        <v>998969.00008999999</v>
      </c>
      <c r="AT195" s="325">
        <f>IVA!AN195+IVA!AO195+IVA!AP195</f>
        <v>1057221.16108</v>
      </c>
      <c r="AU195" s="248">
        <f>IVA!AQ195+IVA!AR195+IVA!AS195+IVA!AT195</f>
        <v>3825107.48227</v>
      </c>
      <c r="AV195" s="250">
        <f>IVA!AQ195/IVA!CJ21</f>
        <v>4.5244657064911586E-4</v>
      </c>
      <c r="AW195" s="250">
        <f>IVA!AR195/IVA!CK21</f>
        <v>4.0499072857271332E-4</v>
      </c>
      <c r="AX195" s="250">
        <f>IVA!AS195/IVA!CL21</f>
        <v>4.5763191156840551E-4</v>
      </c>
      <c r="AY195" s="250">
        <f>IVA!AT195/IVA!CM21</f>
        <v>4.5452770287363552E-4</v>
      </c>
      <c r="AZ195" s="294">
        <f>IVA!AU195/IVA!CN21</f>
        <v>1.7674089274424137E-3</v>
      </c>
      <c r="BA195" s="264">
        <v>2011</v>
      </c>
      <c r="BB195" s="351" t="s">
        <v>578</v>
      </c>
      <c r="BC195" s="352"/>
      <c r="BD195" s="352"/>
      <c r="BE195" s="352"/>
      <c r="BF195" s="353">
        <v>2552881.9799575</v>
      </c>
      <c r="BG195" s="353">
        <v>2360030.5232500001</v>
      </c>
      <c r="BH195" s="353">
        <v>2402572.4644300002</v>
      </c>
      <c r="BI195" s="353">
        <v>2466878.5434774999</v>
      </c>
      <c r="BJ195" s="353">
        <v>3369507.8276574998</v>
      </c>
      <c r="BK195" s="353">
        <v>3202366.9154575001</v>
      </c>
      <c r="BL195" s="353">
        <v>2893070.8723525</v>
      </c>
      <c r="BM195" s="353">
        <v>2973146.2880199999</v>
      </c>
      <c r="BN195" s="353">
        <v>3067436.3680825001</v>
      </c>
      <c r="BO195" s="353">
        <v>2910988.8818049999</v>
      </c>
      <c r="BP195" s="353">
        <v>3213724.3972074999</v>
      </c>
      <c r="BQ195" s="354">
        <v>3146353.1577400002</v>
      </c>
      <c r="BR195" s="173">
        <f>IVA!BF195+IVA!BG195+IVA!BH195</f>
        <v>7315484.9676374998</v>
      </c>
      <c r="BS195" s="173">
        <f>IVA!BI195+IVA!BJ195+IVA!BK195</f>
        <v>9038753.2865925003</v>
      </c>
      <c r="BT195" s="173">
        <f>IVA!BL195+IVA!BM195+IVA!BN195</f>
        <v>8933653.5284550004</v>
      </c>
      <c r="BU195" s="174">
        <f>IVA!BO195+IVA!BP195+IVA!BQ195</f>
        <v>9271066.4367525</v>
      </c>
      <c r="BV195" s="135">
        <f>IVA!BR195+IVA!BS195+IVA!BT195+IVA!BU195</f>
        <v>34558958.219437502</v>
      </c>
      <c r="BW195" s="136">
        <f>IVA!BR195/IVA!CJ20</f>
        <v>4.6667378810890036E-3</v>
      </c>
      <c r="BX195" s="137">
        <f>IVA!BS195/IVA!CK20</f>
        <v>4.5737416559041167E-3</v>
      </c>
      <c r="BY195" s="136">
        <f>IVA!BT195/IVA!CL20</f>
        <v>4.7891589490777469E-3</v>
      </c>
      <c r="BZ195" s="136">
        <f>IVA!BU195/IVA!CM20</f>
        <v>4.7328159542679646E-3</v>
      </c>
      <c r="CA195" s="271">
        <f>IVA!BV195/IVA!CN20</f>
        <v>1.8761423963218355E-2</v>
      </c>
    </row>
    <row r="196" spans="27:79" ht="12.75" customHeight="1">
      <c r="AA196" s="439">
        <v>2010</v>
      </c>
      <c r="AB196" s="439" t="s">
        <v>579</v>
      </c>
      <c r="AC196" s="440"/>
      <c r="AD196" s="441"/>
      <c r="AE196" s="443">
        <f>IVA!AE193*0.7</f>
        <v>93825.2</v>
      </c>
      <c r="AF196" s="443">
        <f>IVA!AF193*0.7</f>
        <v>104669.59999999999</v>
      </c>
      <c r="AG196" s="443">
        <f>IVA!AG193*0.7</f>
        <v>111204.09999999999</v>
      </c>
      <c r="AH196" s="443">
        <f>IVA!AH193*0.7</f>
        <v>111107.5</v>
      </c>
      <c r="AI196" s="443">
        <f>IVA!AI193*0.7</f>
        <v>108544.79999999999</v>
      </c>
      <c r="AJ196" s="443">
        <f>IVA!AJ193*0.7</f>
        <v>125051.49999999999</v>
      </c>
      <c r="AK196" s="443">
        <f>IVA!AK193*0.7</f>
        <v>126963.2</v>
      </c>
      <c r="AL196" s="443">
        <f>IVA!AL193*0.7</f>
        <v>128423.4</v>
      </c>
      <c r="AM196" s="443">
        <f>IVA!AM193*0.7</f>
        <v>129859.09999999999</v>
      </c>
      <c r="AN196" s="443">
        <f>IVA!AN193*0.7</f>
        <v>137520.59999999998</v>
      </c>
      <c r="AO196" s="443">
        <f>IVA!AO193*0.7</f>
        <v>143029.59999999998</v>
      </c>
      <c r="AP196" s="443">
        <f>IVA!AP193*0.7</f>
        <v>144588.5</v>
      </c>
      <c r="AQ196" s="153">
        <f>IVA!AE196+IVA!AF196+IVA!AG196</f>
        <v>309698.89999999997</v>
      </c>
      <c r="AR196" s="153">
        <f>IVA!AH196+IVA!AI196+IVA!AJ196</f>
        <v>344703.8</v>
      </c>
      <c r="AS196" s="153">
        <f>IVA!AK196+IVA!AL196+IVA!AM196</f>
        <v>385245.69999999995</v>
      </c>
      <c r="AT196" s="153">
        <f>IVA!AN196+IVA!AO196+IVA!AP196</f>
        <v>425138.69999999995</v>
      </c>
      <c r="AU196" s="127">
        <f>IVA!AQ196+IVA!AR196+IVA!AS196+IVA!AT196</f>
        <v>1464787.0999999999</v>
      </c>
      <c r="AV196" s="128">
        <f>IVA!AQ196/IVA!CJ19</f>
        <v>2.5439767829463412E-4</v>
      </c>
      <c r="AW196" s="128">
        <f>IVA!AR196/IVA!CK19</f>
        <v>2.2854012870090199E-4</v>
      </c>
      <c r="AX196" s="128">
        <f>IVA!AS196/IVA!CL19</f>
        <v>2.6281266652308414E-4</v>
      </c>
      <c r="AY196" s="128">
        <f>IVA!AT196/IVA!CM19</f>
        <v>2.6922875973779171E-4</v>
      </c>
      <c r="AZ196" s="269">
        <f>IVA!AU196/IVA!CN19</f>
        <v>1.0153409620420649E-3</v>
      </c>
      <c r="BA196" s="295">
        <v>2012</v>
      </c>
      <c r="BB196" s="360" t="s">
        <v>578</v>
      </c>
      <c r="BC196" s="361"/>
      <c r="BD196" s="361"/>
      <c r="BE196" s="361"/>
      <c r="BF196" s="362">
        <v>3262410.1761519401</v>
      </c>
      <c r="BG196" s="362">
        <v>2993553.0901399399</v>
      </c>
      <c r="BH196" s="362">
        <v>2913130.15551465</v>
      </c>
      <c r="BI196" s="362">
        <v>2897059.5459809499</v>
      </c>
      <c r="BJ196" s="362">
        <v>3870962.2954183598</v>
      </c>
      <c r="BK196" s="362">
        <v>3934984.3977430202</v>
      </c>
      <c r="BL196" s="362">
        <v>3462250.7385591399</v>
      </c>
      <c r="BM196" s="362">
        <v>3800547.8312192298</v>
      </c>
      <c r="BN196" s="362">
        <v>3653657.0132532101</v>
      </c>
      <c r="BO196" s="362">
        <v>3905951.66247366</v>
      </c>
      <c r="BP196" s="362">
        <v>4096931.15876352</v>
      </c>
      <c r="BQ196" s="363">
        <v>4142892.1003014199</v>
      </c>
      <c r="BR196" s="257">
        <f>IVA!BF196+IVA!BG196+IVA!BH196</f>
        <v>9169093.4218065292</v>
      </c>
      <c r="BS196" s="257">
        <f>IVA!BI196+IVA!BJ196+IVA!BK196</f>
        <v>10703006.23914233</v>
      </c>
      <c r="BT196" s="257">
        <f>IVA!BL196+IVA!BM196+IVA!BN196</f>
        <v>10916455.58303158</v>
      </c>
      <c r="BU196" s="258">
        <f>IVA!BO196+IVA!BP196+IVA!BQ196</f>
        <v>12145774.921538601</v>
      </c>
      <c r="BV196" s="259">
        <f>IVA!BR196+IVA!BS196+IVA!BT196+IVA!BU196</f>
        <v>42934330.165519036</v>
      </c>
      <c r="BW196" s="262">
        <f>IVA!BR196/IVA!CJ21</f>
        <v>4.8903526905234203E-3</v>
      </c>
      <c r="BX196" s="261">
        <f>IVA!BS196/IVA!CK21</f>
        <v>4.7084227543961361E-3</v>
      </c>
      <c r="BY196" s="262">
        <f>IVA!BT196/IVA!CL21</f>
        <v>5.0008743370057087E-3</v>
      </c>
      <c r="BZ196" s="262">
        <f>IVA!BU196/IVA!CM21</f>
        <v>5.2217940559074827E-3</v>
      </c>
      <c r="CA196" s="301">
        <f>IVA!BV196/IVA!CN21</f>
        <v>1.9838009462486057E-2</v>
      </c>
    </row>
    <row r="197" spans="27:79" ht="12.75" customHeight="1">
      <c r="AA197" s="439">
        <v>2011</v>
      </c>
      <c r="AB197" s="439" t="s">
        <v>579</v>
      </c>
      <c r="AC197" s="440"/>
      <c r="AD197" s="441"/>
      <c r="AE197" s="443">
        <f>IVA!AE194*0.7</f>
        <v>146846</v>
      </c>
      <c r="AF197" s="443">
        <f>IVA!AF194*0.7</f>
        <v>146334.29999999999</v>
      </c>
      <c r="AG197" s="443">
        <f>IVA!AG194*0.7</f>
        <v>171294.9</v>
      </c>
      <c r="AH197" s="443">
        <f>IVA!AH194*0.7</f>
        <v>160850.9</v>
      </c>
      <c r="AI197" s="443">
        <f>IVA!AI194*0.7</f>
        <v>170048.19999999998</v>
      </c>
      <c r="AJ197" s="443">
        <f>IVA!AJ194*0.7</f>
        <v>176393.69999999998</v>
      </c>
      <c r="AK197" s="443">
        <f>IVA!AK194*0.7</f>
        <v>178227</v>
      </c>
      <c r="AL197" s="443">
        <f>IVA!AL194*0.7</f>
        <v>180172.3</v>
      </c>
      <c r="AM197" s="443">
        <f>IVA!AM194*0.7</f>
        <v>179150.3</v>
      </c>
      <c r="AN197" s="443">
        <f>IVA!AN194*0.7</f>
        <v>192056.19999999998</v>
      </c>
      <c r="AO197" s="443">
        <f>IVA!AO194*0.7</f>
        <v>192343.19999999998</v>
      </c>
      <c r="AP197" s="443">
        <f>IVA!AP194*0.7</f>
        <v>194408.19999999998</v>
      </c>
      <c r="AQ197" s="153">
        <f>IVA!AE197+IVA!AF197+IVA!AG197</f>
        <v>464475.19999999995</v>
      </c>
      <c r="AR197" s="153">
        <f>IVA!AH197+IVA!AI197+IVA!AJ197</f>
        <v>507292.79999999993</v>
      </c>
      <c r="AS197" s="153">
        <f>IVA!AK197+IVA!AL197+IVA!AM197</f>
        <v>537549.6</v>
      </c>
      <c r="AT197" s="153">
        <f>IVA!AN197+IVA!AO197+IVA!AP197</f>
        <v>578807.6</v>
      </c>
      <c r="AU197" s="127">
        <f>IVA!AQ197+IVA!AR197+IVA!AS197+IVA!AT197</f>
        <v>2088125.1999999997</v>
      </c>
      <c r="AV197" s="128">
        <f>IVA!AQ197/IVA!CJ20</f>
        <v>2.9630079485576491E-4</v>
      </c>
      <c r="AW197" s="128">
        <f>IVA!AR197/IVA!CK20</f>
        <v>2.5669759285740305E-4</v>
      </c>
      <c r="AX197" s="128">
        <f>IVA!AS197/IVA!CL20</f>
        <v>2.8816994852254871E-4</v>
      </c>
      <c r="AY197" s="128">
        <f>IVA!AT197/IVA!CM20</f>
        <v>2.954773177842864E-4</v>
      </c>
      <c r="AZ197" s="269">
        <f>IVA!AU197/IVA!CN20</f>
        <v>1.1336048360232592E-3</v>
      </c>
      <c r="BW197" s="136"/>
      <c r="BX197" s="137"/>
      <c r="BY197" s="136"/>
      <c r="BZ197" s="136"/>
      <c r="CA197" s="271"/>
    </row>
    <row r="198" spans="27:79" ht="12.75" customHeight="1">
      <c r="AA198" s="444">
        <v>2012</v>
      </c>
      <c r="AB198" s="444" t="s">
        <v>579</v>
      </c>
      <c r="AC198" s="445"/>
      <c r="AD198" s="446"/>
      <c r="AE198" s="447">
        <f>IVA!AE195*0.7</f>
        <v>191339.01098200001</v>
      </c>
      <c r="AF198" s="447">
        <f>IVA!AF195*0.7</f>
        <v>195949.29857300001</v>
      </c>
      <c r="AG198" s="447">
        <f>IVA!AG195*0.7</f>
        <v>206527.22810299997</v>
      </c>
      <c r="AH198" s="447">
        <f>IVA!AH195*0.7</f>
        <v>197680.53482100001</v>
      </c>
      <c r="AI198" s="447">
        <f>IVA!AI195*0.7</f>
        <v>223048.670292</v>
      </c>
      <c r="AJ198" s="447">
        <f>IVA!AJ195*0.7</f>
        <v>223697.38199899998</v>
      </c>
      <c r="AK198" s="447">
        <f>IVA!AK195*0.7</f>
        <v>233971.34675599998</v>
      </c>
      <c r="AL198" s="447">
        <f>IVA!AL195*0.7</f>
        <v>238563.16602999996</v>
      </c>
      <c r="AM198" s="447">
        <f>IVA!AM195*0.7</f>
        <v>226743.787277</v>
      </c>
      <c r="AN198" s="447">
        <f>IVA!AN195*0.7</f>
        <v>256108.30341600001</v>
      </c>
      <c r="AO198" s="447">
        <f>IVA!AO195*0.7</f>
        <v>241128.29758499996</v>
      </c>
      <c r="AP198" s="447">
        <f>IVA!AP195*0.7</f>
        <v>242818.21175499997</v>
      </c>
      <c r="AQ198" s="325">
        <f>IVA!AE198+IVA!AF198+IVA!AG198</f>
        <v>593815.53765800002</v>
      </c>
      <c r="AR198" s="325">
        <f>IVA!AH198+IVA!AI198+IVA!AJ198</f>
        <v>644426.58711199998</v>
      </c>
      <c r="AS198" s="325">
        <f>IVA!AK198+IVA!AL198+IVA!AM198</f>
        <v>699278.30006299994</v>
      </c>
      <c r="AT198" s="325">
        <f>IVA!AN198+IVA!AO198+IVA!AP198</f>
        <v>740054.81275599997</v>
      </c>
      <c r="AU198" s="248">
        <f>IVA!AQ198+IVA!AR198+IVA!AS198+IVA!AT198</f>
        <v>2677575.2375890003</v>
      </c>
      <c r="AV198" s="250">
        <f>IVA!AQ198/IVA!CJ21</f>
        <v>3.1671259945438107E-4</v>
      </c>
      <c r="AW198" s="250">
        <f>IVA!AR198/IVA!CK21</f>
        <v>2.8349351000089932E-4</v>
      </c>
      <c r="AX198" s="250">
        <f>IVA!AS198/IVA!CL21</f>
        <v>3.2034233809788383E-4</v>
      </c>
      <c r="AY198" s="250">
        <f>IVA!AT198/IVA!CM21</f>
        <v>3.181693920115449E-4</v>
      </c>
      <c r="AZ198" s="294">
        <f>IVA!AU198/IVA!CN21</f>
        <v>1.2371862492096897E-3</v>
      </c>
      <c r="BT198" s="28">
        <f>IVA!BV171-IVA!BV188</f>
        <v>40920489.915896557</v>
      </c>
      <c r="BV198" s="1">
        <f>IVA!BV179-IVA!BV196</f>
        <v>243294537.60460791</v>
      </c>
      <c r="BW198" s="136"/>
      <c r="BX198" s="137"/>
      <c r="BY198" s="136"/>
      <c r="BZ198" s="136"/>
      <c r="CA198" s="271"/>
    </row>
    <row r="199" spans="27:79" ht="12.75" customHeight="1">
      <c r="AA199" s="448">
        <v>1996</v>
      </c>
      <c r="AB199" s="448" t="s">
        <v>580</v>
      </c>
      <c r="AC199" s="449"/>
      <c r="AD199" s="450"/>
      <c r="AE199" s="451"/>
      <c r="AF199" s="451"/>
      <c r="AG199" s="451"/>
      <c r="AH199" s="451"/>
      <c r="AI199" s="451"/>
      <c r="AJ199" s="451"/>
      <c r="AK199" s="451"/>
      <c r="AL199" s="451"/>
      <c r="AM199" s="451"/>
      <c r="AN199" s="451"/>
      <c r="AO199" s="451"/>
      <c r="AP199" s="451"/>
      <c r="AQ199" s="153"/>
      <c r="AR199" s="153"/>
      <c r="AS199" s="153"/>
      <c r="AT199" s="153"/>
      <c r="AU199" s="127"/>
      <c r="AV199" s="250"/>
      <c r="AW199" s="250"/>
      <c r="AX199" s="250"/>
      <c r="AY199" s="250"/>
      <c r="AZ199" s="294"/>
      <c r="BT199" s="452">
        <v>41227500</v>
      </c>
      <c r="BW199" s="136"/>
      <c r="BX199" s="137"/>
      <c r="BY199" s="136"/>
      <c r="BZ199" s="136"/>
      <c r="CA199" s="271"/>
    </row>
    <row r="200" spans="27:79" ht="12.75" customHeight="1">
      <c r="AA200" s="448">
        <v>1997</v>
      </c>
      <c r="AB200" s="448" t="s">
        <v>580</v>
      </c>
      <c r="AC200" s="449"/>
      <c r="AD200" s="450"/>
      <c r="AE200" s="451">
        <v>772289</v>
      </c>
      <c r="AF200" s="451">
        <v>562182</v>
      </c>
      <c r="AG200" s="451">
        <v>487093</v>
      </c>
      <c r="AH200" s="451">
        <v>527773</v>
      </c>
      <c r="AI200" s="451">
        <v>553766</v>
      </c>
      <c r="AJ200" s="451">
        <v>547379</v>
      </c>
      <c r="AK200" s="451">
        <v>798855</v>
      </c>
      <c r="AL200" s="451">
        <v>548101</v>
      </c>
      <c r="AM200" s="451">
        <v>571349</v>
      </c>
      <c r="AN200" s="451">
        <v>569243</v>
      </c>
      <c r="AO200" s="451">
        <v>570830</v>
      </c>
      <c r="AP200" s="451">
        <v>620354</v>
      </c>
      <c r="AQ200" s="153">
        <f>IVA!AE200+IVA!AF200+IVA!AG200</f>
        <v>1821564</v>
      </c>
      <c r="AR200" s="153">
        <f>IVA!AH200+IVA!AI200+IVA!AJ200</f>
        <v>1628918</v>
      </c>
      <c r="AS200" s="153">
        <f>IVA!AK200+IVA!AL200+IVA!AM200</f>
        <v>1918305</v>
      </c>
      <c r="AT200" s="153">
        <f>IVA!AN200+IVA!AO200+IVA!AP200</f>
        <v>1760427</v>
      </c>
      <c r="AU200" s="127">
        <f>IVA!AQ200+IVA!AR200+IVA!AS200+IVA!AT200</f>
        <v>7129214</v>
      </c>
      <c r="AV200" s="128">
        <f>IVA!AQ200/IVA!CJ6</f>
        <v>6.7151957531519577E-3</v>
      </c>
      <c r="AW200" s="128">
        <f>IVA!AR200/IVA!CK6</f>
        <v>5.4320345793407894E-3</v>
      </c>
      <c r="AX200" s="128">
        <f>IVA!AS200/IVA!CL6</f>
        <v>6.4315459561549611E-3</v>
      </c>
      <c r="AY200" s="128">
        <f>IVA!AT200/IVA!CM6</f>
        <v>5.8285043000395366E-3</v>
      </c>
      <c r="AZ200" s="269">
        <f>IVA!AU200/IVA!CN6</f>
        <v>2.4343513384358726E-2</v>
      </c>
      <c r="BS200" s="1">
        <v>32721.9</v>
      </c>
      <c r="BT200" s="1">
        <f>IVA!BS200*1000</f>
        <v>32721900</v>
      </c>
      <c r="BV200" s="1">
        <v>170234938</v>
      </c>
      <c r="BW200" s="136"/>
      <c r="BX200" s="137"/>
      <c r="BY200" s="136"/>
      <c r="BZ200" s="136"/>
      <c r="CA200" s="271"/>
    </row>
    <row r="201" spans="27:79" ht="12.75" customHeight="1">
      <c r="AA201" s="448">
        <v>1998</v>
      </c>
      <c r="AB201" s="448" t="s">
        <v>580</v>
      </c>
      <c r="AC201" s="449"/>
      <c r="AD201" s="450"/>
      <c r="AE201" s="451">
        <v>852262</v>
      </c>
      <c r="AF201" s="451">
        <v>618550</v>
      </c>
      <c r="AG201" s="451">
        <v>572149</v>
      </c>
      <c r="AH201" s="451">
        <v>577052</v>
      </c>
      <c r="AI201" s="451">
        <v>606386</v>
      </c>
      <c r="AJ201" s="451">
        <v>654121</v>
      </c>
      <c r="AK201" s="451">
        <v>883191</v>
      </c>
      <c r="AL201" s="451">
        <v>618691</v>
      </c>
      <c r="AM201" s="451">
        <v>601367</v>
      </c>
      <c r="AN201" s="451">
        <v>628439</v>
      </c>
      <c r="AO201" s="451">
        <v>600813</v>
      </c>
      <c r="AP201" s="451">
        <v>613369</v>
      </c>
      <c r="AQ201" s="153">
        <f>IVA!AE201+IVA!AF201+IVA!AG201</f>
        <v>2042961</v>
      </c>
      <c r="AR201" s="153">
        <f>IVA!AH201+IVA!AI201+IVA!AJ201</f>
        <v>1837559</v>
      </c>
      <c r="AS201" s="153">
        <f>IVA!AK201+IVA!AL201+IVA!AM201</f>
        <v>2103249</v>
      </c>
      <c r="AT201" s="153">
        <f>IVA!AN201+IVA!AO201+IVA!AP201</f>
        <v>1842621</v>
      </c>
      <c r="AU201" s="127">
        <f>IVA!AQ201+IVA!AR201+IVA!AS201+IVA!AT201</f>
        <v>7826390</v>
      </c>
      <c r="AV201" s="128">
        <f>IVA!AQ201/IVA!CJ7</f>
        <v>7.2249685249890366E-3</v>
      </c>
      <c r="AW201" s="128">
        <f>IVA!AR201/IVA!CK7</f>
        <v>5.8871759635566118E-3</v>
      </c>
      <c r="AX201" s="128">
        <f>IVA!AS201/IVA!CL7</f>
        <v>6.8851807682518669E-3</v>
      </c>
      <c r="AY201" s="128">
        <f>IVA!AT201/IVA!CM7</f>
        <v>6.2371802930748389E-3</v>
      </c>
      <c r="AZ201" s="269">
        <f>IVA!AU201/IVA!CN7</f>
        <v>2.6179738995224647E-2</v>
      </c>
      <c r="BA201" s="453"/>
      <c r="BB201" s="454" t="s">
        <v>581</v>
      </c>
      <c r="BS201" s="1">
        <v>41682.1</v>
      </c>
      <c r="BT201" s="1">
        <f>IVA!BS201*1000</f>
        <v>41682100</v>
      </c>
      <c r="BV201" s="455">
        <f>IVA!BV200/IVA!BV179</f>
        <v>0.59475111412143533</v>
      </c>
      <c r="BW201" s="136"/>
      <c r="BX201" s="137"/>
      <c r="BY201" s="136"/>
      <c r="BZ201" s="136"/>
      <c r="CA201" s="271"/>
    </row>
    <row r="202" spans="27:79" ht="12.75" customHeight="1">
      <c r="AA202" s="448">
        <v>1999</v>
      </c>
      <c r="AB202" s="448" t="s">
        <v>580</v>
      </c>
      <c r="AC202" s="449"/>
      <c r="AD202" s="450"/>
      <c r="AE202" s="456">
        <v>907824</v>
      </c>
      <c r="AF202" s="456">
        <v>591143</v>
      </c>
      <c r="AG202" s="456">
        <v>570350</v>
      </c>
      <c r="AH202" s="456">
        <v>544836</v>
      </c>
      <c r="AI202" s="456">
        <v>516740</v>
      </c>
      <c r="AJ202" s="456">
        <v>517111</v>
      </c>
      <c r="AK202" s="456">
        <v>766967</v>
      </c>
      <c r="AL202" s="456">
        <v>520456</v>
      </c>
      <c r="AM202" s="456">
        <v>515935</v>
      </c>
      <c r="AN202" s="456">
        <v>435430</v>
      </c>
      <c r="AO202" s="456">
        <v>518698</v>
      </c>
      <c r="AP202" s="456">
        <v>500064</v>
      </c>
      <c r="AQ202" s="153">
        <f>IVA!AE202+IVA!AF202+IVA!AG202</f>
        <v>2069317</v>
      </c>
      <c r="AR202" s="153">
        <f>IVA!AH202+IVA!AI202+IVA!AJ202</f>
        <v>1578687</v>
      </c>
      <c r="AS202" s="153">
        <f>IVA!AK202+IVA!AL202+IVA!AM202</f>
        <v>1803358</v>
      </c>
      <c r="AT202" s="153">
        <f>IVA!AN202+IVA!AO202+IVA!AP202</f>
        <v>1454192</v>
      </c>
      <c r="AU202" s="127">
        <f>IVA!AQ202+IVA!AR202+IVA!AS202+IVA!AT202</f>
        <v>6905554</v>
      </c>
      <c r="AV202" s="128">
        <f>IVA!AQ202/IVA!CJ8</f>
        <v>7.6430196568001004E-3</v>
      </c>
      <c r="AW202" s="128">
        <f>IVA!AR202/IVA!CK8</f>
        <v>5.4658026777848149E-3</v>
      </c>
      <c r="AX202" s="128">
        <f>IVA!AS202/IVA!CL8</f>
        <v>6.3256404700681723E-3</v>
      </c>
      <c r="AY202" s="128">
        <f>IVA!AT202/IVA!CM8</f>
        <v>5.0243509091342847E-3</v>
      </c>
      <c r="AZ202" s="269">
        <f>IVA!AU202/IVA!CN8</f>
        <v>2.4356237116286841E-2</v>
      </c>
      <c r="BA202" s="453"/>
      <c r="BB202" s="454" t="s">
        <v>582</v>
      </c>
      <c r="BE202" s="457">
        <v>10062.299999999999</v>
      </c>
      <c r="BU202" s="310">
        <v>221564.78740059401</v>
      </c>
      <c r="BW202" s="136"/>
      <c r="BX202" s="137"/>
      <c r="BY202" s="136"/>
      <c r="BZ202" s="136"/>
      <c r="CA202" s="271"/>
    </row>
    <row r="203" spans="27:79" ht="12.75" customHeight="1">
      <c r="AA203" s="448">
        <v>1996</v>
      </c>
      <c r="AB203" s="448" t="s">
        <v>583</v>
      </c>
      <c r="AC203" s="449"/>
      <c r="AD203" s="450"/>
      <c r="AE203" s="458">
        <v>14681</v>
      </c>
      <c r="AF203" s="458">
        <v>13055</v>
      </c>
      <c r="AG203" s="458">
        <v>13465</v>
      </c>
      <c r="AH203" s="458">
        <v>16311</v>
      </c>
      <c r="AI203" s="458">
        <v>13696</v>
      </c>
      <c r="AJ203" s="458">
        <v>13999</v>
      </c>
      <c r="AK203" s="458">
        <v>14532</v>
      </c>
      <c r="AL203" s="458">
        <v>15344</v>
      </c>
      <c r="AM203" s="458">
        <v>14864</v>
      </c>
      <c r="AN203" s="458">
        <v>16107</v>
      </c>
      <c r="AO203" s="458">
        <v>14450</v>
      </c>
      <c r="AP203" s="458">
        <v>14403</v>
      </c>
      <c r="AQ203" s="153">
        <f>IVA!AE203+IVA!AF203+IVA!AG203</f>
        <v>41201</v>
      </c>
      <c r="AR203" s="153">
        <f>IVA!AH203+IVA!AI203+IVA!AJ203</f>
        <v>44006</v>
      </c>
      <c r="AS203" s="153">
        <f>IVA!AK203+IVA!AL203+IVA!AM203</f>
        <v>44740</v>
      </c>
      <c r="AT203" s="153">
        <f>IVA!AN203+IVA!AO203+IVA!AP203</f>
        <v>44960</v>
      </c>
      <c r="AU203" s="127"/>
      <c r="AV203" s="128"/>
      <c r="AW203" s="128"/>
      <c r="AX203" s="128"/>
      <c r="AY203" s="128"/>
      <c r="AZ203" s="269"/>
      <c r="BA203" s="453"/>
      <c r="BW203" s="136"/>
      <c r="BX203" s="137"/>
      <c r="BY203" s="136"/>
      <c r="BZ203" s="136"/>
      <c r="CA203" s="271"/>
    </row>
    <row r="204" spans="27:79" ht="12.75" customHeight="1">
      <c r="AA204" s="448">
        <v>1997</v>
      </c>
      <c r="AB204" s="448" t="s">
        <v>583</v>
      </c>
      <c r="AC204" s="449"/>
      <c r="AD204" s="450"/>
      <c r="AE204" s="458">
        <v>50875</v>
      </c>
      <c r="AF204" s="458">
        <v>36219</v>
      </c>
      <c r="AG204" s="458">
        <v>34731</v>
      </c>
      <c r="AH204" s="458">
        <v>37501</v>
      </c>
      <c r="AI204" s="458">
        <v>34192</v>
      </c>
      <c r="AJ204" s="458">
        <v>31927</v>
      </c>
      <c r="AK204" s="458">
        <v>32760</v>
      </c>
      <c r="AL204" s="458">
        <v>30897</v>
      </c>
      <c r="AM204" s="458">
        <v>30468</v>
      </c>
      <c r="AN204" s="458">
        <v>29537</v>
      </c>
      <c r="AO204" s="458">
        <v>26046</v>
      </c>
      <c r="AP204" s="458">
        <v>25119</v>
      </c>
      <c r="AQ204" s="153">
        <f>IVA!AE204+IVA!AF204+IVA!AG204</f>
        <v>121825</v>
      </c>
      <c r="AR204" s="153">
        <f>IVA!AH204+IVA!AI204+IVA!AJ204</f>
        <v>103620</v>
      </c>
      <c r="AS204" s="153">
        <f>IVA!AK204+IVA!AL204+IVA!AM204</f>
        <v>94125</v>
      </c>
      <c r="AT204" s="153">
        <f>IVA!AN204+IVA!AO204+IVA!AP204</f>
        <v>80702</v>
      </c>
      <c r="AU204" s="127">
        <f>IVA!AQ204+IVA!AR204+IVA!AS204+IVA!AT204</f>
        <v>400272</v>
      </c>
      <c r="AV204" s="128">
        <f>IVA!AQ204/IVA!CJ6</f>
        <v>4.4910786699107867E-4</v>
      </c>
      <c r="AW204" s="128">
        <f>IVA!AR204/IVA!CK6</f>
        <v>3.4554681273783739E-4</v>
      </c>
      <c r="AX204" s="128">
        <f>IVA!AS204/IVA!CL6</f>
        <v>3.1557508483952539E-4</v>
      </c>
      <c r="AY204" s="128">
        <f>IVA!AT204/IVA!CM6</f>
        <v>2.6719196764295861E-4</v>
      </c>
      <c r="AZ204" s="269">
        <f>IVA!AU204/IVA!CN6</f>
        <v>1.3667743441821267E-3</v>
      </c>
      <c r="BA204" s="453"/>
      <c r="BW204" s="136"/>
      <c r="BX204" s="137"/>
      <c r="BY204" s="136"/>
      <c r="BZ204" s="136"/>
      <c r="CA204" s="271"/>
    </row>
    <row r="205" spans="27:79" ht="12.75" customHeight="1">
      <c r="AA205" s="448">
        <v>1998</v>
      </c>
      <c r="AB205" s="448" t="s">
        <v>583</v>
      </c>
      <c r="AC205" s="449"/>
      <c r="AD205" s="450"/>
      <c r="AE205" s="458">
        <v>26926</v>
      </c>
      <c r="AF205" s="458">
        <v>23137</v>
      </c>
      <c r="AG205" s="458">
        <v>24485</v>
      </c>
      <c r="AH205" s="458">
        <v>22275</v>
      </c>
      <c r="AI205" s="458">
        <v>14736</v>
      </c>
      <c r="AJ205" s="458">
        <v>10457</v>
      </c>
      <c r="AK205" s="458">
        <v>9372</v>
      </c>
      <c r="AL205" s="458">
        <v>8578</v>
      </c>
      <c r="AM205" s="458">
        <v>8683</v>
      </c>
      <c r="AN205" s="458">
        <v>8076</v>
      </c>
      <c r="AO205" s="458">
        <v>7997</v>
      </c>
      <c r="AP205" s="458">
        <v>7288</v>
      </c>
      <c r="AQ205" s="153">
        <f>IVA!AE205+IVA!AF205+IVA!AG205</f>
        <v>74548</v>
      </c>
      <c r="AR205" s="153">
        <f>IVA!AH205+IVA!AI205+IVA!AJ205</f>
        <v>47468</v>
      </c>
      <c r="AS205" s="153">
        <f>IVA!AK205+IVA!AL205+IVA!AM205</f>
        <v>26633</v>
      </c>
      <c r="AT205" s="153">
        <f>IVA!AN205+IVA!AO205+IVA!AP205</f>
        <v>23361</v>
      </c>
      <c r="AU205" s="127">
        <f>IVA!AQ205+IVA!AR205+IVA!AS205+IVA!AT205</f>
        <v>172010</v>
      </c>
      <c r="AV205" s="128">
        <f>IVA!AQ205/IVA!CJ7</f>
        <v>2.6364035025675122E-4</v>
      </c>
      <c r="AW205" s="128">
        <f>IVA!AR205/IVA!CK7</f>
        <v>1.5207809307788499E-4</v>
      </c>
      <c r="AX205" s="128">
        <f>IVA!AS205/IVA!CL7</f>
        <v>8.7185596855556311E-5</v>
      </c>
      <c r="AY205" s="128">
        <f>IVA!AT205/IVA!CM7</f>
        <v>7.9075821249470905E-5</v>
      </c>
      <c r="AZ205" s="269">
        <f>IVA!AU205/IVA!CN7</f>
        <v>5.7538365767213133E-4</v>
      </c>
      <c r="BA205" s="453"/>
      <c r="BQ205" s="459" t="s">
        <v>584</v>
      </c>
      <c r="BW205" s="136"/>
      <c r="BX205" s="137"/>
      <c r="BY205" s="136"/>
      <c r="BZ205" s="136"/>
      <c r="CA205" s="271"/>
    </row>
    <row r="206" spans="27:79" ht="12.75" customHeight="1">
      <c r="AA206" s="448">
        <v>1999</v>
      </c>
      <c r="AB206" s="448" t="s">
        <v>583</v>
      </c>
      <c r="AC206" s="449"/>
      <c r="AD206" s="450"/>
      <c r="AE206" s="460">
        <v>6512</v>
      </c>
      <c r="AF206" s="460">
        <v>7013</v>
      </c>
      <c r="AG206" s="460">
        <v>6949</v>
      </c>
      <c r="AH206" s="460">
        <v>5550</v>
      </c>
      <c r="AI206" s="460">
        <v>5012</v>
      </c>
      <c r="AJ206" s="460">
        <v>3247</v>
      </c>
      <c r="AK206" s="460">
        <v>2388</v>
      </c>
      <c r="AL206" s="460">
        <v>2259</v>
      </c>
      <c r="AM206" s="460">
        <v>2189</v>
      </c>
      <c r="AN206" s="460">
        <v>2262</v>
      </c>
      <c r="AO206" s="460">
        <v>1868</v>
      </c>
      <c r="AP206" s="460">
        <v>1177</v>
      </c>
      <c r="AQ206" s="153">
        <f>IVA!AE206+IVA!AF206+IVA!AG206</f>
        <v>20474</v>
      </c>
      <c r="AR206" s="153">
        <f>IVA!AH206+IVA!AI206+IVA!AJ206</f>
        <v>13809</v>
      </c>
      <c r="AS206" s="153">
        <f>IVA!AK206+IVA!AL206+IVA!AM206</f>
        <v>6836</v>
      </c>
      <c r="AT206" s="153">
        <f>IVA!AN206+IVA!AO206+IVA!AP206</f>
        <v>5307</v>
      </c>
      <c r="AU206" s="127">
        <f>IVA!AQ206+IVA!AR206+IVA!AS206+IVA!AT206</f>
        <v>46426</v>
      </c>
      <c r="AV206" s="128">
        <f>IVA!AQ206/IVA!CJ8</f>
        <v>7.5620692457136943E-5</v>
      </c>
      <c r="AW206" s="128">
        <f>IVA!AR206/IVA!CK8</f>
        <v>4.7810154373558856E-5</v>
      </c>
      <c r="AX206" s="128">
        <f>IVA!AS206/IVA!CL8</f>
        <v>2.397864331618349E-5</v>
      </c>
      <c r="AY206" s="128">
        <f>IVA!AT206/IVA!CM8</f>
        <v>1.8336113989607733E-5</v>
      </c>
      <c r="AZ206" s="269">
        <f>IVA!AU206/IVA!CN8</f>
        <v>1.6374684266616885E-4</v>
      </c>
      <c r="BA206" s="453"/>
      <c r="BW206" s="136"/>
      <c r="BX206" s="137"/>
      <c r="BY206" s="136"/>
      <c r="BZ206" s="136"/>
      <c r="CA206" s="271"/>
    </row>
    <row r="207" spans="27:79" ht="12.75" customHeight="1">
      <c r="AA207" s="448">
        <v>1996</v>
      </c>
      <c r="AB207" s="448" t="s">
        <v>585</v>
      </c>
      <c r="AC207" s="449"/>
      <c r="AD207" s="450"/>
      <c r="AE207" s="458">
        <v>12907</v>
      </c>
      <c r="AF207" s="458">
        <v>12333</v>
      </c>
      <c r="AG207" s="458">
        <v>11564</v>
      </c>
      <c r="AH207" s="458">
        <v>12755</v>
      </c>
      <c r="AI207" s="458">
        <v>14422</v>
      </c>
      <c r="AJ207" s="458">
        <v>12228</v>
      </c>
      <c r="AK207" s="458">
        <v>11087</v>
      </c>
      <c r="AL207" s="458">
        <v>12324</v>
      </c>
      <c r="AM207" s="458">
        <v>10223</v>
      </c>
      <c r="AN207" s="458">
        <v>13405</v>
      </c>
      <c r="AO207" s="458">
        <v>14765</v>
      </c>
      <c r="AP207" s="458">
        <v>12071</v>
      </c>
      <c r="AQ207" s="153">
        <f>IVA!AE207+IVA!AF207+IVA!AG207</f>
        <v>36804</v>
      </c>
      <c r="AR207" s="153">
        <f>IVA!AH207+IVA!AI207+IVA!AJ207</f>
        <v>39405</v>
      </c>
      <c r="AS207" s="153">
        <f>IVA!AK207+IVA!AL207+IVA!AM207</f>
        <v>33634</v>
      </c>
      <c r="AT207" s="153">
        <f>IVA!AN207+IVA!AO207+IVA!AP207</f>
        <v>40241</v>
      </c>
      <c r="AU207" s="127"/>
      <c r="AV207" s="128"/>
      <c r="AW207" s="128"/>
      <c r="AX207" s="128"/>
      <c r="AY207" s="128"/>
      <c r="AZ207" s="269"/>
      <c r="BA207" s="453"/>
      <c r="BW207" s="136"/>
      <c r="BX207" s="137"/>
      <c r="BY207" s="136"/>
      <c r="BZ207" s="136"/>
      <c r="CA207" s="271"/>
    </row>
    <row r="208" spans="27:79" ht="12.75" customHeight="1">
      <c r="AA208" s="448">
        <v>1997</v>
      </c>
      <c r="AB208" s="448" t="s">
        <v>585</v>
      </c>
      <c r="AC208" s="449"/>
      <c r="AD208" s="450"/>
      <c r="AE208" s="458">
        <v>14681</v>
      </c>
      <c r="AF208" s="458">
        <v>13055</v>
      </c>
      <c r="AG208" s="458">
        <v>13465</v>
      </c>
      <c r="AH208" s="458">
        <v>16311</v>
      </c>
      <c r="AI208" s="458">
        <v>13696</v>
      </c>
      <c r="AJ208" s="458">
        <v>13999</v>
      </c>
      <c r="AK208" s="458">
        <v>14532</v>
      </c>
      <c r="AL208" s="458">
        <v>15344</v>
      </c>
      <c r="AM208" s="458">
        <v>14864</v>
      </c>
      <c r="AN208" s="458">
        <v>16107</v>
      </c>
      <c r="AO208" s="458">
        <v>14450</v>
      </c>
      <c r="AP208" s="458">
        <v>14403</v>
      </c>
      <c r="AQ208" s="153">
        <f>IVA!AE208+IVA!AF208+IVA!AG208</f>
        <v>41201</v>
      </c>
      <c r="AR208" s="153">
        <f>IVA!AH208+IVA!AI208+IVA!AJ208</f>
        <v>44006</v>
      </c>
      <c r="AS208" s="153">
        <f>IVA!AK208+IVA!AL208+IVA!AM208</f>
        <v>44740</v>
      </c>
      <c r="AT208" s="153">
        <f>IVA!AN208+IVA!AO208+IVA!AP208</f>
        <v>44960</v>
      </c>
      <c r="AU208" s="127">
        <f>IVA!AQ208+IVA!AR208+IVA!AS208+IVA!AT208</f>
        <v>174907</v>
      </c>
      <c r="AV208" s="128">
        <f>IVA!AQ208/IVA!CJ6</f>
        <v>1.5188748801887487E-4</v>
      </c>
      <c r="AW208" s="128">
        <f>IVA!AR208/IVA!CK6</f>
        <v>1.4674901603301747E-4</v>
      </c>
      <c r="AX208" s="128">
        <f>IVA!AS208/IVA!CL6</f>
        <v>1.5000084245121237E-4</v>
      </c>
      <c r="AY208" s="128">
        <f>IVA!AT208/IVA!CM6</f>
        <v>1.4885567724749594E-4</v>
      </c>
      <c r="AZ208" s="269">
        <f>IVA!AU208/IVA!CN6</f>
        <v>5.9723987742800705E-4</v>
      </c>
      <c r="BA208" s="453"/>
      <c r="BW208" s="136"/>
      <c r="BX208" s="137"/>
      <c r="BY208" s="136"/>
      <c r="BZ208" s="136"/>
      <c r="CA208" s="271"/>
    </row>
    <row r="209" spans="27:79" ht="12.75" customHeight="1">
      <c r="AA209" s="448">
        <v>1998</v>
      </c>
      <c r="AB209" s="448" t="s">
        <v>585</v>
      </c>
      <c r="AC209" s="449"/>
      <c r="AD209" s="450"/>
      <c r="AE209" s="458">
        <v>14192</v>
      </c>
      <c r="AF209" s="458">
        <v>13251</v>
      </c>
      <c r="AG209" s="458">
        <v>14180</v>
      </c>
      <c r="AH209" s="458">
        <v>13722</v>
      </c>
      <c r="AI209" s="458">
        <v>14717</v>
      </c>
      <c r="AJ209" s="458">
        <v>13747</v>
      </c>
      <c r="AK209" s="458">
        <v>15700</v>
      </c>
      <c r="AL209" s="458">
        <v>14107</v>
      </c>
      <c r="AM209" s="458">
        <v>15391</v>
      </c>
      <c r="AN209" s="458">
        <v>15627</v>
      </c>
      <c r="AO209" s="458">
        <v>16510</v>
      </c>
      <c r="AP209" s="458">
        <v>15602</v>
      </c>
      <c r="AQ209" s="153">
        <f>IVA!AE209+IVA!AF209+IVA!AG209</f>
        <v>41623</v>
      </c>
      <c r="AR209" s="153">
        <f>IVA!AH209+IVA!AI209+IVA!AJ209</f>
        <v>42186</v>
      </c>
      <c r="AS209" s="153">
        <f>IVA!AK209+IVA!AL209+IVA!AM209</f>
        <v>45198</v>
      </c>
      <c r="AT209" s="153">
        <f>IVA!AN209+IVA!AO209+IVA!AP209</f>
        <v>47739</v>
      </c>
      <c r="AU209" s="127">
        <f>IVA!AQ209+IVA!AR209+IVA!AS209+IVA!AT209</f>
        <v>176746</v>
      </c>
      <c r="AV209" s="128">
        <f>IVA!AQ209/IVA!CJ7</f>
        <v>1.4720049228331754E-4</v>
      </c>
      <c r="AW209" s="128">
        <f>IVA!AR209/IVA!CK7</f>
        <v>1.3515560871710746E-4</v>
      </c>
      <c r="AX209" s="128">
        <f>IVA!AS209/IVA!CL7</f>
        <v>1.4795984705731364E-4</v>
      </c>
      <c r="AY209" s="128">
        <f>IVA!AT209/IVA!CM7</f>
        <v>1.6159413683611537E-4</v>
      </c>
      <c r="AZ209" s="269">
        <f>IVA!AU209/IVA!CN7</f>
        <v>5.912258587228563E-4</v>
      </c>
      <c r="BA209" s="453"/>
      <c r="BW209" s="136"/>
      <c r="BX209" s="137"/>
      <c r="BY209" s="136"/>
      <c r="BZ209" s="136"/>
      <c r="CA209" s="271"/>
    </row>
    <row r="210" spans="27:79" ht="12.75" customHeight="1">
      <c r="AA210" s="461">
        <v>1999</v>
      </c>
      <c r="AB210" s="461" t="s">
        <v>585</v>
      </c>
      <c r="AC210" s="462"/>
      <c r="AD210" s="463"/>
      <c r="AE210" s="464">
        <v>16102</v>
      </c>
      <c r="AF210" s="464">
        <v>14939</v>
      </c>
      <c r="AG210" s="464">
        <v>14886</v>
      </c>
      <c r="AH210" s="464">
        <v>16444</v>
      </c>
      <c r="AI210" s="464">
        <v>15859</v>
      </c>
      <c r="AJ210" s="464">
        <v>15563</v>
      </c>
      <c r="AK210" s="464">
        <v>16309</v>
      </c>
      <c r="AL210" s="464">
        <v>15447</v>
      </c>
      <c r="AM210" s="464">
        <v>15797</v>
      </c>
      <c r="AN210" s="464">
        <v>15212</v>
      </c>
      <c r="AO210" s="464">
        <v>14141</v>
      </c>
      <c r="AP210" s="464">
        <v>8166</v>
      </c>
      <c r="AQ210" s="325">
        <f>IVA!AE210+IVA!AF210+IVA!AG210</f>
        <v>45927</v>
      </c>
      <c r="AR210" s="325">
        <f>IVA!AH210+IVA!AI210+IVA!AJ210</f>
        <v>47866</v>
      </c>
      <c r="AS210" s="325">
        <f>IVA!AK210+IVA!AL210+IVA!AM210</f>
        <v>47553</v>
      </c>
      <c r="AT210" s="325">
        <f>IVA!AN210+IVA!AO210+IVA!AP210</f>
        <v>37519</v>
      </c>
      <c r="AU210" s="248">
        <f>IVA!AQ210+IVA!AR210+IVA!AS210+IVA!AT210</f>
        <v>178865</v>
      </c>
      <c r="AV210" s="250">
        <f>IVA!AQ210/IVA!CJ8</f>
        <v>1.6963131495940844E-4</v>
      </c>
      <c r="AW210" s="250">
        <f>IVA!AR210/IVA!CK8</f>
        <v>1.6572386481604519E-4</v>
      </c>
      <c r="AX210" s="250">
        <f>IVA!AS210/IVA!CL8</f>
        <v>1.6680170064576849E-4</v>
      </c>
      <c r="AY210" s="250">
        <f>IVA!AT210/IVA!CM8</f>
        <v>1.2963117783608302E-4</v>
      </c>
      <c r="AZ210" s="294">
        <f>IVA!AU210/IVA!CN8</f>
        <v>6.3086587286185093E-4</v>
      </c>
      <c r="BA210" s="453"/>
      <c r="BW210" s="136"/>
      <c r="BX210" s="137"/>
      <c r="BY210" s="136"/>
      <c r="BZ210" s="136"/>
      <c r="CA210" s="271"/>
    </row>
    <row r="211" spans="27:79" ht="12.75" customHeight="1">
      <c r="AA211" s="461"/>
      <c r="AB211" s="461"/>
      <c r="AC211" s="462"/>
      <c r="AD211" s="463"/>
      <c r="AE211" s="464"/>
      <c r="AF211" s="464"/>
      <c r="AG211" s="464"/>
      <c r="AH211" s="464"/>
      <c r="AI211" s="464"/>
      <c r="AJ211" s="464"/>
      <c r="AK211" s="464"/>
      <c r="AL211" s="464"/>
      <c r="AM211" s="464"/>
      <c r="AN211" s="464"/>
      <c r="AO211" s="464"/>
      <c r="AP211" s="464"/>
      <c r="AQ211" s="325"/>
      <c r="AR211" s="325"/>
      <c r="AS211" s="325"/>
      <c r="AT211" s="325"/>
      <c r="AU211" s="248"/>
      <c r="AV211" s="250"/>
      <c r="AW211" s="250"/>
      <c r="AX211" s="250"/>
      <c r="AY211" s="250"/>
      <c r="AZ211" s="294"/>
      <c r="BA211" s="453"/>
      <c r="BW211" s="136"/>
      <c r="BX211" s="137"/>
      <c r="BY211" s="136"/>
      <c r="BZ211" s="136"/>
      <c r="CA211" s="271"/>
    </row>
    <row r="212" spans="27:79" ht="12.75" customHeight="1">
      <c r="AA212" s="403">
        <v>1997</v>
      </c>
      <c r="AB212" s="403" t="s">
        <v>586</v>
      </c>
      <c r="AC212" s="404"/>
      <c r="AD212" s="405"/>
      <c r="AE212" s="465">
        <f>IVA!AE200+IVA!AE204+IVA!AE208</f>
        <v>837845</v>
      </c>
      <c r="AF212" s="465">
        <f>IVA!AF200+IVA!AF204+IVA!AF208</f>
        <v>611456</v>
      </c>
      <c r="AG212" s="465">
        <f>IVA!AG200+IVA!AG204+IVA!AG208</f>
        <v>535289</v>
      </c>
      <c r="AH212" s="465">
        <f>IVA!AH200+IVA!AH204+IVA!AH208</f>
        <v>581585</v>
      </c>
      <c r="AI212" s="465">
        <f>IVA!AI200+IVA!AI204+IVA!AI208</f>
        <v>601654</v>
      </c>
      <c r="AJ212" s="465">
        <f>IVA!AJ200+IVA!AJ204+IVA!AJ208</f>
        <v>593305</v>
      </c>
      <c r="AK212" s="465">
        <f>IVA!AK200+IVA!AK204+IVA!AK208</f>
        <v>846147</v>
      </c>
      <c r="AL212" s="465">
        <f>IVA!AL200+IVA!AL204+IVA!AL208</f>
        <v>594342</v>
      </c>
      <c r="AM212" s="465">
        <f>IVA!AM200+IVA!AM204+IVA!AM208</f>
        <v>616681</v>
      </c>
      <c r="AN212" s="465">
        <f>IVA!AN200+IVA!AN204+IVA!AN208</f>
        <v>614887</v>
      </c>
      <c r="AO212" s="465">
        <f>IVA!AO200+IVA!AO204+IVA!AO208</f>
        <v>611326</v>
      </c>
      <c r="AP212" s="465">
        <f>IVA!AP200+IVA!AP204+IVA!AP208</f>
        <v>659876</v>
      </c>
      <c r="AQ212" s="153">
        <f>IVA!AE212+IVA!AF212+IVA!AG212</f>
        <v>1984590</v>
      </c>
      <c r="AR212" s="153">
        <f>IVA!AH212+IVA!AI212+IVA!AJ212</f>
        <v>1776544</v>
      </c>
      <c r="AS212" s="153">
        <f>IVA!AK212+IVA!AL212+IVA!AM212</f>
        <v>2057170</v>
      </c>
      <c r="AT212" s="153">
        <f>IVA!AN212+IVA!AO212+IVA!AP212</f>
        <v>1886089</v>
      </c>
      <c r="AU212" s="466">
        <f>IVA!AQ212+IVA!AR212+IVA!AS212+IVA!AT212</f>
        <v>7704393</v>
      </c>
      <c r="AV212" s="128">
        <f>IVA!AQ212/IVA!CJ6</f>
        <v>7.3161911081619114E-3</v>
      </c>
      <c r="AW212" s="128">
        <f>IVA!AR212/IVA!CK6</f>
        <v>5.9243304081116437E-3</v>
      </c>
      <c r="AX212" s="128">
        <f>IVA!AS212/IVA!CL6</f>
        <v>6.8971218834456985E-3</v>
      </c>
      <c r="AY212" s="128">
        <f>IVA!AT212/IVA!CM6</f>
        <v>6.2445519449299911E-3</v>
      </c>
      <c r="AZ212" s="269">
        <f>IVA!AU212/IVA!CN6</f>
        <v>2.6307527605968859E-2</v>
      </c>
      <c r="BA212" s="453"/>
      <c r="BW212" s="262"/>
      <c r="BX212" s="261"/>
      <c r="BY212" s="262"/>
      <c r="BZ212" s="262"/>
      <c r="CA212" s="301"/>
    </row>
    <row r="213" spans="27:79" ht="12.75" customHeight="1">
      <c r="AA213" s="403">
        <v>1998</v>
      </c>
      <c r="AB213" s="403" t="s">
        <v>586</v>
      </c>
      <c r="AC213" s="404"/>
      <c r="AD213" s="405"/>
      <c r="AE213" s="406">
        <f>IVA!AE201+IVA!AE205+IVA!AE209</f>
        <v>893380</v>
      </c>
      <c r="AF213" s="406">
        <f>IVA!AF201+IVA!AF205+IVA!AF209</f>
        <v>654938</v>
      </c>
      <c r="AG213" s="406">
        <f>IVA!AG201+IVA!AG205+IVA!AG209</f>
        <v>610814</v>
      </c>
      <c r="AH213" s="406">
        <f>IVA!AH201+IVA!AH205+IVA!AH209</f>
        <v>613049</v>
      </c>
      <c r="AI213" s="406">
        <f>IVA!AI201+IVA!AI205+IVA!AI209</f>
        <v>635839</v>
      </c>
      <c r="AJ213" s="406">
        <f>IVA!AJ201+IVA!AJ205+IVA!AJ209</f>
        <v>678325</v>
      </c>
      <c r="AK213" s="406">
        <f>IVA!AK201+IVA!AK205+IVA!AK209</f>
        <v>908263</v>
      </c>
      <c r="AL213" s="406">
        <f>IVA!AL201+IVA!AL205+IVA!AL209</f>
        <v>641376</v>
      </c>
      <c r="AM213" s="406">
        <f>IVA!AM201+IVA!AM205+IVA!AM209</f>
        <v>625441</v>
      </c>
      <c r="AN213" s="406">
        <f>IVA!AN201+IVA!AN205+IVA!AN209</f>
        <v>652142</v>
      </c>
      <c r="AO213" s="406">
        <f>IVA!AO201+IVA!AO205+IVA!AO209</f>
        <v>625320</v>
      </c>
      <c r="AP213" s="406">
        <f>IVA!AP201+IVA!AP205+IVA!AP209</f>
        <v>636259</v>
      </c>
      <c r="AQ213" s="153">
        <f>IVA!AE213+IVA!AF213+IVA!AG213</f>
        <v>2159132</v>
      </c>
      <c r="AR213" s="153">
        <f>IVA!AH213+IVA!AI213+IVA!AJ213</f>
        <v>1927213</v>
      </c>
      <c r="AS213" s="153">
        <f>IVA!AK213+IVA!AL213+IVA!AM213</f>
        <v>2175080</v>
      </c>
      <c r="AT213" s="153">
        <f>IVA!AN213+IVA!AO213+IVA!AP213</f>
        <v>1913721</v>
      </c>
      <c r="AU213" s="466">
        <f>IVA!AQ213+IVA!AR213+IVA!AS213+IVA!AT213</f>
        <v>8175146</v>
      </c>
      <c r="AV213" s="128">
        <f>IVA!AQ213/IVA!CJ7</f>
        <v>7.6358093675291056E-3</v>
      </c>
      <c r="AW213" s="128">
        <f>IVA!AR213/IVA!CK7</f>
        <v>6.1744096653516042E-3</v>
      </c>
      <c r="AX213" s="128">
        <f>IVA!AS213/IVA!CL7</f>
        <v>7.1203262121647369E-3</v>
      </c>
      <c r="AY213" s="128">
        <f>IVA!AT213/IVA!CM7</f>
        <v>6.4778502511604252E-3</v>
      </c>
      <c r="AZ213" s="269">
        <f>IVA!AU213/IVA!CN7</f>
        <v>2.7346348511619635E-2</v>
      </c>
      <c r="BA213" s="453"/>
      <c r="BW213" s="136"/>
      <c r="BX213" s="137"/>
      <c r="BY213" s="136"/>
      <c r="BZ213" s="136"/>
      <c r="CA213" s="271"/>
    </row>
    <row r="214" spans="27:79" ht="12.75" customHeight="1">
      <c r="AA214" s="403">
        <v>1999</v>
      </c>
      <c r="AB214" s="403" t="s">
        <v>586</v>
      </c>
      <c r="AC214" s="404"/>
      <c r="AD214" s="405"/>
      <c r="AE214" s="406">
        <f>IVA!AE202+IVA!AE206+IVA!AE210</f>
        <v>930438</v>
      </c>
      <c r="AF214" s="406">
        <f>IVA!AF202+IVA!AF206+IVA!AF210</f>
        <v>613095</v>
      </c>
      <c r="AG214" s="406">
        <f>IVA!AG202+IVA!AG206+IVA!AG210</f>
        <v>592185</v>
      </c>
      <c r="AH214" s="406">
        <f>IVA!AH202+IVA!AH206+IVA!AH210</f>
        <v>566830</v>
      </c>
      <c r="AI214" s="406">
        <f>IVA!AI202+IVA!AI206+IVA!AI210</f>
        <v>537611</v>
      </c>
      <c r="AJ214" s="406">
        <f>IVA!AJ202+IVA!AJ206+IVA!AJ210</f>
        <v>535921</v>
      </c>
      <c r="AK214" s="406">
        <f>IVA!AK202+IVA!AK206+IVA!AK210</f>
        <v>785664</v>
      </c>
      <c r="AL214" s="406">
        <f>IVA!AL202+IVA!AL206+IVA!AL210</f>
        <v>538162</v>
      </c>
      <c r="AM214" s="406">
        <f>IVA!AM202+IVA!AM206+IVA!AM210</f>
        <v>533921</v>
      </c>
      <c r="AN214" s="406">
        <f>IVA!AN202+IVA!AN206+IVA!AN210</f>
        <v>452904</v>
      </c>
      <c r="AO214" s="406">
        <f>IVA!AO202+IVA!AO206+IVA!AO210</f>
        <v>534707</v>
      </c>
      <c r="AP214" s="406">
        <f>IVA!AP202+IVA!AP206+IVA!AP210</f>
        <v>509407</v>
      </c>
      <c r="AQ214" s="153">
        <f>IVA!AE214+IVA!AF214+IVA!AG214</f>
        <v>2135718</v>
      </c>
      <c r="AR214" s="153">
        <f>IVA!AH214+IVA!AI214+IVA!AJ214</f>
        <v>1640362</v>
      </c>
      <c r="AS214" s="153">
        <f>IVA!AK214+IVA!AL214+IVA!AM214</f>
        <v>1857747</v>
      </c>
      <c r="AT214" s="153">
        <f>IVA!AN214+IVA!AO214+IVA!AP214</f>
        <v>1497018</v>
      </c>
      <c r="AU214" s="466">
        <f>IVA!AQ214+IVA!AR214+IVA!AS214+IVA!AT214</f>
        <v>7130845</v>
      </c>
      <c r="AV214" s="128">
        <f>IVA!AQ214/IVA!CJ8</f>
        <v>7.8882716642166457E-3</v>
      </c>
      <c r="AW214" s="128">
        <f>IVA!AR214/IVA!CK8</f>
        <v>5.6793366969744193E-3</v>
      </c>
      <c r="AX214" s="128">
        <f>IVA!AS214/IVA!CL8</f>
        <v>6.5164208140301239E-3</v>
      </c>
      <c r="AY214" s="128">
        <f>IVA!AT214/IVA!CM8</f>
        <v>5.1723182009599756E-3</v>
      </c>
      <c r="AZ214" s="269">
        <f>IVA!AU214/IVA!CN8</f>
        <v>2.5150849831814859E-2</v>
      </c>
      <c r="BA214" s="453"/>
      <c r="BW214" s="136"/>
      <c r="BX214" s="137"/>
      <c r="BY214" s="136"/>
      <c r="BZ214" s="136"/>
      <c r="CA214" s="271"/>
    </row>
    <row r="215" spans="27:79" ht="12.75" customHeight="1">
      <c r="AA215" s="403">
        <v>2000</v>
      </c>
      <c r="AB215" s="403" t="s">
        <v>586</v>
      </c>
      <c r="AC215" s="404"/>
      <c r="AD215" s="405"/>
      <c r="AE215" s="467">
        <v>717664.11890999996</v>
      </c>
      <c r="AF215" s="467">
        <v>523551.52353000001</v>
      </c>
      <c r="AG215" s="467">
        <v>488285.11800000002</v>
      </c>
      <c r="AH215" s="467">
        <v>460425.14299999998</v>
      </c>
      <c r="AI215" s="467">
        <v>507007.58789999998</v>
      </c>
      <c r="AJ215" s="467">
        <v>545816.55347000004</v>
      </c>
      <c r="AK215" s="467">
        <v>763505.96799999999</v>
      </c>
      <c r="AL215" s="467">
        <v>517368.32089999999</v>
      </c>
      <c r="AM215" s="467">
        <v>523814.77870000002</v>
      </c>
      <c r="AN215" s="467">
        <v>524788.63919999998</v>
      </c>
      <c r="AO215" s="467">
        <v>478069.30190999998</v>
      </c>
      <c r="AP215" s="467">
        <v>509118.17515000002</v>
      </c>
      <c r="AQ215" s="153">
        <f>IVA!AE215+IVA!AF215+IVA!AG215</f>
        <v>1729500.7604400001</v>
      </c>
      <c r="AR215" s="153">
        <f>IVA!AH215+IVA!AI215+IVA!AJ215</f>
        <v>1513249.28437</v>
      </c>
      <c r="AS215" s="153">
        <f>IVA!AK215+IVA!AL215+IVA!AM215</f>
        <v>1804689.0676000002</v>
      </c>
      <c r="AT215" s="153">
        <f>IVA!AN215+IVA!AO215+IVA!AP215</f>
        <v>1511976.11626</v>
      </c>
      <c r="AU215" s="466">
        <f>IVA!AQ215+IVA!AR215+IVA!AS215+IVA!AT215</f>
        <v>6559415.2286699992</v>
      </c>
      <c r="AV215" s="128">
        <f>IVA!AQ215/IVA!CJ9</f>
        <v>6.3950420805786046E-3</v>
      </c>
      <c r="AW215" s="128">
        <f>IVA!AR215/IVA!CK9</f>
        <v>5.1859835683456916E-3</v>
      </c>
      <c r="AX215" s="128">
        <f>IVA!AS215/IVA!CL9</f>
        <v>6.2772745095324052E-3</v>
      </c>
      <c r="AY215" s="128">
        <f>IVA!AT215/IVA!CM9</f>
        <v>5.2667595023833868E-3</v>
      </c>
      <c r="AZ215" s="269">
        <f>IVA!AU215/IVA!CN9</f>
        <v>2.3079975106902205E-2</v>
      </c>
      <c r="BA215" s="453"/>
      <c r="BW215" s="262"/>
      <c r="BX215" s="261"/>
      <c r="BY215" s="262"/>
      <c r="BZ215" s="262"/>
      <c r="CA215" s="301"/>
    </row>
    <row r="216" spans="27:79" ht="12.75" customHeight="1">
      <c r="AA216" s="403">
        <v>2001</v>
      </c>
      <c r="AB216" s="403" t="s">
        <v>586</v>
      </c>
      <c r="AC216" s="404"/>
      <c r="AD216" s="405"/>
      <c r="AE216" s="467">
        <v>713205.07840999996</v>
      </c>
      <c r="AF216" s="467">
        <v>510148.07365999999</v>
      </c>
      <c r="AG216" s="467">
        <v>492971.60084000003</v>
      </c>
      <c r="AH216" s="467">
        <v>460641.26620999997</v>
      </c>
      <c r="AI216" s="467">
        <v>485330.57364000002</v>
      </c>
      <c r="AJ216" s="467">
        <v>449023.33834999998</v>
      </c>
      <c r="AK216" s="467">
        <v>643951.27323000005</v>
      </c>
      <c r="AL216" s="467">
        <v>518490.34193</v>
      </c>
      <c r="AM216" s="467">
        <v>497789.5773</v>
      </c>
      <c r="AN216" s="467">
        <v>475153.87008999998</v>
      </c>
      <c r="AO216" s="467">
        <v>456673.46720000001</v>
      </c>
      <c r="AP216" s="467">
        <v>369448.65120000002</v>
      </c>
      <c r="AQ216" s="153">
        <f>IVA!AE216+IVA!AF216+IVA!AG216</f>
        <v>1716324.7529099998</v>
      </c>
      <c r="AR216" s="153">
        <f>IVA!AH216+IVA!AI216+IVA!AJ216</f>
        <v>1394995.1782</v>
      </c>
      <c r="AS216" s="153">
        <f>IVA!AK216+IVA!AL216+IVA!AM216</f>
        <v>1660231.19246</v>
      </c>
      <c r="AT216" s="153">
        <f>IVA!AN216+IVA!AO216+IVA!AP216</f>
        <v>1301275.9884899999</v>
      </c>
      <c r="AU216" s="466">
        <f>IVA!AQ216+IVA!AR216+IVA!AS216+IVA!AT216</f>
        <v>6072827.1120599993</v>
      </c>
      <c r="AV216" s="128">
        <f>IVA!AQ216/IVA!CJ10</f>
        <v>6.5177466872871018E-3</v>
      </c>
      <c r="AW216" s="128">
        <f>IVA!AR216/IVA!CK10</f>
        <v>4.8432947506123593E-3</v>
      </c>
      <c r="AX216" s="128">
        <f>IVA!AS216/IVA!CL10</f>
        <v>6.1180239419816604E-3</v>
      </c>
      <c r="AY216" s="128">
        <f>IVA!AT216/IVA!CM10</f>
        <v>5.1625041197250008E-3</v>
      </c>
      <c r="AZ216" s="269">
        <f>IVA!AU216/IVA!CN10</f>
        <v>2.2601047621335673E-2</v>
      </c>
      <c r="BA216" s="453"/>
      <c r="BW216" s="136"/>
      <c r="BX216" s="137"/>
      <c r="BY216" s="136"/>
      <c r="BZ216" s="136"/>
      <c r="CA216" s="271"/>
    </row>
    <row r="217" spans="27:79" ht="12.75" customHeight="1">
      <c r="AA217" s="403">
        <v>2002</v>
      </c>
      <c r="AB217" s="403" t="s">
        <v>586</v>
      </c>
      <c r="AC217" s="404"/>
      <c r="AD217" s="405"/>
      <c r="AE217" s="467">
        <v>575654.08513999998</v>
      </c>
      <c r="AF217" s="467">
        <v>480768.59727000003</v>
      </c>
      <c r="AG217" s="467">
        <v>410794.22872000001</v>
      </c>
      <c r="AH217" s="467">
        <v>427476.38403000002</v>
      </c>
      <c r="AI217" s="467">
        <v>520986.27526999998</v>
      </c>
      <c r="AJ217" s="467">
        <v>502735.21795000002</v>
      </c>
      <c r="AK217" s="467">
        <v>712225.27402999997</v>
      </c>
      <c r="AL217" s="467">
        <v>542263.10580999998</v>
      </c>
      <c r="AM217" s="467">
        <v>547570.92694000003</v>
      </c>
      <c r="AN217" s="467">
        <v>569808.37240999995</v>
      </c>
      <c r="AO217" s="467">
        <v>543511.87465999997</v>
      </c>
      <c r="AP217" s="467">
        <v>549747.63150999998</v>
      </c>
      <c r="AQ217" s="153">
        <f>IVA!AE217+IVA!AF217+IVA!AG217</f>
        <v>1467216.9111299999</v>
      </c>
      <c r="AR217" s="153">
        <f>IVA!AH217+IVA!AI217+IVA!AJ217</f>
        <v>1451197.8772499999</v>
      </c>
      <c r="AS217" s="153">
        <f>IVA!AK217+IVA!AL217+IVA!AM217</f>
        <v>1802059.3067800002</v>
      </c>
      <c r="AT217" s="153">
        <f>IVA!AN217+IVA!AO217+IVA!AP217</f>
        <v>1663067.87858</v>
      </c>
      <c r="AU217" s="466">
        <f>IVA!AQ217+IVA!AR217+IVA!AS217+IVA!AT217</f>
        <v>6383541.9737400003</v>
      </c>
      <c r="AV217" s="128">
        <f>IVA!AQ217/IVA!CJ11</f>
        <v>6.1893000887128409E-3</v>
      </c>
      <c r="AW217" s="128">
        <f>IVA!AR217/IVA!CK11</f>
        <v>4.2807161303481034E-3</v>
      </c>
      <c r="AX217" s="128">
        <f>IVA!AS217/IVA!CL11</f>
        <v>5.3952864957020506E-3</v>
      </c>
      <c r="AY217" s="128">
        <f>IVA!AT217/IVA!CM11</f>
        <v>4.8877904444316455E-3</v>
      </c>
      <c r="AZ217" s="269">
        <f>IVA!AU217/IVA!CN11</f>
        <v>2.042209685779529E-2</v>
      </c>
      <c r="BA217" s="453"/>
      <c r="BW217" s="136"/>
      <c r="BX217" s="137"/>
      <c r="BY217" s="136"/>
      <c r="BZ217" s="136"/>
      <c r="CA217" s="271"/>
    </row>
    <row r="218" spans="27:79" ht="12.75" customHeight="1">
      <c r="AA218" s="403">
        <v>2003</v>
      </c>
      <c r="AB218" s="403" t="s">
        <v>586</v>
      </c>
      <c r="AC218" s="404"/>
      <c r="AD218" s="405"/>
      <c r="AE218" s="467">
        <v>811542.30290000001</v>
      </c>
      <c r="AF218" s="467">
        <v>559987.45565000002</v>
      </c>
      <c r="AG218" s="467">
        <v>496855.01147000003</v>
      </c>
      <c r="AH218" s="467">
        <v>540600.31704999995</v>
      </c>
      <c r="AI218" s="467">
        <v>571140.35953000002</v>
      </c>
      <c r="AJ218" s="467">
        <v>565485.57614999998</v>
      </c>
      <c r="AK218" s="467">
        <v>837241.32547000004</v>
      </c>
      <c r="AL218" s="467">
        <v>611694.92336000002</v>
      </c>
      <c r="AM218" s="467">
        <v>624166.01249999995</v>
      </c>
      <c r="AN218" s="467">
        <v>648699.95544000005</v>
      </c>
      <c r="AO218" s="467">
        <v>651311.99285000004</v>
      </c>
      <c r="AP218" s="467">
        <v>683963.40925000003</v>
      </c>
      <c r="AQ218" s="153">
        <f>IVA!AE218+IVA!AF218+IVA!AG218</f>
        <v>1868384.7700199999</v>
      </c>
      <c r="AR218" s="153">
        <f>IVA!AH218+IVA!AI218+IVA!AJ218</f>
        <v>1677226.2527299998</v>
      </c>
      <c r="AS218" s="153">
        <f>IVA!AK218+IVA!AL218+IVA!AM218</f>
        <v>2073102.2613299999</v>
      </c>
      <c r="AT218" s="153">
        <f>IVA!AN218+IVA!AO218+IVA!AP218</f>
        <v>1983975.3575400002</v>
      </c>
      <c r="AU218" s="466">
        <f>IVA!AQ218+IVA!AR218+IVA!AS218+IVA!AT218</f>
        <v>7602688.6416199999</v>
      </c>
      <c r="AV218" s="128">
        <f>IVA!AQ218/IVA!CJ12</f>
        <v>5.7073966129850134E-3</v>
      </c>
      <c r="AW218" s="128">
        <f>IVA!AR218/IVA!CK12</f>
        <v>4.2023229639475352E-3</v>
      </c>
      <c r="AX218" s="128">
        <f>IVA!AS218/IVA!CL12</f>
        <v>5.486033997386717E-3</v>
      </c>
      <c r="AY218" s="128">
        <f>IVA!AT218/IVA!CM12</f>
        <v>4.969011821636761E-3</v>
      </c>
      <c r="AZ218" s="269">
        <f>IVA!AU218/IVA!CN12</f>
        <v>2.02247919907423E-2</v>
      </c>
      <c r="BA218" s="453"/>
      <c r="BW218" s="136"/>
      <c r="BX218" s="137"/>
      <c r="BY218" s="136"/>
      <c r="BZ218" s="136"/>
      <c r="CA218" s="271"/>
    </row>
    <row r="219" spans="27:79" ht="12.75" customHeight="1">
      <c r="AA219" s="403">
        <v>2004</v>
      </c>
      <c r="AB219" s="403" t="s">
        <v>586</v>
      </c>
      <c r="AC219" s="404"/>
      <c r="AD219" s="405"/>
      <c r="AE219" s="467">
        <v>1013436.40315</v>
      </c>
      <c r="AF219" s="467">
        <v>746467.87962000002</v>
      </c>
      <c r="AG219" s="467">
        <v>697193.42625999998</v>
      </c>
      <c r="AH219" s="467">
        <v>706727.10499000002</v>
      </c>
      <c r="AI219" s="467">
        <v>800458.91301000002</v>
      </c>
      <c r="AJ219" s="467">
        <v>753818.41891000001</v>
      </c>
      <c r="AK219" s="467">
        <v>1131313.5500399999</v>
      </c>
      <c r="AL219" s="467">
        <v>795180.72496000002</v>
      </c>
      <c r="AM219" s="467">
        <v>877864.95114999998</v>
      </c>
      <c r="AN219" s="467">
        <v>834367.34325999999</v>
      </c>
      <c r="AO219" s="467">
        <v>850144.84181000001</v>
      </c>
      <c r="AP219" s="467">
        <v>833387.71542999998</v>
      </c>
      <c r="AQ219" s="153">
        <f>IVA!AE219+IVA!AF219+IVA!AG219</f>
        <v>2457097.70903</v>
      </c>
      <c r="AR219" s="153">
        <f>IVA!AH219+IVA!AI219+IVA!AJ219</f>
        <v>2261004.4369100002</v>
      </c>
      <c r="AS219" s="153">
        <f>IVA!AK219+IVA!AL219+IVA!AM219</f>
        <v>2804359.22615</v>
      </c>
      <c r="AT219" s="153">
        <f>IVA!AN219+IVA!AO219+IVA!AP219</f>
        <v>2517899.9005</v>
      </c>
      <c r="AU219" s="466">
        <f>IVA!AQ219+IVA!AR219+IVA!AS219+IVA!AT219</f>
        <v>10040361.27259</v>
      </c>
      <c r="AV219" s="128">
        <f>IVA!AQ219/IVA!CJ13</f>
        <v>6.2550696864697814E-3</v>
      </c>
      <c r="AW219" s="128">
        <f>IVA!AR219/IVA!CK13</f>
        <v>4.7679082082864562E-3</v>
      </c>
      <c r="AX219" s="128">
        <f>IVA!AS219/IVA!CL13</f>
        <v>6.2032412657634269E-3</v>
      </c>
      <c r="AY219" s="128">
        <f>IVA!AT219/IVA!CM13</f>
        <v>5.3406037740013519E-3</v>
      </c>
      <c r="AZ219" s="269">
        <f>IVA!AU219/IVA!CN13</f>
        <v>2.2429372794191962E-2</v>
      </c>
      <c r="BA219" s="453"/>
      <c r="BW219" s="136"/>
      <c r="BX219" s="137"/>
      <c r="BY219" s="136"/>
      <c r="BZ219" s="136"/>
      <c r="CA219" s="271"/>
    </row>
    <row r="220" spans="27:79" ht="12.75" customHeight="1">
      <c r="AA220" s="403">
        <v>2005</v>
      </c>
      <c r="AB220" s="403" t="s">
        <v>586</v>
      </c>
      <c r="AC220" s="404"/>
      <c r="AD220" s="405"/>
      <c r="AE220" s="467">
        <v>1202714.3152099999</v>
      </c>
      <c r="AF220" s="467">
        <v>1000526.61344</v>
      </c>
      <c r="AG220" s="467">
        <v>834164.92143999995</v>
      </c>
      <c r="AH220" s="467">
        <v>894594.26893999998</v>
      </c>
      <c r="AI220" s="467">
        <v>959827.65631999995</v>
      </c>
      <c r="AJ220" s="467">
        <v>969440.92761000001</v>
      </c>
      <c r="AK220" s="467">
        <v>1451581.8147499999</v>
      </c>
      <c r="AL220" s="467">
        <v>1138392.57131</v>
      </c>
      <c r="AM220" s="467">
        <v>1154699.2553600001</v>
      </c>
      <c r="AN220" s="467">
        <v>1226469.1391799999</v>
      </c>
      <c r="AO220" s="467">
        <v>1246830.1018600001</v>
      </c>
      <c r="AP220" s="467">
        <v>1269263.2779900001</v>
      </c>
      <c r="AQ220" s="153">
        <f>IVA!AE220+IVA!AF220+IVA!AG220</f>
        <v>3037405.8500899998</v>
      </c>
      <c r="AR220" s="153">
        <f>IVA!AH220+IVA!AI220+IVA!AJ220</f>
        <v>2823862.8528700001</v>
      </c>
      <c r="AS220" s="153">
        <f>IVA!AK220+IVA!AL220+IVA!AM220</f>
        <v>3744673.6414200002</v>
      </c>
      <c r="AT220" s="153">
        <f>IVA!AN220+IVA!AO220+IVA!AP220</f>
        <v>3742562.5190300001</v>
      </c>
      <c r="AU220" s="466">
        <f>IVA!AQ220+IVA!AR220+IVA!AS220+IVA!AT220</f>
        <v>13348504.86341</v>
      </c>
      <c r="AV220" s="128">
        <f>IVA!AQ220/IVA!CJ14</f>
        <v>6.649836348946064E-3</v>
      </c>
      <c r="AW220" s="128">
        <f>IVA!AR220/IVA!CK14</f>
        <v>5.1118797628515204E-3</v>
      </c>
      <c r="AX220" s="128">
        <f>IVA!AS220/IVA!CL14</f>
        <v>6.8807053170121387E-3</v>
      </c>
      <c r="AY220" s="128">
        <f>IVA!AT220/IVA!CM14</f>
        <v>6.5161573933975297E-3</v>
      </c>
      <c r="AZ220" s="269">
        <f>IVA!AU220/IVA!CN14</f>
        <v>2.5094064981364513E-2</v>
      </c>
      <c r="BA220" s="453"/>
      <c r="BW220" s="136"/>
      <c r="BX220" s="137"/>
      <c r="BY220" s="136"/>
      <c r="BZ220" s="136"/>
      <c r="CA220" s="271"/>
    </row>
    <row r="221" spans="27:79" ht="12.75" customHeight="1">
      <c r="AA221" s="403">
        <v>2006</v>
      </c>
      <c r="AB221" s="403" t="s">
        <v>586</v>
      </c>
      <c r="AC221" s="404"/>
      <c r="AD221" s="405"/>
      <c r="AE221" s="467">
        <v>1788670.46221</v>
      </c>
      <c r="AF221" s="467">
        <v>1406789.9114699999</v>
      </c>
      <c r="AG221" s="467">
        <v>1357641.68514</v>
      </c>
      <c r="AH221" s="467">
        <v>1373916.5927800001</v>
      </c>
      <c r="AI221" s="467">
        <v>1447040.43824</v>
      </c>
      <c r="AJ221" s="467">
        <v>1552333.38277</v>
      </c>
      <c r="AK221" s="467">
        <v>2133583.3728999998</v>
      </c>
      <c r="AL221" s="467">
        <v>1569923.2877799999</v>
      </c>
      <c r="AM221" s="467">
        <v>1607384.7695299999</v>
      </c>
      <c r="AN221" s="467">
        <v>1788714.14582</v>
      </c>
      <c r="AO221" s="467">
        <v>1779964.8732400001</v>
      </c>
      <c r="AP221" s="467">
        <v>1840110.15976</v>
      </c>
      <c r="AQ221" s="153">
        <f>IVA!AE221+IVA!AF221+IVA!AG221</f>
        <v>4553102.0588199999</v>
      </c>
      <c r="AR221" s="153">
        <f>IVA!AH221+IVA!AI221+IVA!AJ221</f>
        <v>4373290.4137900006</v>
      </c>
      <c r="AS221" s="153">
        <f>IVA!AK221+IVA!AL221+IVA!AM221</f>
        <v>5310891.4302099999</v>
      </c>
      <c r="AT221" s="153">
        <f>IVA!AN221+IVA!AO221+IVA!AP221</f>
        <v>5408789.17882</v>
      </c>
      <c r="AU221" s="466">
        <f>IVA!AQ221+IVA!AR221+IVA!AS221+IVA!AT221</f>
        <v>19646073.081640001</v>
      </c>
      <c r="AV221" s="128">
        <f>IVA!AQ221/IVA!CJ15</f>
        <v>8.0161094286559358E-3</v>
      </c>
      <c r="AW221" s="128">
        <f>IVA!AR221/IVA!CK15</f>
        <v>6.4476326068808199E-3</v>
      </c>
      <c r="AX221" s="128">
        <f>IVA!AS221/IVA!CL15</f>
        <v>7.9480895735677959E-3</v>
      </c>
      <c r="AY221" s="128">
        <f>IVA!AT221/IVA!CM15</f>
        <v>7.6907400227368729E-3</v>
      </c>
      <c r="AZ221" s="269">
        <f>IVA!AU221/IVA!CN15</f>
        <v>3.0019716924681202E-2</v>
      </c>
      <c r="BA221" s="453"/>
      <c r="BW221" s="136"/>
      <c r="BX221" s="137"/>
      <c r="BY221" s="136"/>
      <c r="BZ221" s="136"/>
      <c r="CA221" s="271"/>
    </row>
    <row r="222" spans="27:79" ht="12.75" customHeight="1">
      <c r="AA222" s="403">
        <v>2007</v>
      </c>
      <c r="AB222" s="403" t="s">
        <v>586</v>
      </c>
      <c r="AC222" s="404"/>
      <c r="AD222" s="405"/>
      <c r="AE222" s="467">
        <v>2632994.1112000002</v>
      </c>
      <c r="AF222" s="467">
        <v>2166315.18511</v>
      </c>
      <c r="AG222" s="467">
        <v>2199010.3258600002</v>
      </c>
      <c r="AH222" s="467">
        <v>2173097.2990600001</v>
      </c>
      <c r="AI222" s="467">
        <v>2223748.3607899998</v>
      </c>
      <c r="AJ222" s="467">
        <v>2295427.1686399998</v>
      </c>
      <c r="AK222" s="467">
        <v>3055349.8466500002</v>
      </c>
      <c r="AL222" s="467">
        <v>2458397.3218299998</v>
      </c>
      <c r="AM222" s="467">
        <v>2493865.0759200002</v>
      </c>
      <c r="AN222" s="467">
        <v>2439650.9166000001</v>
      </c>
      <c r="AO222" s="467">
        <v>2524874.8497700002</v>
      </c>
      <c r="AP222" s="467">
        <v>2587180.8873000001</v>
      </c>
      <c r="AQ222" s="153">
        <f>IVA!AE222+IVA!AF222+IVA!AG222</f>
        <v>6998319.6221700003</v>
      </c>
      <c r="AR222" s="153">
        <f>IVA!AH222+IVA!AI222+IVA!AJ222</f>
        <v>6692272.8284899993</v>
      </c>
      <c r="AS222" s="153">
        <f>IVA!AK222+IVA!AL222+IVA!AM222</f>
        <v>8007612.2444000002</v>
      </c>
      <c r="AT222" s="153">
        <f>IVA!AN222+IVA!AO222+IVA!AP222</f>
        <v>7551706.6536699999</v>
      </c>
      <c r="AU222" s="466">
        <f>IVA!AQ222+IVA!AR222+IVA!AS222+IVA!AT222</f>
        <v>29249911.348729998</v>
      </c>
      <c r="AV222" s="128">
        <f>IVA!AQ222/IVA!CJ16</f>
        <v>1.0274723429307612E-2</v>
      </c>
      <c r="AW222" s="128">
        <f>IVA!AR222/IVA!CK16</f>
        <v>8.0134957788872852E-3</v>
      </c>
      <c r="AX222" s="128">
        <f>IVA!AS222/IVA!CL16</f>
        <v>9.6773055041736011E-3</v>
      </c>
      <c r="AY222" s="128">
        <f>IVA!AT222/IVA!CM16</f>
        <v>8.3341598921331354E-3</v>
      </c>
      <c r="AZ222" s="269">
        <f>IVA!AU222/IVA!CN16</f>
        <v>3.6001848138856346E-2</v>
      </c>
      <c r="BA222" s="453"/>
      <c r="BW222" s="136"/>
      <c r="BX222" s="137"/>
      <c r="BY222" s="136"/>
      <c r="BZ222" s="136"/>
      <c r="CA222" s="271"/>
    </row>
    <row r="223" spans="27:79" ht="12.75" customHeight="1">
      <c r="AA223" s="403">
        <v>2008</v>
      </c>
      <c r="AB223" s="403" t="s">
        <v>586</v>
      </c>
      <c r="AC223" s="404"/>
      <c r="AD223" s="405"/>
      <c r="AE223" s="467">
        <v>3519586.1080999998</v>
      </c>
      <c r="AF223" s="467">
        <v>2844256.06905</v>
      </c>
      <c r="AG223" s="467">
        <v>2710135.9124699999</v>
      </c>
      <c r="AH223" s="467">
        <v>2945460.18138</v>
      </c>
      <c r="AI223" s="467">
        <v>3080553.7083200002</v>
      </c>
      <c r="AJ223" s="467">
        <v>3031538.6455600001</v>
      </c>
      <c r="AK223" s="467">
        <v>4098862.5815300001</v>
      </c>
      <c r="AL223" s="467">
        <v>3211848.57913</v>
      </c>
      <c r="AM223" s="467">
        <v>3335597.0052200002</v>
      </c>
      <c r="AN223" s="467">
        <v>3344826.6597799999</v>
      </c>
      <c r="AO223" s="467">
        <v>3457541.4575499999</v>
      </c>
      <c r="AP223" s="467">
        <v>3422945.5508099999</v>
      </c>
      <c r="AQ223" s="153">
        <f>IVA!AE223+IVA!AF223+IVA!AG223</f>
        <v>9073978.0896199998</v>
      </c>
      <c r="AR223" s="153">
        <f>IVA!AH223+IVA!AI223+IVA!AJ223</f>
        <v>9057552.5352599993</v>
      </c>
      <c r="AS223" s="153">
        <f>IVA!AK223+IVA!AL223+IVA!AM223</f>
        <v>10646308.16588</v>
      </c>
      <c r="AT223" s="153">
        <f>IVA!AN223+IVA!AO223+IVA!AP223</f>
        <v>10225313.66814</v>
      </c>
      <c r="AU223" s="466">
        <f>IVA!AQ223+IVA!AR223+IVA!AS223+IVA!AT223</f>
        <v>39003152.458900005</v>
      </c>
      <c r="AV223" s="128">
        <f>IVA!AQ223/IVA!CJ17</f>
        <v>1.0222553537424392E-2</v>
      </c>
      <c r="AW223" s="128">
        <f>IVA!AR223/IVA!CK17</f>
        <v>8.1751081422053468E-3</v>
      </c>
      <c r="AX223" s="128">
        <f>IVA!AS223/IVA!CL17</f>
        <v>1.0066947357394012E-2</v>
      </c>
      <c r="AY223" s="128">
        <f>IVA!AT223/IVA!CM17</f>
        <v>9.4863604431282608E-3</v>
      </c>
      <c r="AZ223" s="269">
        <f>IVA!AU223/IVA!CN17</f>
        <v>3.7766013392198372E-2</v>
      </c>
      <c r="BA223" s="453"/>
      <c r="BW223" s="136"/>
      <c r="BX223" s="137"/>
      <c r="BY223" s="136"/>
      <c r="BZ223" s="136"/>
      <c r="CA223" s="271"/>
    </row>
    <row r="224" spans="27:79" ht="12.75" customHeight="1">
      <c r="AA224" s="403">
        <v>2009</v>
      </c>
      <c r="AB224" s="403" t="s">
        <v>586</v>
      </c>
      <c r="AC224" s="404"/>
      <c r="AD224" s="405"/>
      <c r="AE224" s="468">
        <v>4496375</v>
      </c>
      <c r="AF224" s="468">
        <v>3623925</v>
      </c>
      <c r="AG224" s="468">
        <v>3514250</v>
      </c>
      <c r="AH224" s="468">
        <v>3604386</v>
      </c>
      <c r="AI224" s="468">
        <v>3717535</v>
      </c>
      <c r="AJ224" s="468">
        <v>3639719</v>
      </c>
      <c r="AK224" s="468">
        <v>4825471</v>
      </c>
      <c r="AL224" s="468">
        <v>3970241</v>
      </c>
      <c r="AM224" s="468">
        <v>4117874</v>
      </c>
      <c r="AN224" s="468">
        <v>4062517</v>
      </c>
      <c r="AO224" s="468">
        <v>3812967</v>
      </c>
      <c r="AP224" s="468">
        <v>4112942</v>
      </c>
      <c r="AQ224" s="153">
        <f>IVA!AE224+IVA!AF224+IVA!AG224</f>
        <v>11634550</v>
      </c>
      <c r="AR224" s="153">
        <f>IVA!AH224+IVA!AI224+IVA!AJ224</f>
        <v>10961640</v>
      </c>
      <c r="AS224" s="153">
        <f>IVA!AK224+IVA!AL224+IVA!AM224</f>
        <v>12913586</v>
      </c>
      <c r="AT224" s="153">
        <f>IVA!AN224+IVA!AO224+IVA!AP224</f>
        <v>11988426</v>
      </c>
      <c r="AU224" s="469">
        <f>IVA!AQ224+IVA!AR224+IVA!AS224+IVA!AT224</f>
        <v>47498202</v>
      </c>
      <c r="AV224" s="128">
        <f>IVA!AQ224/IVA!CJ18</f>
        <v>1.1717014346974003E-2</v>
      </c>
      <c r="AW224" s="128">
        <f>IVA!AR224/IVA!CK18</f>
        <v>9.1700625211565377E-3</v>
      </c>
      <c r="AX224" s="128">
        <f>IVA!AS224/IVA!CL18</f>
        <v>1.1048633013013899E-2</v>
      </c>
      <c r="AY224" s="128">
        <f>IVA!AT224/IVA!CM18</f>
        <v>9.7888374998453213E-3</v>
      </c>
      <c r="AZ224" s="269">
        <f>IVA!AU224/IVA!CN18</f>
        <v>4.1466547051089826E-2</v>
      </c>
      <c r="BA224" s="453"/>
      <c r="BW224" s="262"/>
      <c r="BX224" s="261"/>
      <c r="BY224" s="262"/>
      <c r="BZ224" s="262"/>
      <c r="CA224" s="301"/>
    </row>
    <row r="225" spans="27:79" ht="12.75" customHeight="1">
      <c r="AA225" s="403">
        <v>2010</v>
      </c>
      <c r="AB225" s="403" t="s">
        <v>586</v>
      </c>
      <c r="AC225" s="404"/>
      <c r="AD225" s="405"/>
      <c r="AE225" s="468">
        <v>5523148</v>
      </c>
      <c r="AF225" s="468">
        <v>4363068</v>
      </c>
      <c r="AG225" s="468">
        <v>4386817</v>
      </c>
      <c r="AH225" s="468">
        <v>4583148</v>
      </c>
      <c r="AI225" s="468">
        <v>4694360</v>
      </c>
      <c r="AJ225" s="468">
        <v>4771987</v>
      </c>
      <c r="AK225" s="468">
        <v>6381892</v>
      </c>
      <c r="AL225" s="468">
        <v>5103262</v>
      </c>
      <c r="AM225" s="468">
        <v>5287069</v>
      </c>
      <c r="AN225" s="468">
        <v>5347840</v>
      </c>
      <c r="AO225" s="468">
        <v>5606044</v>
      </c>
      <c r="AP225" s="468">
        <v>5624155</v>
      </c>
      <c r="AQ225" s="153">
        <f>IVA!AE225+IVA!AF225+IVA!AG225</f>
        <v>14273033</v>
      </c>
      <c r="AR225" s="153">
        <f>IVA!AH225+IVA!AI225+IVA!AJ225</f>
        <v>14049495</v>
      </c>
      <c r="AS225" s="153">
        <f>IVA!AK225+IVA!AL225+IVA!AM225</f>
        <v>16772223</v>
      </c>
      <c r="AT225" s="153">
        <f>IVA!AN225+IVA!AO225+IVA!AP225</f>
        <v>16578039</v>
      </c>
      <c r="AU225" s="469">
        <f>IVA!AQ225+IVA!AR225+IVA!AS225+IVA!AT225</f>
        <v>61672790</v>
      </c>
      <c r="AV225" s="128">
        <f>IVA!AQ225/IVA!CJ19</f>
        <v>1.1724376345614069E-2</v>
      </c>
      <c r="AW225" s="128">
        <f>IVA!AR225/IVA!CK19</f>
        <v>9.3148767013380169E-3</v>
      </c>
      <c r="AX225" s="128">
        <f>IVA!AS225/IVA!CL19</f>
        <v>1.1441925633822266E-2</v>
      </c>
      <c r="AY225" s="128">
        <f>IVA!AT225/IVA!CM19</f>
        <v>1.0498420583340782E-2</v>
      </c>
      <c r="AZ225" s="269">
        <f>IVA!AU225/IVA!CN19</f>
        <v>4.2749495766598603E-2</v>
      </c>
      <c r="BA225" s="453"/>
      <c r="BW225" s="136"/>
      <c r="BX225" s="137"/>
      <c r="BY225" s="136"/>
      <c r="BZ225" s="136"/>
      <c r="CA225" s="271"/>
    </row>
    <row r="226" spans="27:79" ht="12.75" customHeight="1">
      <c r="AA226" s="403">
        <v>2011</v>
      </c>
      <c r="AB226" s="403" t="s">
        <v>586</v>
      </c>
      <c r="AC226" s="404"/>
      <c r="AD226" s="405"/>
      <c r="AE226" s="468">
        <v>7489884</v>
      </c>
      <c r="AF226" s="468">
        <v>6053967</v>
      </c>
      <c r="AG226" s="468">
        <v>5830279</v>
      </c>
      <c r="AH226" s="468">
        <v>6443195</v>
      </c>
      <c r="AI226" s="468">
        <v>6365757</v>
      </c>
      <c r="AJ226" s="468">
        <v>6527664</v>
      </c>
      <c r="AK226" s="468">
        <v>8637735</v>
      </c>
      <c r="AL226" s="468">
        <v>6821438</v>
      </c>
      <c r="AM226" s="468">
        <v>6986854</v>
      </c>
      <c r="AN226" s="468">
        <v>7055541</v>
      </c>
      <c r="AO226" s="468">
        <v>7012656</v>
      </c>
      <c r="AP226" s="468">
        <v>7119136</v>
      </c>
      <c r="AQ226" s="153">
        <f>IVA!AE226+IVA!AF226+IVA!AG226</f>
        <v>19374130</v>
      </c>
      <c r="AR226" s="153">
        <f>IVA!AH226+IVA!AI226+IVA!AJ226</f>
        <v>19336616</v>
      </c>
      <c r="AS226" s="153">
        <f>IVA!AK226+IVA!AL226+IVA!AM226</f>
        <v>22446027</v>
      </c>
      <c r="AT226" s="153">
        <f>IVA!AN226+IVA!AO226+IVA!AP226</f>
        <v>21187333</v>
      </c>
      <c r="AU226" s="470">
        <f>IVA!AQ226+IVA!AR226+IVA!AS226+IVA!AT226</f>
        <v>82344106</v>
      </c>
      <c r="AV226" s="128">
        <f>IVA!AQ226/IVA!CJ20</f>
        <v>1.2359260771380089E-2</v>
      </c>
      <c r="AW226" s="128">
        <f>IVA!AR226/IVA!CK20</f>
        <v>9.7846111381985831E-3</v>
      </c>
      <c r="AX226" s="128">
        <f>IVA!AS226/IVA!CL20</f>
        <v>1.2032881142736854E-2</v>
      </c>
      <c r="AY226" s="128">
        <f>IVA!AT226/IVA!CM20</f>
        <v>1.0815988466361705E-2</v>
      </c>
      <c r="AZ226" s="269">
        <f>IVA!AU226/IVA!CN20</f>
        <v>4.4703103424838644E-2</v>
      </c>
      <c r="BA226" s="453"/>
      <c r="BW226" s="136"/>
      <c r="BX226" s="137"/>
      <c r="BY226" s="136"/>
      <c r="BZ226" s="136"/>
      <c r="CA226" s="271"/>
    </row>
    <row r="227" spans="27:79" ht="12.75" customHeight="1">
      <c r="AA227" s="418">
        <v>2012</v>
      </c>
      <c r="AB227" s="418" t="s">
        <v>586</v>
      </c>
      <c r="AC227" s="419"/>
      <c r="AD227" s="420"/>
      <c r="AE227" s="471">
        <v>9690188.5376399998</v>
      </c>
      <c r="AF227" s="471">
        <v>7641177.4579600003</v>
      </c>
      <c r="AG227" s="471">
        <v>7729570.5679299999</v>
      </c>
      <c r="AH227" s="471">
        <v>8043185.0021400005</v>
      </c>
      <c r="AI227" s="471">
        <v>8243416.4466199996</v>
      </c>
      <c r="AJ227" s="471">
        <v>8256318.5480199996</v>
      </c>
      <c r="AK227" s="471">
        <v>11077579.39264</v>
      </c>
      <c r="AL227" s="471">
        <v>8733565.1884899996</v>
      </c>
      <c r="AM227" s="471">
        <v>8725193.7503399998</v>
      </c>
      <c r="AN227" s="471">
        <v>9021239.2163999993</v>
      </c>
      <c r="AO227" s="471">
        <v>9226668.9376400001</v>
      </c>
      <c r="AP227" s="471">
        <v>9323176.2070700005</v>
      </c>
      <c r="AQ227" s="325">
        <f>IVA!AE227+IVA!AF227+IVA!AG227</f>
        <v>25060936.563529998</v>
      </c>
      <c r="AR227" s="325">
        <f>IVA!AH227+IVA!AI227+IVA!AJ227</f>
        <v>24542919.996780001</v>
      </c>
      <c r="AS227" s="325">
        <f>IVA!AK227+IVA!AL227+IVA!AM227</f>
        <v>28536338.331469998</v>
      </c>
      <c r="AT227" s="325">
        <f>IVA!AN227+IVA!AO227+IVA!AP227</f>
        <v>27571084.361110002</v>
      </c>
      <c r="AU227" s="472">
        <f>IVA!AQ227+IVA!AR227+IVA!AS227+IVA!AT227</f>
        <v>105711279.25288999</v>
      </c>
      <c r="AV227" s="250">
        <f>IVA!AQ227/IVA!CJ21</f>
        <v>1.3366296198817558E-2</v>
      </c>
      <c r="AW227" s="250">
        <f>IVA!AR227/IVA!CK21</f>
        <v>1.0796821041694823E-2</v>
      </c>
      <c r="AX227" s="250">
        <f>IVA!AS227/IVA!CL21</f>
        <v>1.3072616926668237E-2</v>
      </c>
      <c r="AY227" s="250">
        <f>IVA!AT227/IVA!CM21</f>
        <v>1.1853547868440993E-2</v>
      </c>
      <c r="AZ227" s="294">
        <f>IVA!AU227/IVA!CN21</f>
        <v>4.8844394451378663E-2</v>
      </c>
      <c r="BA227" s="453"/>
      <c r="BW227" s="136"/>
      <c r="BX227" s="137"/>
      <c r="BY227" s="136"/>
      <c r="BZ227" s="136"/>
      <c r="CA227" s="271"/>
    </row>
    <row r="228" spans="27:79" ht="12.75" customHeight="1">
      <c r="AA228" s="473">
        <v>1996</v>
      </c>
      <c r="AB228" s="473" t="s">
        <v>587</v>
      </c>
      <c r="AC228" s="474"/>
      <c r="AD228" s="475"/>
      <c r="AE228" s="476">
        <v>1425019</v>
      </c>
      <c r="AF228" s="476">
        <v>921664</v>
      </c>
      <c r="AG228" s="476">
        <v>858862</v>
      </c>
      <c r="AH228" s="476">
        <v>907389</v>
      </c>
      <c r="AI228" s="476">
        <v>942184</v>
      </c>
      <c r="AJ228" s="476">
        <v>966674</v>
      </c>
      <c r="AK228" s="476">
        <v>1399735</v>
      </c>
      <c r="AL228" s="476">
        <v>1005123</v>
      </c>
      <c r="AM228" s="476">
        <v>1030888</v>
      </c>
      <c r="AN228" s="476">
        <v>1078945</v>
      </c>
      <c r="AO228" s="476">
        <v>979501</v>
      </c>
      <c r="AP228" s="477">
        <v>1045640</v>
      </c>
      <c r="AQ228" s="153">
        <f>IVA!AE228+IVA!AF228+IVA!AG228</f>
        <v>3205545</v>
      </c>
      <c r="AR228" s="153">
        <f>IVA!AH228+IVA!AI228+IVA!AJ228</f>
        <v>2816247</v>
      </c>
      <c r="AS228" s="153">
        <f>IVA!AK228+IVA!AL228+IVA!AM228</f>
        <v>3435746</v>
      </c>
      <c r="AT228" s="153">
        <f>IVA!AP228+IVA!AO228+IVA!AN228</f>
        <v>3104086</v>
      </c>
      <c r="AU228" s="472"/>
      <c r="AV228" s="250"/>
      <c r="AW228" s="250"/>
      <c r="AX228" s="250"/>
      <c r="AY228" s="250"/>
      <c r="AZ228" s="294"/>
      <c r="BA228" s="453"/>
      <c r="BW228" s="136"/>
      <c r="BX228" s="137"/>
      <c r="BY228" s="136"/>
      <c r="BZ228" s="136"/>
      <c r="CA228" s="271"/>
    </row>
    <row r="229" spans="27:79" ht="12.75" customHeight="1">
      <c r="AA229" s="473">
        <v>1997</v>
      </c>
      <c r="AB229" s="473" t="s">
        <v>587</v>
      </c>
      <c r="AC229" s="474"/>
      <c r="AD229" s="475"/>
      <c r="AE229" s="476">
        <f>IVA!AE212+IVA!AE246</f>
        <v>1520440</v>
      </c>
      <c r="AF229" s="476">
        <f>IVA!AF212+IVA!AF246</f>
        <v>1109068</v>
      </c>
      <c r="AG229" s="476">
        <f>IVA!AG212+IVA!AG246</f>
        <v>996088</v>
      </c>
      <c r="AH229" s="476">
        <f>IVA!AH212+IVA!AH246</f>
        <v>1095993</v>
      </c>
      <c r="AI229" s="476">
        <f>IVA!AI212+IVA!AI246</f>
        <v>1095433</v>
      </c>
      <c r="AJ229" s="476">
        <f>IVA!AJ212+IVA!AJ246</f>
        <v>1059452</v>
      </c>
      <c r="AK229" s="476">
        <f>IVA!AK212+IVA!AK246</f>
        <v>1572048</v>
      </c>
      <c r="AL229" s="476">
        <f>IVA!AL212+IVA!AL246</f>
        <v>1073939</v>
      </c>
      <c r="AM229" s="476">
        <f>IVA!AM212+IVA!AM246</f>
        <v>1120153</v>
      </c>
      <c r="AN229" s="476">
        <f>IVA!AN212+IVA!AN246</f>
        <v>1142927</v>
      </c>
      <c r="AO229" s="476">
        <f>IVA!AO212+IVA!AO246</f>
        <v>1099689</v>
      </c>
      <c r="AP229" s="477">
        <f>IVA!AP212+IVA!AP246</f>
        <v>1194207</v>
      </c>
      <c r="AQ229" s="153">
        <f>IVA!AE229+IVA!AF229+IVA!AG229</f>
        <v>3625596</v>
      </c>
      <c r="AR229" s="153">
        <f>IVA!AH229+IVA!AI229+IVA!AJ229</f>
        <v>3250878</v>
      </c>
      <c r="AS229" s="153">
        <f>IVA!AK229+IVA!AL229+IVA!AM229</f>
        <v>3766140</v>
      </c>
      <c r="AT229" s="153">
        <f>IVA!AP229+IVA!AO229+IVA!AN229</f>
        <v>3436823</v>
      </c>
      <c r="AU229" s="466">
        <f>IVA!AQ229+IVA!AR229+IVA!AS229+IVA!AT229</f>
        <v>14079437</v>
      </c>
      <c r="AV229" s="128">
        <f>IVA!AQ229/IVA!CJ6</f>
        <v>1.3365759787657598E-2</v>
      </c>
      <c r="AW229" s="128">
        <f>IVA!AR229/IVA!CK6</f>
        <v>1.0840865966990496E-2</v>
      </c>
      <c r="AX229" s="128">
        <f>IVA!AS229/IVA!CL6</f>
        <v>1.2626825498194211E-2</v>
      </c>
      <c r="AY229" s="128">
        <f>IVA!AT229/IVA!CM6</f>
        <v>1.1378794823059849E-2</v>
      </c>
      <c r="AZ229" s="269">
        <f>IVA!AU229/IVA!CN6</f>
        <v>4.8075841608027962E-2</v>
      </c>
      <c r="BA229" s="453"/>
      <c r="BW229" s="136"/>
      <c r="BX229" s="137"/>
      <c r="BY229" s="136"/>
      <c r="BZ229" s="136"/>
      <c r="CA229" s="271"/>
    </row>
    <row r="230" spans="27:79" ht="12.75" customHeight="1">
      <c r="AA230" s="473">
        <v>1998</v>
      </c>
      <c r="AB230" s="473" t="s">
        <v>587</v>
      </c>
      <c r="AC230" s="474"/>
      <c r="AD230" s="475"/>
      <c r="AE230" s="476">
        <f>IVA!AE213+IVA!AE247</f>
        <v>1579131</v>
      </c>
      <c r="AF230" s="476">
        <f>IVA!AF213+IVA!AF247</f>
        <v>1141175</v>
      </c>
      <c r="AG230" s="476">
        <f>IVA!AG213+IVA!AG247</f>
        <v>1098750</v>
      </c>
      <c r="AH230" s="476">
        <f>IVA!AH213+IVA!AH247</f>
        <v>1102589</v>
      </c>
      <c r="AI230" s="476">
        <f>IVA!AI213+IVA!AI247</f>
        <v>1117932</v>
      </c>
      <c r="AJ230" s="476">
        <f>IVA!AJ213+IVA!AJ247</f>
        <v>1160196</v>
      </c>
      <c r="AK230" s="476">
        <f>IVA!AK213+IVA!AK247</f>
        <v>1604554</v>
      </c>
      <c r="AL230" s="476">
        <f>IVA!AL213+IVA!AL247</f>
        <v>1140898</v>
      </c>
      <c r="AM230" s="476">
        <f>IVA!AM213+IVA!AM247</f>
        <v>1116300</v>
      </c>
      <c r="AN230" s="476">
        <f>IVA!AN213+IVA!AN247</f>
        <v>1140319</v>
      </c>
      <c r="AO230" s="476">
        <f>IVA!AO213+IVA!AO247</f>
        <v>1113978</v>
      </c>
      <c r="AP230" s="477">
        <f>IVA!AP213+IVA!AP247</f>
        <v>1112913</v>
      </c>
      <c r="AQ230" s="153">
        <f>IVA!AE230+IVA!AF230+IVA!AG230</f>
        <v>3819056</v>
      </c>
      <c r="AR230" s="153">
        <f>IVA!AH230+IVA!AI230+IVA!AJ230</f>
        <v>3380717</v>
      </c>
      <c r="AS230" s="153">
        <f>IVA!AK230+IVA!AL230+IVA!AM230</f>
        <v>3861752</v>
      </c>
      <c r="AT230" s="153">
        <f>IVA!AP230+IVA!AO230+IVA!AN230</f>
        <v>3367210</v>
      </c>
      <c r="AU230" s="466">
        <f>IVA!AQ230+IVA!AR230+IVA!AS230+IVA!AT230</f>
        <v>14428735</v>
      </c>
      <c r="AV230" s="128">
        <f>IVA!AQ230/IVA!CJ7</f>
        <v>1.3506160614505382E-2</v>
      </c>
      <c r="AW230" s="128">
        <f>IVA!AR230/IVA!CK7</f>
        <v>1.0831149292070198E-2</v>
      </c>
      <c r="AX230" s="128">
        <f>IVA!AS230/IVA!CL7</f>
        <v>1.2641803515493497E-2</v>
      </c>
      <c r="AY230" s="128">
        <f>IVA!AT230/IVA!CM7</f>
        <v>1.1397838109217538E-2</v>
      </c>
      <c r="AZ230" s="269">
        <f>IVA!AU230/IVA!CN7</f>
        <v>4.8264974826358345E-2</v>
      </c>
      <c r="BA230" s="453"/>
      <c r="BW230" s="136"/>
      <c r="BX230" s="137"/>
      <c r="BY230" s="136"/>
      <c r="BZ230" s="136"/>
      <c r="CA230" s="271"/>
    </row>
    <row r="231" spans="27:79" ht="12.75" customHeight="1">
      <c r="AA231" s="473">
        <v>1999</v>
      </c>
      <c r="AB231" s="473" t="s">
        <v>587</v>
      </c>
      <c r="AC231" s="474"/>
      <c r="AD231" s="475"/>
      <c r="AE231" s="476">
        <f>IVA!AE214+IVA!AE248</f>
        <v>1633378</v>
      </c>
      <c r="AF231" s="476">
        <f>IVA!AF214+IVA!AF248</f>
        <v>1109126</v>
      </c>
      <c r="AG231" s="476">
        <f>IVA!AG214+IVA!AG248</f>
        <v>1088398</v>
      </c>
      <c r="AH231" s="476">
        <f>IVA!AH214+IVA!AH248</f>
        <v>1038152</v>
      </c>
      <c r="AI231" s="476">
        <f>IVA!AI214+IVA!AI248</f>
        <v>1014536</v>
      </c>
      <c r="AJ231" s="476">
        <f>IVA!AJ214+IVA!AJ248</f>
        <v>1006980</v>
      </c>
      <c r="AK231" s="476">
        <f>IVA!AK214+IVA!AK248</f>
        <v>1457165</v>
      </c>
      <c r="AL231" s="476">
        <f>IVA!AL214+IVA!AL248</f>
        <v>1017788</v>
      </c>
      <c r="AM231" s="476">
        <f>IVA!AM214+IVA!AM248</f>
        <v>1007229</v>
      </c>
      <c r="AN231" s="476">
        <f>IVA!AN214+IVA!AN248</f>
        <v>918959</v>
      </c>
      <c r="AO231" s="476">
        <f>IVA!AO214+IVA!AO248</f>
        <v>1017344</v>
      </c>
      <c r="AP231" s="477">
        <f>IVA!AP214+IVA!AP248</f>
        <v>973736</v>
      </c>
      <c r="AQ231" s="153">
        <f>IVA!AE231+IVA!AF231+IVA!AG231</f>
        <v>3830902</v>
      </c>
      <c r="AR231" s="153">
        <f>IVA!AH231+IVA!AI231+IVA!AJ231</f>
        <v>3059668</v>
      </c>
      <c r="AS231" s="153">
        <f>IVA!AK231+IVA!AL231+IVA!AM231</f>
        <v>3482182</v>
      </c>
      <c r="AT231" s="153">
        <f>IVA!AP231+IVA!AO231+IVA!AN231</f>
        <v>2910039</v>
      </c>
      <c r="AU231" s="466">
        <f>IVA!AQ231+IVA!AR231+IVA!AS231+IVA!AT231</f>
        <v>13282791</v>
      </c>
      <c r="AV231" s="128">
        <f>IVA!AQ231/IVA!CJ8</f>
        <v>1.414943157054952E-2</v>
      </c>
      <c r="AW231" s="128">
        <f>IVA!AR231/IVA!CK8</f>
        <v>1.059332315242509E-2</v>
      </c>
      <c r="AX231" s="128">
        <f>IVA!AS231/IVA!CL8</f>
        <v>1.2214452916915515E-2</v>
      </c>
      <c r="AY231" s="128">
        <f>IVA!AT231/IVA!CM8</f>
        <v>1.0054419977049953E-2</v>
      </c>
      <c r="AZ231" s="269">
        <f>IVA!AU231/IVA!CN8</f>
        <v>4.6849073537341218E-2</v>
      </c>
      <c r="BA231" s="453"/>
      <c r="BW231" s="136"/>
      <c r="BX231" s="137"/>
      <c r="BY231" s="136"/>
      <c r="BZ231" s="136"/>
      <c r="CA231" s="271"/>
    </row>
    <row r="232" spans="27:79" ht="12.75" customHeight="1">
      <c r="AA232" s="473">
        <v>2000</v>
      </c>
      <c r="AB232" s="473" t="s">
        <v>587</v>
      </c>
      <c r="AC232" s="474"/>
      <c r="AD232" s="475"/>
      <c r="AE232" s="476">
        <f>IVA!AE215+IVA!AE249</f>
        <v>1400204.3949099998</v>
      </c>
      <c r="AF232" s="476">
        <f>IVA!AF215+IVA!AF249</f>
        <v>1022085.6865300001</v>
      </c>
      <c r="AG232" s="476">
        <f>IVA!AG215+IVA!AG249</f>
        <v>995249.61499999999</v>
      </c>
      <c r="AH232" s="476">
        <f>IVA!AH215+IVA!AH249</f>
        <v>948727.01399999997</v>
      </c>
      <c r="AI232" s="476">
        <f>IVA!AI215+IVA!AI249</f>
        <v>995392.62789999996</v>
      </c>
      <c r="AJ232" s="476">
        <f>IVA!AJ215+IVA!AJ249</f>
        <v>1044354.7874700001</v>
      </c>
      <c r="AK232" s="476">
        <f>IVA!AK215+IVA!AK249</f>
        <v>1453630.7450000001</v>
      </c>
      <c r="AL232" s="476">
        <f>IVA!AL215+IVA!AL249</f>
        <v>1012842.6439</v>
      </c>
      <c r="AM232" s="476">
        <f>IVA!AM215+IVA!AM249</f>
        <v>1000798.5577</v>
      </c>
      <c r="AN232" s="476">
        <f>IVA!AN215+IVA!AN249</f>
        <v>1007183.7361999999</v>
      </c>
      <c r="AO232" s="476">
        <f>IVA!AO215+IVA!AO249</f>
        <v>942904.43671000004</v>
      </c>
      <c r="AP232" s="477">
        <f>IVA!AP215+IVA!AP249</f>
        <v>996336.81885000004</v>
      </c>
      <c r="AQ232" s="153">
        <f>IVA!AE232+IVA!AF232+IVA!AG232</f>
        <v>3417539.6964400001</v>
      </c>
      <c r="AR232" s="153">
        <f>IVA!AH232+IVA!AI232+IVA!AJ232</f>
        <v>2988474.42937</v>
      </c>
      <c r="AS232" s="153">
        <f>IVA!AK232+IVA!AL232+IVA!AM232</f>
        <v>3467271.9466000004</v>
      </c>
      <c r="AT232" s="153">
        <f>IVA!AP232+IVA!AO232+IVA!AN232</f>
        <v>2946424.9917599997</v>
      </c>
      <c r="AU232" s="466">
        <f>IVA!AQ232+IVA!AR232+IVA!AS232+IVA!AT232</f>
        <v>12819711.064169999</v>
      </c>
      <c r="AV232" s="128">
        <f>IVA!AQ232/IVA!CJ9</f>
        <v>1.2636773958527459E-2</v>
      </c>
      <c r="AW232" s="128">
        <f>IVA!AR232/IVA!CK9</f>
        <v>1.0241656444322279E-2</v>
      </c>
      <c r="AX232" s="128">
        <f>IVA!AS232/IVA!CL9</f>
        <v>1.2060259132036304E-2</v>
      </c>
      <c r="AY232" s="128">
        <f>IVA!AT232/IVA!CM9</f>
        <v>1.0263463593457565E-2</v>
      </c>
      <c r="AZ232" s="269">
        <f>IVA!AU232/IVA!CN9</f>
        <v>4.5107467956212212E-2</v>
      </c>
      <c r="BA232" s="453"/>
      <c r="BW232" s="136"/>
      <c r="BX232" s="137"/>
      <c r="BY232" s="136"/>
      <c r="BZ232" s="136"/>
      <c r="CA232" s="271"/>
    </row>
    <row r="233" spans="27:79" ht="12.75" customHeight="1">
      <c r="AA233" s="473">
        <v>2001</v>
      </c>
      <c r="AB233" s="473" t="s">
        <v>587</v>
      </c>
      <c r="AC233" s="474"/>
      <c r="AD233" s="475"/>
      <c r="AE233" s="476">
        <f>IVA!AE216+IVA!AE250</f>
        <v>1390872.2664099999</v>
      </c>
      <c r="AF233" s="476">
        <f>IVA!AF216+IVA!AF250</f>
        <v>1015898.1806600001</v>
      </c>
      <c r="AG233" s="476">
        <f>IVA!AG216+IVA!AG250</f>
        <v>1009631.56384</v>
      </c>
      <c r="AH233" s="476">
        <f>IVA!AH216+IVA!AH250</f>
        <v>938186.67220999999</v>
      </c>
      <c r="AI233" s="476">
        <f>IVA!AI216+IVA!AI250</f>
        <v>970035.99964000005</v>
      </c>
      <c r="AJ233" s="476">
        <f>IVA!AJ216+IVA!AJ250</f>
        <v>910657.03434999997</v>
      </c>
      <c r="AK233" s="476">
        <f>IVA!AK216+IVA!AK250</f>
        <v>1301047.2692300002</v>
      </c>
      <c r="AL233" s="476">
        <f>IVA!AL216+IVA!AL250</f>
        <v>969931.33892999997</v>
      </c>
      <c r="AM233" s="476">
        <f>IVA!AM216+IVA!AM250</f>
        <v>933169.79429999995</v>
      </c>
      <c r="AN233" s="476">
        <f>IVA!AN216+IVA!AN250</f>
        <v>912989.87309000001</v>
      </c>
      <c r="AO233" s="476">
        <f>IVA!AO216+IVA!AO250</f>
        <v>870541.70720000006</v>
      </c>
      <c r="AP233" s="477">
        <f>IVA!AP216+IVA!AP250</f>
        <v>594047.63219999999</v>
      </c>
      <c r="AQ233" s="153">
        <f>IVA!AE233+IVA!AF233+IVA!AG233</f>
        <v>3416402.0109099997</v>
      </c>
      <c r="AR233" s="153">
        <f>IVA!AH233+IVA!AI233+IVA!AJ233</f>
        <v>2818879.7061999999</v>
      </c>
      <c r="AS233" s="153">
        <f>IVA!AK233+IVA!AL233+IVA!AM233</f>
        <v>3204148.4024600005</v>
      </c>
      <c r="AT233" s="153">
        <f>IVA!AP233+IVA!AO233+IVA!AN233</f>
        <v>2377579.2124899998</v>
      </c>
      <c r="AU233" s="466">
        <f>IVA!AQ233+IVA!AR233+IVA!AS233+IVA!AT233</f>
        <v>11817009.33206</v>
      </c>
      <c r="AV233" s="128">
        <f>IVA!AQ233/IVA!CJ10</f>
        <v>1.2973793480106785E-2</v>
      </c>
      <c r="AW233" s="128">
        <f>IVA!AR233/IVA!CK10</f>
        <v>9.7868906624197609E-3</v>
      </c>
      <c r="AX233" s="128">
        <f>IVA!AS233/IVA!CL10</f>
        <v>1.1807425814513401E-2</v>
      </c>
      <c r="AY233" s="128">
        <f>IVA!AT233/IVA!CM10</f>
        <v>9.4324821083459753E-3</v>
      </c>
      <c r="AZ233" s="269">
        <f>IVA!AU233/IVA!CN10</f>
        <v>4.3978987994779166E-2</v>
      </c>
      <c r="BA233" s="453"/>
      <c r="BW233" s="136"/>
      <c r="BX233" s="137"/>
      <c r="BY233" s="136"/>
      <c r="BZ233" s="136"/>
      <c r="CA233" s="271"/>
    </row>
    <row r="234" spans="27:79" ht="12.75" customHeight="1">
      <c r="AA234" s="473">
        <v>2002</v>
      </c>
      <c r="AB234" s="473" t="s">
        <v>587</v>
      </c>
      <c r="AC234" s="474"/>
      <c r="AD234" s="475"/>
      <c r="AE234" s="476">
        <f>IVA!AE217+IVA!AE251</f>
        <v>897817.19414000004</v>
      </c>
      <c r="AF234" s="476">
        <f>IVA!AF217+IVA!AF251</f>
        <v>734019.42827000003</v>
      </c>
      <c r="AG234" s="476">
        <f>IVA!AG217+IVA!AG251</f>
        <v>669305.50072000001</v>
      </c>
      <c r="AH234" s="476">
        <f>IVA!AH217+IVA!AH251</f>
        <v>672150.43203000003</v>
      </c>
      <c r="AI234" s="476">
        <f>IVA!AI217+IVA!AI251</f>
        <v>831102.87326999998</v>
      </c>
      <c r="AJ234" s="476">
        <f>IVA!AJ217+IVA!AJ251</f>
        <v>794372.44394999999</v>
      </c>
      <c r="AK234" s="476">
        <f>IVA!AK217+IVA!AK251</f>
        <v>1118183.2580299999</v>
      </c>
      <c r="AL234" s="476">
        <f>IVA!AL217+IVA!AL251</f>
        <v>845295.49481000006</v>
      </c>
      <c r="AM234" s="476">
        <f>IVA!AM217+IVA!AM251</f>
        <v>844755.91994000005</v>
      </c>
      <c r="AN234" s="476">
        <f>IVA!AN217+IVA!AN251</f>
        <v>868149.98141000001</v>
      </c>
      <c r="AO234" s="476">
        <f>IVA!AO217+IVA!AO251</f>
        <v>835118.38265999989</v>
      </c>
      <c r="AP234" s="477">
        <f>IVA!AP217+IVA!AP251</f>
        <v>837385.89350999997</v>
      </c>
      <c r="AQ234" s="153">
        <f>IVA!AE234+IVA!AF234+IVA!AG234</f>
        <v>2301142.1231300002</v>
      </c>
      <c r="AR234" s="153">
        <f>IVA!AH234+IVA!AI234+IVA!AJ234</f>
        <v>2297625.7492500003</v>
      </c>
      <c r="AS234" s="153">
        <f>IVA!AK234+IVA!AL234+IVA!AM234</f>
        <v>2808234.6727800001</v>
      </c>
      <c r="AT234" s="153">
        <f>IVA!AP234+IVA!AO234+IVA!AN234</f>
        <v>2540654.25758</v>
      </c>
      <c r="AU234" s="466">
        <f>IVA!AQ234+IVA!AR234+IVA!AS234+IVA!AT234</f>
        <v>9947656.8027400002</v>
      </c>
      <c r="AV234" s="128">
        <f>IVA!AQ234/IVA!CJ11</f>
        <v>9.7071258099528813E-3</v>
      </c>
      <c r="AW234" s="128">
        <f>IVA!AR234/IVA!CK11</f>
        <v>6.7774931044935994E-3</v>
      </c>
      <c r="AX234" s="128">
        <f>IVA!AS234/IVA!CL11</f>
        <v>8.4077313936382573E-3</v>
      </c>
      <c r="AY234" s="128">
        <f>IVA!AT234/IVA!CM11</f>
        <v>7.4670347270535285E-3</v>
      </c>
      <c r="AZ234" s="269">
        <f>IVA!AU234/IVA!CN11</f>
        <v>3.1824340087269677E-2</v>
      </c>
      <c r="BA234" s="453"/>
      <c r="BW234" s="136"/>
      <c r="BX234" s="137"/>
      <c r="BY234" s="136"/>
      <c r="BZ234" s="136"/>
      <c r="CA234" s="271"/>
    </row>
    <row r="235" spans="27:79" ht="12.75" customHeight="1">
      <c r="AA235" s="473">
        <v>2003</v>
      </c>
      <c r="AB235" s="473" t="s">
        <v>587</v>
      </c>
      <c r="AC235" s="474"/>
      <c r="AD235" s="475"/>
      <c r="AE235" s="476">
        <f>IVA!AE218+IVA!AE252</f>
        <v>1228306.7609000001</v>
      </c>
      <c r="AF235" s="476">
        <f>IVA!AF218+IVA!AF252</f>
        <v>869716.25065000006</v>
      </c>
      <c r="AG235" s="476">
        <f>IVA!AG218+IVA!AG252</f>
        <v>811620.95247000002</v>
      </c>
      <c r="AH235" s="476">
        <f>IVA!AH218+IVA!AH252</f>
        <v>899189.24804999994</v>
      </c>
      <c r="AI235" s="476">
        <f>IVA!AI218+IVA!AI252</f>
        <v>939586.76753000007</v>
      </c>
      <c r="AJ235" s="476">
        <f>IVA!AJ218+IVA!AJ252</f>
        <v>922411.72215000005</v>
      </c>
      <c r="AK235" s="476">
        <f>IVA!AK218+IVA!AK252</f>
        <v>1352829.39747</v>
      </c>
      <c r="AL235" s="476">
        <f>IVA!AL218+IVA!AL252</f>
        <v>994897.44235999999</v>
      </c>
      <c r="AM235" s="476">
        <f>IVA!AM218+IVA!AM252</f>
        <v>1025837.5985</v>
      </c>
      <c r="AN235" s="476">
        <f>IVA!AN218+IVA!AN252</f>
        <v>1060042.58944</v>
      </c>
      <c r="AO235" s="476">
        <f>IVA!AO218+IVA!AO252</f>
        <v>1081939.1649500001</v>
      </c>
      <c r="AP235" s="477">
        <f>IVA!AP218+IVA!AP252</f>
        <v>1108648.7279699999</v>
      </c>
      <c r="AQ235" s="153">
        <f>IVA!AE235+IVA!AF235+IVA!AG235</f>
        <v>2909643.9640199998</v>
      </c>
      <c r="AR235" s="153">
        <f>IVA!AH235+IVA!AI235+IVA!AJ235</f>
        <v>2761187.7377300002</v>
      </c>
      <c r="AS235" s="153">
        <f>IVA!AK235+IVA!AL235+IVA!AM235</f>
        <v>3373564.4383299998</v>
      </c>
      <c r="AT235" s="153">
        <f>IVA!AP235+IVA!AO235+IVA!AN235</f>
        <v>3250630.4823599998</v>
      </c>
      <c r="AU235" s="466">
        <f>IVA!AQ235+IVA!AR235+IVA!AS235+IVA!AT235</f>
        <v>12295026.622439999</v>
      </c>
      <c r="AV235" s="128">
        <f>IVA!AQ235/IVA!CJ12</f>
        <v>8.88815428797478E-3</v>
      </c>
      <c r="AW235" s="128">
        <f>IVA!AR235/IVA!CK12</f>
        <v>6.9182095254867451E-3</v>
      </c>
      <c r="AX235" s="128">
        <f>IVA!AS235/IVA!CL12</f>
        <v>8.9274366953705966E-3</v>
      </c>
      <c r="AY235" s="128">
        <f>IVA!AT235/IVA!CM12</f>
        <v>8.1414424998945516E-3</v>
      </c>
      <c r="AZ235" s="269">
        <f>IVA!AU235/IVA!CN12</f>
        <v>3.2707423344710565E-2</v>
      </c>
      <c r="BA235" s="453"/>
      <c r="BW235" s="136"/>
      <c r="BX235" s="137"/>
      <c r="BY235" s="136"/>
      <c r="BZ235" s="136"/>
      <c r="CA235" s="271"/>
    </row>
    <row r="236" spans="27:79" ht="12.75" customHeight="1">
      <c r="AA236" s="473">
        <v>2004</v>
      </c>
      <c r="AB236" s="473" t="s">
        <v>587</v>
      </c>
      <c r="AC236" s="474"/>
      <c r="AD236" s="475"/>
      <c r="AE236" s="476">
        <f>IVA!AE219+IVA!AE253</f>
        <v>1641592.8390600001</v>
      </c>
      <c r="AF236" s="476">
        <f>IVA!AF219+IVA!AF253</f>
        <v>1223635.3834299999</v>
      </c>
      <c r="AG236" s="476">
        <f>IVA!AG219+IVA!AG253</f>
        <v>1179784.3418099999</v>
      </c>
      <c r="AH236" s="476">
        <f>IVA!AH219+IVA!AH253</f>
        <v>1206783.9169000001</v>
      </c>
      <c r="AI236" s="476">
        <f>IVA!AI219+IVA!AI253</f>
        <v>1314414.0129200001</v>
      </c>
      <c r="AJ236" s="476">
        <f>IVA!AJ219+IVA!AJ253</f>
        <v>1235768.33504</v>
      </c>
      <c r="AK236" s="476">
        <f>IVA!AK219+IVA!AK253</f>
        <v>1823859.4844399998</v>
      </c>
      <c r="AL236" s="476">
        <f>IVA!AL219+IVA!AL253</f>
        <v>1297733.2537799999</v>
      </c>
      <c r="AM236" s="476">
        <f>IVA!AM219+IVA!AM253</f>
        <v>1408844.8330600001</v>
      </c>
      <c r="AN236" s="476">
        <f>IVA!AN219+IVA!AN253</f>
        <v>1353554.4707899999</v>
      </c>
      <c r="AO236" s="476">
        <f>IVA!AO219+IVA!AO253</f>
        <v>1366515.91368</v>
      </c>
      <c r="AP236" s="477">
        <f>IVA!AP219+IVA!AP253</f>
        <v>1362916.69515</v>
      </c>
      <c r="AQ236" s="153">
        <f>IVA!AE236+IVA!AF236+IVA!AG236</f>
        <v>4045012.5642999997</v>
      </c>
      <c r="AR236" s="153">
        <f>IVA!AH236+IVA!AI236+IVA!AJ236</f>
        <v>3756966.2648600005</v>
      </c>
      <c r="AS236" s="153">
        <f>IVA!AK236+IVA!AL236+IVA!AM236</f>
        <v>4530437.5712799998</v>
      </c>
      <c r="AT236" s="153">
        <f>IVA!AP236+IVA!AO236+IVA!AN236</f>
        <v>4082987.07962</v>
      </c>
      <c r="AU236" s="466">
        <f>IVA!AQ236+IVA!AR236+IVA!AS236+IVA!AT236</f>
        <v>16415403.48006</v>
      </c>
      <c r="AV236" s="128">
        <f>IVA!AQ236/IVA!CJ13</f>
        <v>1.02974478301601E-2</v>
      </c>
      <c r="AW236" s="128">
        <f>IVA!AR236/IVA!CK13</f>
        <v>7.9225277049707662E-3</v>
      </c>
      <c r="AX236" s="128">
        <f>IVA!AS236/IVA!CL13</f>
        <v>1.0021325738896594E-2</v>
      </c>
      <c r="AY236" s="128">
        <f>IVA!AT236/IVA!CM13</f>
        <v>8.6602395124155684E-3</v>
      </c>
      <c r="AZ236" s="269">
        <f>IVA!AU236/IVA!CN13</f>
        <v>3.6670712758761582E-2</v>
      </c>
      <c r="BA236" s="453"/>
      <c r="BW236" s="136"/>
      <c r="BX236" s="137"/>
      <c r="BY236" s="136"/>
      <c r="BZ236" s="136"/>
      <c r="CA236" s="271"/>
    </row>
    <row r="237" spans="27:79" ht="12.75" customHeight="1">
      <c r="AA237" s="473">
        <v>2005</v>
      </c>
      <c r="AB237" s="473" t="s">
        <v>587</v>
      </c>
      <c r="AC237" s="474"/>
      <c r="AD237" s="475"/>
      <c r="AE237" s="476">
        <f>IVA!AE220+IVA!AE254</f>
        <v>1966952.6220199999</v>
      </c>
      <c r="AF237" s="476">
        <f>IVA!AF220+IVA!AF254</f>
        <v>1576573.39763</v>
      </c>
      <c r="AG237" s="476">
        <f>IVA!AG220+IVA!AG254</f>
        <v>1393334.4009099999</v>
      </c>
      <c r="AH237" s="476">
        <f>IVA!AH220+IVA!AH254</f>
        <v>1469544.5114</v>
      </c>
      <c r="AI237" s="476">
        <f>IVA!AI220+IVA!AI254</f>
        <v>1549694.9262299999</v>
      </c>
      <c r="AJ237" s="476">
        <f>IVA!AJ220+IVA!AJ254</f>
        <v>1583489.3603099999</v>
      </c>
      <c r="AK237" s="476">
        <f>IVA!AK220+IVA!AK254</f>
        <v>2292954.7054099999</v>
      </c>
      <c r="AL237" s="476">
        <f>IVA!AL220+IVA!AL254</f>
        <v>1785336.31629</v>
      </c>
      <c r="AM237" s="476">
        <f>IVA!AM220+IVA!AM254</f>
        <v>1819663.5917100001</v>
      </c>
      <c r="AN237" s="476">
        <f>IVA!AN220+IVA!AN254</f>
        <v>1933401.43597</v>
      </c>
      <c r="AO237" s="476">
        <f>IVA!AO220+IVA!AO254</f>
        <v>1973153.6072900002</v>
      </c>
      <c r="AP237" s="477">
        <f>IVA!AP220+IVA!AP254</f>
        <v>2008131.6047900002</v>
      </c>
      <c r="AQ237" s="153">
        <f>IVA!AE237+IVA!AF237+IVA!AG237</f>
        <v>4936860.4205600005</v>
      </c>
      <c r="AR237" s="153">
        <f>IVA!AH237+IVA!AI237+IVA!AJ237</f>
        <v>4602728.797939999</v>
      </c>
      <c r="AS237" s="153">
        <f>IVA!AK237+IVA!AL237+IVA!AM237</f>
        <v>5897954.6134099998</v>
      </c>
      <c r="AT237" s="153">
        <f>IVA!AP237+IVA!AO237+IVA!AN237</f>
        <v>5914686.6480500009</v>
      </c>
      <c r="AU237" s="466">
        <f>IVA!AQ237+IVA!AR237+IVA!AS237+IVA!AT237</f>
        <v>21352230.479960002</v>
      </c>
      <c r="AV237" s="128">
        <f>IVA!AQ237/IVA!CJ14</f>
        <v>1.0808339581403089E-2</v>
      </c>
      <c r="AW237" s="128">
        <f>IVA!AR237/IVA!CK14</f>
        <v>8.3320605220506272E-3</v>
      </c>
      <c r="AX237" s="128">
        <f>IVA!AS237/IVA!CL14</f>
        <v>1.0837282912750046E-2</v>
      </c>
      <c r="AY237" s="128">
        <f>IVA!AT237/IVA!CM14</f>
        <v>1.0298032146517023E-2</v>
      </c>
      <c r="AZ237" s="269">
        <f>IVA!AU237/IVA!CN14</f>
        <v>4.0140395096227244E-2</v>
      </c>
      <c r="BA237" s="453"/>
      <c r="BW237" s="136"/>
      <c r="BX237" s="137"/>
      <c r="BY237" s="136"/>
      <c r="BZ237" s="136"/>
      <c r="CA237" s="271"/>
    </row>
    <row r="238" spans="27:79" ht="12.75" customHeight="1">
      <c r="AA238" s="473">
        <v>2006</v>
      </c>
      <c r="AB238" s="473" t="s">
        <v>587</v>
      </c>
      <c r="AC238" s="474"/>
      <c r="AD238" s="475"/>
      <c r="AE238" s="476">
        <f>IVA!AE221+IVA!AE255</f>
        <v>2798703.79874</v>
      </c>
      <c r="AF238" s="476">
        <f>IVA!AF221+IVA!AF255</f>
        <v>2180746.21942</v>
      </c>
      <c r="AG238" s="476">
        <f>IVA!AG221+IVA!AG255</f>
        <v>2137763.7431299998</v>
      </c>
      <c r="AH238" s="476">
        <f>IVA!AH221+IVA!AH255</f>
        <v>2163210.4026899999</v>
      </c>
      <c r="AI238" s="476">
        <f>IVA!AI221+IVA!AI255</f>
        <v>2274781.20829</v>
      </c>
      <c r="AJ238" s="476">
        <f>IVA!AJ221+IVA!AJ255</f>
        <v>2384487.5683200001</v>
      </c>
      <c r="AK238" s="476">
        <f>IVA!AK221+IVA!AK255</f>
        <v>3295233.5234399997</v>
      </c>
      <c r="AL238" s="476">
        <f>IVA!AL221+IVA!AL255</f>
        <v>2460243.0609499998</v>
      </c>
      <c r="AM238" s="476">
        <f>IVA!AM221+IVA!AM255</f>
        <v>2495605.9753</v>
      </c>
      <c r="AN238" s="476">
        <f>IVA!AN221+IVA!AN255</f>
        <v>2698751.8180499999</v>
      </c>
      <c r="AO238" s="476">
        <f>IVA!AO221+IVA!AO255</f>
        <v>2704441.311699999</v>
      </c>
      <c r="AP238" s="477">
        <f>IVA!AP221+IVA!AP255</f>
        <v>2782917.1241799998</v>
      </c>
      <c r="AQ238" s="153">
        <f>IVA!AE238+IVA!AF238+IVA!AG238</f>
        <v>7117213.7612900008</v>
      </c>
      <c r="AR238" s="153">
        <f>IVA!AH238+IVA!AI238+IVA!AJ238</f>
        <v>6822479.1793000009</v>
      </c>
      <c r="AS238" s="153">
        <f>IVA!AK238+IVA!AL238+IVA!AM238</f>
        <v>8251082.5596899996</v>
      </c>
      <c r="AT238" s="153">
        <f>IVA!AP238+IVA!AO238+IVA!AN238</f>
        <v>8186110.2539299987</v>
      </c>
      <c r="AU238" s="466">
        <f>IVA!AQ238+IVA!AR238+IVA!AS238+IVA!AT238</f>
        <v>30376885.754209999</v>
      </c>
      <c r="AV238" s="128">
        <f>IVA!AQ238/IVA!CJ15</f>
        <v>1.2530438281548749E-2</v>
      </c>
      <c r="AW238" s="128">
        <f>IVA!AR238/IVA!CK15</f>
        <v>1.0058522314802866E-2</v>
      </c>
      <c r="AX238" s="128">
        <f>IVA!AS238/IVA!CL15</f>
        <v>1.2348274131585105E-2</v>
      </c>
      <c r="AY238" s="128">
        <f>IVA!AT238/IVA!CM15</f>
        <v>1.163980397072365E-2</v>
      </c>
      <c r="AZ238" s="269">
        <f>IVA!AU238/IVA!CN15</f>
        <v>4.6416681216918373E-2</v>
      </c>
      <c r="BA238" s="453"/>
      <c r="BW238" s="136"/>
      <c r="BX238" s="137"/>
      <c r="BY238" s="136"/>
      <c r="BZ238" s="136"/>
      <c r="CA238" s="271"/>
    </row>
    <row r="239" spans="27:79" ht="12.75" customHeight="1">
      <c r="AA239" s="473">
        <v>2007</v>
      </c>
      <c r="AB239" s="473" t="s">
        <v>587</v>
      </c>
      <c r="AC239" s="474"/>
      <c r="AD239" s="475"/>
      <c r="AE239" s="476">
        <f>IVA!AE222+IVA!AE256</f>
        <v>3969963.5765000004</v>
      </c>
      <c r="AF239" s="476">
        <f>IVA!AF222+IVA!AF256</f>
        <v>3198388.108</v>
      </c>
      <c r="AG239" s="476">
        <f>IVA!AG222+IVA!AG256</f>
        <v>3216593.73961</v>
      </c>
      <c r="AH239" s="476">
        <f>IVA!AH222+IVA!AH256</f>
        <v>3192846.5896200002</v>
      </c>
      <c r="AI239" s="476">
        <f>IVA!AI222+IVA!AI256</f>
        <v>3330780.3580200002</v>
      </c>
      <c r="AJ239" s="476">
        <f>IVA!AJ222+IVA!AJ256</f>
        <v>3374143.5681799995</v>
      </c>
      <c r="AK239" s="476">
        <f>IVA!AK222+IVA!AK256</f>
        <v>4572184.1127000004</v>
      </c>
      <c r="AL239" s="476">
        <f>IVA!AL222+IVA!AL256</f>
        <v>3612356.5615599998</v>
      </c>
      <c r="AM239" s="476">
        <f>IVA!AM222+IVA!AM256</f>
        <v>3666003.2335000001</v>
      </c>
      <c r="AN239" s="476">
        <f>IVA!AN222+IVA!AN256</f>
        <v>3743936.4638700001</v>
      </c>
      <c r="AO239" s="476">
        <f>IVA!AO222+IVA!AO256</f>
        <v>3804830.9646399999</v>
      </c>
      <c r="AP239" s="477">
        <f>IVA!AP222+IVA!AP256</f>
        <v>3890517.1985999998</v>
      </c>
      <c r="AQ239" s="153">
        <f>IVA!AE239+IVA!AF239+IVA!AG239</f>
        <v>10384945.424110001</v>
      </c>
      <c r="AR239" s="153">
        <f>IVA!AH239+IVA!AI239+IVA!AJ239</f>
        <v>9897770.5158200003</v>
      </c>
      <c r="AS239" s="153">
        <f>IVA!AK239+IVA!AL239+IVA!AM239</f>
        <v>11850543.90776</v>
      </c>
      <c r="AT239" s="153">
        <f>IVA!AP239+IVA!AO239+IVA!AN239</f>
        <v>11439284.627110001</v>
      </c>
      <c r="AU239" s="466">
        <f>IVA!AQ239+IVA!AR239+IVA!AS239+IVA!AT239</f>
        <v>43572544.474800006</v>
      </c>
      <c r="AV239" s="128">
        <f>IVA!AQ239/IVA!CJ16</f>
        <v>1.5246866079560138E-2</v>
      </c>
      <c r="AW239" s="128">
        <f>IVA!AR239/IVA!CK16</f>
        <v>1.185183932000795E-2</v>
      </c>
      <c r="AX239" s="128">
        <f>IVA!AS239/IVA!CL16</f>
        <v>1.4321539341046064E-2</v>
      </c>
      <c r="AY239" s="128">
        <f>IVA!AT239/IVA!CM16</f>
        <v>1.2624540584825717E-2</v>
      </c>
      <c r="AZ239" s="269">
        <f>IVA!AU239/IVA!CN16</f>
        <v>5.3630662688262304E-2</v>
      </c>
      <c r="BA239" s="453"/>
      <c r="BW239" s="136"/>
      <c r="BX239" s="137"/>
      <c r="BY239" s="136"/>
      <c r="BZ239" s="136"/>
      <c r="CA239" s="271"/>
    </row>
    <row r="240" spans="27:79" ht="12.75" customHeight="1">
      <c r="AA240" s="473">
        <v>2008</v>
      </c>
      <c r="AB240" s="473" t="s">
        <v>587</v>
      </c>
      <c r="AC240" s="474"/>
      <c r="AD240" s="475"/>
      <c r="AE240" s="476">
        <f>IVA!AE223+IVA!AE257</f>
        <v>5266859.6756199999</v>
      </c>
      <c r="AF240" s="476">
        <f>IVA!AF223+IVA!AF257</f>
        <v>4506031.5430899998</v>
      </c>
      <c r="AG240" s="476">
        <f>IVA!AG223+IVA!AG257</f>
        <v>4329890.5360700004</v>
      </c>
      <c r="AH240" s="476">
        <f>IVA!AH223+IVA!AH257</f>
        <v>4700336.7457699999</v>
      </c>
      <c r="AI240" s="476">
        <f>IVA!AI223+IVA!AI257</f>
        <v>4913338.7892500004</v>
      </c>
      <c r="AJ240" s="476">
        <f>IVA!AJ223+IVA!AJ257</f>
        <v>4884990.5670800004</v>
      </c>
      <c r="AK240" s="476">
        <f>IVA!AK223+IVA!AK257</f>
        <v>6664644.3567500003</v>
      </c>
      <c r="AL240" s="476">
        <f>IVA!AL223+IVA!AL257</f>
        <v>5162434.1447999999</v>
      </c>
      <c r="AM240" s="476">
        <f>IVA!AM223+IVA!AM257</f>
        <v>5350905.4250000007</v>
      </c>
      <c r="AN240" s="476">
        <f>IVA!AN223+IVA!AN257</f>
        <v>5391229.4786499999</v>
      </c>
      <c r="AO240" s="476">
        <f>IVA!AO223+IVA!AO257</f>
        <v>5608923.1823299993</v>
      </c>
      <c r="AP240" s="477">
        <f>IVA!AP223+IVA!AP257</f>
        <v>5466150.5318200001</v>
      </c>
      <c r="AQ240" s="153">
        <f>IVA!AE240+IVA!AF240+IVA!AG240</f>
        <v>14102781.75478</v>
      </c>
      <c r="AR240" s="153">
        <f>IVA!AH240+IVA!AI240+IVA!AJ240</f>
        <v>14498666.102100002</v>
      </c>
      <c r="AS240" s="153">
        <f>IVA!AK240+IVA!AL240+IVA!AM240</f>
        <v>17177983.926550001</v>
      </c>
      <c r="AT240" s="153">
        <f>IVA!AP240+IVA!AO240+IVA!AN240</f>
        <v>16466303.1928</v>
      </c>
      <c r="AU240" s="466">
        <f>IVA!AQ240+IVA!AR240+IVA!AS240+IVA!AT240</f>
        <v>62245734.976230003</v>
      </c>
      <c r="AV240" s="128">
        <f>IVA!AQ240/IVA!CJ17</f>
        <v>1.5887898349651829E-2</v>
      </c>
      <c r="AW240" s="128">
        <f>IVA!AR240/IVA!CK17</f>
        <v>1.3086113808446379E-2</v>
      </c>
      <c r="AX240" s="128">
        <f>IVA!AS240/IVA!CL17</f>
        <v>1.6243176244790328E-2</v>
      </c>
      <c r="AY240" s="128">
        <f>IVA!AT240/IVA!CM17</f>
        <v>1.5276332083527026E-2</v>
      </c>
      <c r="AZ240" s="269">
        <f>IVA!AU240/IVA!CN17</f>
        <v>6.0271365582479149E-2</v>
      </c>
      <c r="BA240" s="453"/>
      <c r="BW240" s="262"/>
      <c r="BX240" s="261"/>
      <c r="BY240" s="262"/>
      <c r="BZ240" s="262"/>
      <c r="CA240" s="301"/>
    </row>
    <row r="241" spans="27:79" ht="12.75" customHeight="1">
      <c r="AA241" s="473">
        <v>2009</v>
      </c>
      <c r="AB241" s="473" t="s">
        <v>587</v>
      </c>
      <c r="AC241" s="474"/>
      <c r="AD241" s="475"/>
      <c r="AE241" s="476">
        <f>IVA!AE224+IVA!AE258</f>
        <v>7305043</v>
      </c>
      <c r="AF241" s="476">
        <f>IVA!AF224+IVA!AF258</f>
        <v>5790859</v>
      </c>
      <c r="AG241" s="476">
        <f>IVA!AG224+IVA!AG258</f>
        <v>5598071</v>
      </c>
      <c r="AH241" s="476">
        <f>IVA!AH224+IVA!AH258</f>
        <v>5721387</v>
      </c>
      <c r="AI241" s="476">
        <f>IVA!AI224+IVA!AI258</f>
        <v>5761417</v>
      </c>
      <c r="AJ241" s="476">
        <f>IVA!AJ224+IVA!AJ258</f>
        <v>5857322</v>
      </c>
      <c r="AK241" s="476">
        <f>IVA!AK224+IVA!AK258</f>
        <v>7856580</v>
      </c>
      <c r="AL241" s="476">
        <f>IVA!AL224+IVA!AL258</f>
        <v>6364804</v>
      </c>
      <c r="AM241" s="476">
        <f>IVA!AM224+IVA!AM258</f>
        <v>6520048</v>
      </c>
      <c r="AN241" s="476">
        <f>IVA!AN224+IVA!AN258</f>
        <v>6553657</v>
      </c>
      <c r="AO241" s="476">
        <f>IVA!AO224+IVA!AO258</f>
        <v>6278183</v>
      </c>
      <c r="AP241" s="477">
        <f>IVA!AP224+IVA!AP258</f>
        <v>6669855</v>
      </c>
      <c r="AQ241" s="153">
        <f>IVA!AE241+IVA!AF241+IVA!AG241</f>
        <v>18693973</v>
      </c>
      <c r="AR241" s="153">
        <f>IVA!AH241+IVA!AI241+IVA!AJ241</f>
        <v>17340126</v>
      </c>
      <c r="AS241" s="153">
        <f>IVA!AK241+IVA!AL241+IVA!AM241</f>
        <v>20741432</v>
      </c>
      <c r="AT241" s="153">
        <f>IVA!AP241+IVA!AO241+IVA!AN241</f>
        <v>19501695</v>
      </c>
      <c r="AU241" s="469">
        <f>IVA!AQ241+IVA!AR241+IVA!AS241+IVA!AT241</f>
        <v>76277226</v>
      </c>
      <c r="AV241" s="128">
        <f>IVA!AQ241/IVA!CJ18</f>
        <v>1.8826473722055828E-2</v>
      </c>
      <c r="AW241" s="128">
        <f>IVA!AR241/IVA!CK18</f>
        <v>1.4506044674403832E-2</v>
      </c>
      <c r="AX241" s="128">
        <f>IVA!AS241/IVA!CL18</f>
        <v>1.7745997922837459E-2</v>
      </c>
      <c r="AY241" s="128">
        <f>IVA!AT241/IVA!CM18</f>
        <v>1.592360192460178E-2</v>
      </c>
      <c r="AZ241" s="269">
        <f>IVA!AU241/IVA!CN18</f>
        <v>6.6591008662930287E-2</v>
      </c>
      <c r="BA241" s="453"/>
      <c r="BW241" s="262"/>
      <c r="BX241" s="261"/>
      <c r="BY241" s="262"/>
      <c r="BZ241" s="262"/>
      <c r="CA241" s="301"/>
    </row>
    <row r="242" spans="27:79" ht="12.75" customHeight="1">
      <c r="AA242" s="473">
        <v>2010</v>
      </c>
      <c r="AB242" s="473" t="s">
        <v>587</v>
      </c>
      <c r="AC242" s="474"/>
      <c r="AD242" s="475"/>
      <c r="AE242" s="476">
        <f>IVA!AE225+IVA!AE259</f>
        <v>9023895</v>
      </c>
      <c r="AF242" s="476">
        <f>IVA!AF225+IVA!AF259</f>
        <v>6922290</v>
      </c>
      <c r="AG242" s="476">
        <f>IVA!AG225+IVA!AG259</f>
        <v>6997405</v>
      </c>
      <c r="AH242" s="476">
        <f>IVA!AH225+IVA!AH259</f>
        <v>7355142</v>
      </c>
      <c r="AI242" s="476">
        <f>IVA!AI225+IVA!AI259</f>
        <v>7590453</v>
      </c>
      <c r="AJ242" s="476">
        <f>IVA!AJ225+IVA!AJ259</f>
        <v>7740909</v>
      </c>
      <c r="AK242" s="476">
        <f>IVA!AK225+IVA!AK259</f>
        <v>10430462</v>
      </c>
      <c r="AL242" s="476">
        <f>IVA!AL225+IVA!AL259</f>
        <v>8193041</v>
      </c>
      <c r="AM242" s="476">
        <f>IVA!AM225+IVA!AM259</f>
        <v>8480702</v>
      </c>
      <c r="AN242" s="476">
        <f>IVA!AN225+IVA!AN259</f>
        <v>8567794</v>
      </c>
      <c r="AO242" s="476">
        <f>IVA!AO225+IVA!AO259</f>
        <v>8984608</v>
      </c>
      <c r="AP242" s="477">
        <f>IVA!AP225+IVA!AP259</f>
        <v>8989271</v>
      </c>
      <c r="AQ242" s="153">
        <f>IVA!AE242+IVA!AF242+IVA!AG242</f>
        <v>22943590</v>
      </c>
      <c r="AR242" s="153">
        <f>IVA!AH242+IVA!AI242+IVA!AJ242</f>
        <v>22686504</v>
      </c>
      <c r="AS242" s="153">
        <f>IVA!AK242+IVA!AL242+IVA!AM242</f>
        <v>27104205</v>
      </c>
      <c r="AT242" s="153">
        <f>IVA!AP242+IVA!AO242+IVA!AN242</f>
        <v>26541673</v>
      </c>
      <c r="AU242" s="469">
        <f>IVA!AQ242+IVA!AR242+IVA!AS242+IVA!AT242</f>
        <v>99275972</v>
      </c>
      <c r="AV242" s="128">
        <f>IVA!AQ242/IVA!CJ19</f>
        <v>1.8846679880826136E-2</v>
      </c>
      <c r="AW242" s="128">
        <f>IVA!AR242/IVA!CK19</f>
        <v>1.5041251485865628E-2</v>
      </c>
      <c r="AX242" s="128">
        <f>IVA!AS242/IVA!CL19</f>
        <v>1.8490351456325955E-2</v>
      </c>
      <c r="AY242" s="128">
        <f>IVA!AT242/IVA!CM19</f>
        <v>1.6808118628475918E-2</v>
      </c>
      <c r="AZ242" s="269">
        <f>IVA!AU242/IVA!CN19</f>
        <v>6.8814751930940068E-2</v>
      </c>
      <c r="BA242" s="453"/>
      <c r="BW242" s="262"/>
      <c r="BX242" s="261"/>
      <c r="BY242" s="262"/>
      <c r="BZ242" s="262"/>
      <c r="CA242" s="301"/>
    </row>
    <row r="243" spans="27:79" ht="12.75" customHeight="1">
      <c r="AA243" s="473">
        <v>2011</v>
      </c>
      <c r="AB243" s="473" t="s">
        <v>587</v>
      </c>
      <c r="AC243" s="474"/>
      <c r="AD243" s="475"/>
      <c r="AE243" s="476">
        <f>IVA!AE226+IVA!AE260</f>
        <v>12163902</v>
      </c>
      <c r="AF243" s="476">
        <f>IVA!AF226+IVA!AF260</f>
        <v>9657309</v>
      </c>
      <c r="AG243" s="476">
        <f>IVA!AG226+IVA!AG260</f>
        <v>9374590</v>
      </c>
      <c r="AH243" s="476">
        <f>IVA!AH226+IVA!AH260</f>
        <v>10246175</v>
      </c>
      <c r="AI243" s="476">
        <f>IVA!AI226+IVA!AI260</f>
        <v>10285567</v>
      </c>
      <c r="AJ243" s="476">
        <f>IVA!AJ226+IVA!AJ260</f>
        <v>10564747</v>
      </c>
      <c r="AK243" s="476">
        <f>IVA!AK226+IVA!AK260</f>
        <v>14129843</v>
      </c>
      <c r="AL243" s="476">
        <f>IVA!AL226+IVA!AL260</f>
        <v>11091972</v>
      </c>
      <c r="AM243" s="476">
        <f>IVA!AM226+IVA!AM260</f>
        <v>11410351</v>
      </c>
      <c r="AN243" s="476">
        <f>IVA!AN226+IVA!AN260</f>
        <v>11586703</v>
      </c>
      <c r="AO243" s="476">
        <f>IVA!AO226+IVA!AO260</f>
        <v>11541246</v>
      </c>
      <c r="AP243" s="477">
        <f>IVA!AP226+IVA!AP260</f>
        <v>11759145</v>
      </c>
      <c r="AQ243" s="153">
        <f>IVA!AE243+IVA!AF243+IVA!AG243</f>
        <v>31195801</v>
      </c>
      <c r="AR243" s="153">
        <f>IVA!AH243+IVA!AI243+IVA!AJ243</f>
        <v>31096489</v>
      </c>
      <c r="AS243" s="153">
        <f>IVA!AK243+IVA!AL243+IVA!AM243</f>
        <v>36632166</v>
      </c>
      <c r="AT243" s="153">
        <f>IVA!AP243+IVA!AO243+IVA!AN243</f>
        <v>34887094</v>
      </c>
      <c r="AU243" s="470">
        <f>IVA!AQ243+IVA!AR243+IVA!AS243+IVA!AT243</f>
        <v>133811550</v>
      </c>
      <c r="AV243" s="128">
        <f>IVA!AQ243/IVA!CJ20</f>
        <v>1.9900611771010091E-2</v>
      </c>
      <c r="AW243" s="128">
        <f>IVA!AR243/IVA!CK20</f>
        <v>1.5735279256115432E-2</v>
      </c>
      <c r="AX243" s="128">
        <f>IVA!AS243/IVA!CL20</f>
        <v>1.9637796010804322E-2</v>
      </c>
      <c r="AY243" s="128">
        <f>IVA!AT243/IVA!CM20</f>
        <v>1.7809622680158781E-2</v>
      </c>
      <c r="AZ243" s="269">
        <f>IVA!AU243/IVA!CN20</f>
        <v>7.2643833902185637E-2</v>
      </c>
      <c r="BA243" s="453"/>
      <c r="BW243" s="262"/>
      <c r="BX243" s="261"/>
      <c r="BY243" s="262"/>
      <c r="BZ243" s="262"/>
      <c r="CA243" s="301"/>
    </row>
    <row r="244" spans="27:79" ht="12.75" customHeight="1">
      <c r="AA244" s="478">
        <v>2012</v>
      </c>
      <c r="AB244" s="479" t="s">
        <v>587</v>
      </c>
      <c r="AC244" s="480"/>
      <c r="AD244" s="478"/>
      <c r="AE244" s="481">
        <f>IVA!AE227+IVA!AE261</f>
        <v>16122954.095449999</v>
      </c>
      <c r="AF244" s="481">
        <f>IVA!AF227+IVA!AF261</f>
        <v>12506076.227049999</v>
      </c>
      <c r="AG244" s="481">
        <f>IVA!AG227+IVA!AG261</f>
        <v>12756174.54197</v>
      </c>
      <c r="AH244" s="481">
        <f>IVA!AH227+IVA!AH261</f>
        <v>13125729.285270002</v>
      </c>
      <c r="AI244" s="481">
        <f>IVA!AI227+IVA!AI261</f>
        <v>13650876.73237</v>
      </c>
      <c r="AJ244" s="481">
        <f>IVA!AJ227+IVA!AJ261</f>
        <v>13636958.89624</v>
      </c>
      <c r="AK244" s="481">
        <f>IVA!AK227+IVA!AK261</f>
        <v>18467177.410410002</v>
      </c>
      <c r="AL244" s="481">
        <f>IVA!AL227+IVA!AL261</f>
        <v>14472192.843459999</v>
      </c>
      <c r="AM244" s="481">
        <f>IVA!AM227+IVA!AM261</f>
        <v>14537887.061420001</v>
      </c>
      <c r="AN244" s="481">
        <f>IVA!AN227+IVA!AN261</f>
        <v>15046929.63391</v>
      </c>
      <c r="AO244" s="481">
        <f>IVA!AO227+IVA!AO261</f>
        <v>15383125.483029999</v>
      </c>
      <c r="AP244" s="482">
        <f>IVA!AP227+IVA!AP261</f>
        <v>15548883.52341</v>
      </c>
      <c r="AQ244" s="325">
        <f>IVA!AE244+IVA!AF244+IVA!AG244</f>
        <v>41385204.864469998</v>
      </c>
      <c r="AR244" s="325">
        <f>IVA!AH244+IVA!AI244+IVA!AJ244</f>
        <v>40413564.913880005</v>
      </c>
      <c r="AS244" s="325">
        <f>IVA!AK244+IVA!AL244+IVA!AM244</f>
        <v>47477257.315290004</v>
      </c>
      <c r="AT244" s="325">
        <f>IVA!AP244+IVA!AO244+IVA!AN244</f>
        <v>45978938.640349999</v>
      </c>
      <c r="AU244" s="472">
        <f>IVA!AQ244+IVA!AR244+IVA!AS244+IVA!AT244</f>
        <v>175254965.73399001</v>
      </c>
      <c r="AV244" s="483">
        <f>IVA!AQ244/IVA!CJ21</f>
        <v>2.2072874454031739E-2</v>
      </c>
      <c r="AW244" s="483">
        <f>IVA!AR244/IVA!CK21</f>
        <v>1.7778570279711064E-2</v>
      </c>
      <c r="AX244" s="483">
        <f>IVA!AS244/IVA!CL21</f>
        <v>2.174953178653569E-2</v>
      </c>
      <c r="AY244" s="483">
        <f>IVA!AT244/IVA!CM21</f>
        <v>1.976757761774002E-2</v>
      </c>
      <c r="AZ244" s="484">
        <f>IVA!AU244/IVA!CN21</f>
        <v>8.0977382322613742E-2</v>
      </c>
      <c r="BA244" s="453"/>
      <c r="BW244" s="262"/>
      <c r="BX244" s="261"/>
      <c r="BY244" s="262"/>
      <c r="BZ244" s="262"/>
      <c r="CA244" s="301"/>
    </row>
    <row r="245" spans="27:79" ht="12.75" customHeight="1">
      <c r="AA245" s="478"/>
      <c r="AB245" s="479"/>
      <c r="AC245" s="480"/>
      <c r="AD245" s="478"/>
      <c r="AE245" s="481"/>
      <c r="AF245" s="481"/>
      <c r="AG245" s="481"/>
      <c r="AH245" s="481"/>
      <c r="AI245" s="481"/>
      <c r="AJ245" s="481"/>
      <c r="AK245" s="481"/>
      <c r="AL245" s="481"/>
      <c r="AM245" s="481"/>
      <c r="AN245" s="481"/>
      <c r="AO245" s="481"/>
      <c r="AP245" s="482"/>
      <c r="AQ245" s="325"/>
      <c r="AR245" s="325"/>
      <c r="AS245" s="325"/>
      <c r="AT245" s="325"/>
      <c r="AU245" s="472"/>
      <c r="AV245" s="483"/>
      <c r="AW245" s="483"/>
      <c r="AX245" s="483"/>
      <c r="AY245" s="483"/>
      <c r="AZ245" s="484"/>
      <c r="BA245" s="453"/>
      <c r="BW245" s="262"/>
      <c r="BX245" s="261"/>
      <c r="BY245" s="262"/>
      <c r="BZ245" s="262"/>
      <c r="CA245" s="301"/>
    </row>
    <row r="246" spans="27:79" ht="12.75" customHeight="1">
      <c r="AA246" s="485">
        <v>1997</v>
      </c>
      <c r="AB246" s="485" t="s">
        <v>588</v>
      </c>
      <c r="AC246" s="486"/>
      <c r="AD246" s="487"/>
      <c r="AE246" s="488">
        <v>682595</v>
      </c>
      <c r="AF246" s="488">
        <v>497612</v>
      </c>
      <c r="AG246" s="488">
        <v>460799</v>
      </c>
      <c r="AH246" s="488">
        <v>514408</v>
      </c>
      <c r="AI246" s="488">
        <v>493779</v>
      </c>
      <c r="AJ246" s="488">
        <v>466147</v>
      </c>
      <c r="AK246" s="488">
        <v>725901</v>
      </c>
      <c r="AL246" s="488">
        <v>479597</v>
      </c>
      <c r="AM246" s="488">
        <v>503472</v>
      </c>
      <c r="AN246" s="488">
        <v>528040</v>
      </c>
      <c r="AO246" s="488">
        <v>488363</v>
      </c>
      <c r="AP246" s="489">
        <v>534331</v>
      </c>
      <c r="AQ246" s="153">
        <f>IVA!AE246+IVA!AF246+IVA!AG246</f>
        <v>1641006</v>
      </c>
      <c r="AR246" s="153">
        <f>IVA!AH246+IVA!AI246+IVA!AJ246</f>
        <v>1474334</v>
      </c>
      <c r="AS246" s="153">
        <f>IVA!AK246+IVA!AL246+IVA!AM246</f>
        <v>1708970</v>
      </c>
      <c r="AT246" s="153">
        <f>IVA!AN246+IVA!AO246+IVA!AP246</f>
        <v>1550734</v>
      </c>
      <c r="AU246" s="490">
        <f>IVA!AQ246+IVA!AR246+IVA!AS246+IVA!AT246</f>
        <v>6375044</v>
      </c>
      <c r="AV246" s="128">
        <f>IVA!AQ246/IVA!CJ6</f>
        <v>6.0495686794956871E-3</v>
      </c>
      <c r="AW246" s="128">
        <f>IVA!AR246/IVA!CK6</f>
        <v>4.9165355588788526E-3</v>
      </c>
      <c r="AX246" s="128">
        <f>IVA!AS246/IVA!CL6</f>
        <v>5.7297036147485117E-3</v>
      </c>
      <c r="AY246" s="128">
        <f>IVA!AT246/IVA!CM6</f>
        <v>5.1342428781298577E-3</v>
      </c>
      <c r="AZ246" s="269">
        <f>IVA!AU246/IVA!CN6</f>
        <v>2.1768314002059103E-2</v>
      </c>
      <c r="BA246" s="453"/>
      <c r="BW246" s="262"/>
      <c r="BX246" s="261"/>
      <c r="BY246" s="262"/>
      <c r="BZ246" s="262"/>
      <c r="CA246" s="301"/>
    </row>
    <row r="247" spans="27:79" ht="12.75" customHeight="1">
      <c r="AA247" s="485">
        <v>1998</v>
      </c>
      <c r="AB247" s="485" t="s">
        <v>588</v>
      </c>
      <c r="AC247" s="486"/>
      <c r="AD247" s="487"/>
      <c r="AE247" s="488">
        <v>685751</v>
      </c>
      <c r="AF247" s="488">
        <v>486237</v>
      </c>
      <c r="AG247" s="488">
        <v>487936</v>
      </c>
      <c r="AH247" s="488">
        <v>489540</v>
      </c>
      <c r="AI247" s="488">
        <v>482093</v>
      </c>
      <c r="AJ247" s="488">
        <v>481871</v>
      </c>
      <c r="AK247" s="488">
        <v>696291</v>
      </c>
      <c r="AL247" s="488">
        <v>499522</v>
      </c>
      <c r="AM247" s="488">
        <v>490859</v>
      </c>
      <c r="AN247" s="488">
        <v>488177</v>
      </c>
      <c r="AO247" s="488">
        <v>488658</v>
      </c>
      <c r="AP247" s="489">
        <v>476654</v>
      </c>
      <c r="AQ247" s="153">
        <f>IVA!AE247+IVA!AF247+IVA!AG247</f>
        <v>1659924</v>
      </c>
      <c r="AR247" s="153">
        <f>IVA!AH247+IVA!AI247+IVA!AJ247</f>
        <v>1453504</v>
      </c>
      <c r="AS247" s="153">
        <f>IVA!AK247+IVA!AL247+IVA!AM247</f>
        <v>1686672</v>
      </c>
      <c r="AT247" s="153">
        <f>IVA!AN247+IVA!AO247+IVA!AP247</f>
        <v>1453489</v>
      </c>
      <c r="AU247" s="490">
        <f>IVA!AQ247+IVA!AR247+IVA!AS247+IVA!AT247</f>
        <v>6253589</v>
      </c>
      <c r="AV247" s="128">
        <f>IVA!AQ247/IVA!CJ7</f>
        <v>5.8703512469762773E-3</v>
      </c>
      <c r="AW247" s="128">
        <f>IVA!AR247/IVA!CK7</f>
        <v>4.6567396267185928E-3</v>
      </c>
      <c r="AX247" s="128">
        <f>IVA!AS247/IVA!CL7</f>
        <v>5.5214773033287609E-3</v>
      </c>
      <c r="AY247" s="128">
        <f>IVA!AT247/IVA!CM7</f>
        <v>4.919987858057113E-3</v>
      </c>
      <c r="AZ247" s="269">
        <f>IVA!AU247/IVA!CN7</f>
        <v>2.0918626314738713E-2</v>
      </c>
      <c r="BA247" s="453"/>
      <c r="BW247" s="262"/>
      <c r="BX247" s="261"/>
      <c r="BY247" s="262"/>
      <c r="BZ247" s="262"/>
      <c r="CA247" s="301"/>
    </row>
    <row r="248" spans="27:79" ht="12.75" customHeight="1">
      <c r="AA248" s="485">
        <v>1999</v>
      </c>
      <c r="AB248" s="485" t="s">
        <v>588</v>
      </c>
      <c r="AC248" s="486"/>
      <c r="AD248" s="487"/>
      <c r="AE248" s="488">
        <v>702940</v>
      </c>
      <c r="AF248" s="488">
        <v>496031</v>
      </c>
      <c r="AG248" s="488">
        <v>496213</v>
      </c>
      <c r="AH248" s="488">
        <v>471322</v>
      </c>
      <c r="AI248" s="488">
        <v>476925</v>
      </c>
      <c r="AJ248" s="488">
        <v>471059</v>
      </c>
      <c r="AK248" s="488">
        <v>671501</v>
      </c>
      <c r="AL248" s="488">
        <v>479626</v>
      </c>
      <c r="AM248" s="488">
        <v>473308</v>
      </c>
      <c r="AN248" s="488">
        <v>466055</v>
      </c>
      <c r="AO248" s="488">
        <v>482637</v>
      </c>
      <c r="AP248" s="489">
        <v>464329</v>
      </c>
      <c r="AQ248" s="153">
        <f>IVA!AE248+IVA!AF248+IVA!AG248</f>
        <v>1695184</v>
      </c>
      <c r="AR248" s="153">
        <f>IVA!AH248+IVA!AI248+IVA!AJ248</f>
        <v>1419306</v>
      </c>
      <c r="AS248" s="153">
        <f>IVA!AK248+IVA!AL248+IVA!AM248</f>
        <v>1624435</v>
      </c>
      <c r="AT248" s="153">
        <f>IVA!AN248+IVA!AO248+IVA!AP248</f>
        <v>1413021</v>
      </c>
      <c r="AU248" s="490">
        <f>IVA!AQ248+IVA!AR248+IVA!AS248+IVA!AT248</f>
        <v>6151946</v>
      </c>
      <c r="AV248" s="128">
        <f>IVA!AQ248/IVA!CJ8</f>
        <v>6.261159906332873E-3</v>
      </c>
      <c r="AW248" s="128">
        <f>IVA!AR248/IVA!CK8</f>
        <v>4.9139864554506715E-3</v>
      </c>
      <c r="AX248" s="128">
        <f>IVA!AS248/IVA!CL8</f>
        <v>5.6980321028853899E-3</v>
      </c>
      <c r="AY248" s="128">
        <f>IVA!AT248/IVA!CM8</f>
        <v>4.8821017760899777E-3</v>
      </c>
      <c r="AZ248" s="269">
        <f>IVA!AU248/IVA!CN8</f>
        <v>2.1698223705526359E-2</v>
      </c>
      <c r="BA248" s="453"/>
      <c r="BW248" s="262"/>
      <c r="BX248" s="261"/>
      <c r="BY248" s="262"/>
      <c r="BZ248" s="262"/>
      <c r="CA248" s="301"/>
    </row>
    <row r="249" spans="27:79" ht="12.75" customHeight="1">
      <c r="AA249" s="485">
        <v>2000</v>
      </c>
      <c r="AB249" s="485" t="s">
        <v>588</v>
      </c>
      <c r="AC249" s="486"/>
      <c r="AD249" s="487"/>
      <c r="AE249" s="488">
        <v>682540.27599999995</v>
      </c>
      <c r="AF249" s="488">
        <v>498534.163</v>
      </c>
      <c r="AG249" s="488">
        <v>506964.49699999997</v>
      </c>
      <c r="AH249" s="488">
        <v>488301.87099999998</v>
      </c>
      <c r="AI249" s="488">
        <v>488385.04</v>
      </c>
      <c r="AJ249" s="488">
        <v>498538.234</v>
      </c>
      <c r="AK249" s="488">
        <v>690124.777</v>
      </c>
      <c r="AL249" s="488">
        <v>495474.32299999997</v>
      </c>
      <c r="AM249" s="488">
        <v>476983.77899999998</v>
      </c>
      <c r="AN249" s="488">
        <v>482395.09700000001</v>
      </c>
      <c r="AO249" s="488">
        <v>464835.1348</v>
      </c>
      <c r="AP249" s="489">
        <v>487218.64370000002</v>
      </c>
      <c r="AQ249" s="153">
        <f>IVA!AE249+IVA!AF249+IVA!AG249</f>
        <v>1688038.936</v>
      </c>
      <c r="AR249" s="153">
        <f>IVA!AH249+IVA!AI249+IVA!AJ249</f>
        <v>1475225.145</v>
      </c>
      <c r="AS249" s="153">
        <f>IVA!AK249+IVA!AL249+IVA!AM249</f>
        <v>1662582.8790000002</v>
      </c>
      <c r="AT249" s="153">
        <f>IVA!AN249+IVA!AO249+IVA!AP249</f>
        <v>1434448.8755000001</v>
      </c>
      <c r="AU249" s="490">
        <f>IVA!AQ249+IVA!AR249+IVA!AS249+IVA!AT249</f>
        <v>6260295.835500001</v>
      </c>
      <c r="AV249" s="128">
        <f>IVA!AQ249/IVA!CJ9</f>
        <v>6.2417318779488546E-3</v>
      </c>
      <c r="AW249" s="128">
        <f>IVA!AR249/IVA!CK9</f>
        <v>5.0556728759765879E-3</v>
      </c>
      <c r="AX249" s="128">
        <f>IVA!AS249/IVA!CL9</f>
        <v>5.7829846225038988E-3</v>
      </c>
      <c r="AY249" s="128">
        <f>IVA!AT249/IVA!CM9</f>
        <v>4.996704091074178E-3</v>
      </c>
      <c r="AZ249" s="269">
        <f>IVA!AU249/IVA!CN9</f>
        <v>2.2027492849310007E-2</v>
      </c>
      <c r="BA249" s="453"/>
      <c r="BW249" s="262"/>
      <c r="BX249" s="261"/>
      <c r="BY249" s="262"/>
      <c r="BZ249" s="262"/>
      <c r="CA249" s="301"/>
    </row>
    <row r="250" spans="27:79" ht="12.75" customHeight="1">
      <c r="AA250" s="485">
        <v>2001</v>
      </c>
      <c r="AB250" s="485" t="s">
        <v>588</v>
      </c>
      <c r="AC250" s="486"/>
      <c r="AD250" s="487"/>
      <c r="AE250" s="488">
        <v>677667.18799999997</v>
      </c>
      <c r="AF250" s="488">
        <v>505750.10700000002</v>
      </c>
      <c r="AG250" s="488">
        <v>516659.96299999999</v>
      </c>
      <c r="AH250" s="488">
        <v>477545.40600000002</v>
      </c>
      <c r="AI250" s="488">
        <v>484705.42599999998</v>
      </c>
      <c r="AJ250" s="488">
        <v>461633.696</v>
      </c>
      <c r="AK250" s="488">
        <v>657095.99600000004</v>
      </c>
      <c r="AL250" s="488">
        <v>451440.99699999997</v>
      </c>
      <c r="AM250" s="488">
        <v>435380.217</v>
      </c>
      <c r="AN250" s="488">
        <v>437836.00300000003</v>
      </c>
      <c r="AO250" s="488">
        <v>413868.24</v>
      </c>
      <c r="AP250" s="489">
        <v>224598.981</v>
      </c>
      <c r="AQ250" s="153">
        <f>IVA!AE250+IVA!AF250+IVA!AG250</f>
        <v>1700077.2579999999</v>
      </c>
      <c r="AR250" s="153">
        <f>IVA!AH250+IVA!AI250+IVA!AJ250</f>
        <v>1423884.5279999999</v>
      </c>
      <c r="AS250" s="153">
        <f>IVA!AK250+IVA!AL250+IVA!AM250</f>
        <v>1543917.21</v>
      </c>
      <c r="AT250" s="153">
        <f>IVA!AN250+IVA!AO250+IVA!AP250</f>
        <v>1076303.2239999999</v>
      </c>
      <c r="AU250" s="490">
        <f>IVA!AQ250+IVA!AR250+IVA!AS250+IVA!AT250</f>
        <v>5744182.2199999988</v>
      </c>
      <c r="AV250" s="128">
        <f>IVA!AQ250/IVA!CJ10</f>
        <v>6.4560467928196832E-3</v>
      </c>
      <c r="AW250" s="128">
        <f>IVA!AR250/IVA!CK10</f>
        <v>4.9435959118074007E-3</v>
      </c>
      <c r="AX250" s="128">
        <f>IVA!AS250/IVA!CL10</f>
        <v>5.6894018725317389E-3</v>
      </c>
      <c r="AY250" s="128">
        <f>IVA!AT250/IVA!CM10</f>
        <v>4.2699779886209745E-3</v>
      </c>
      <c r="AZ250" s="269">
        <f>IVA!AU250/IVA!CN10</f>
        <v>2.1377940373443483E-2</v>
      </c>
      <c r="BA250" s="453"/>
      <c r="BW250" s="262"/>
      <c r="BX250" s="261"/>
      <c r="BY250" s="262"/>
      <c r="BZ250" s="262"/>
      <c r="CA250" s="301"/>
    </row>
    <row r="251" spans="27:79" ht="12.75" customHeight="1">
      <c r="AA251" s="485">
        <v>2002</v>
      </c>
      <c r="AB251" s="485" t="s">
        <v>588</v>
      </c>
      <c r="AC251" s="486"/>
      <c r="AD251" s="487"/>
      <c r="AE251" s="488">
        <v>322163.109</v>
      </c>
      <c r="AF251" s="488">
        <v>253250.83100000001</v>
      </c>
      <c r="AG251" s="488">
        <v>258511.272</v>
      </c>
      <c r="AH251" s="488">
        <v>244674.04800000001</v>
      </c>
      <c r="AI251" s="488">
        <v>310116.598</v>
      </c>
      <c r="AJ251" s="488">
        <v>291637.22600000002</v>
      </c>
      <c r="AK251" s="488">
        <v>405957.984</v>
      </c>
      <c r="AL251" s="488">
        <v>303032.38900000002</v>
      </c>
      <c r="AM251" s="488">
        <v>297184.99300000002</v>
      </c>
      <c r="AN251" s="488">
        <v>298341.609</v>
      </c>
      <c r="AO251" s="488">
        <v>291606.50799999997</v>
      </c>
      <c r="AP251" s="489">
        <v>287638.26199999999</v>
      </c>
      <c r="AQ251" s="153">
        <f>IVA!AE251+IVA!AF251+IVA!AG251</f>
        <v>833925.21199999994</v>
      </c>
      <c r="AR251" s="153">
        <f>IVA!AH251+IVA!AI251+IVA!AJ251</f>
        <v>846427.87199999997</v>
      </c>
      <c r="AS251" s="153">
        <f>IVA!AK251+IVA!AL251+IVA!AM251</f>
        <v>1006175.366</v>
      </c>
      <c r="AT251" s="153">
        <f>IVA!AN251+IVA!AO251+IVA!AP251</f>
        <v>877586.37899999996</v>
      </c>
      <c r="AU251" s="490">
        <f>IVA!AQ251+IVA!AR251+IVA!AS251+IVA!AT251</f>
        <v>3564114.8289999999</v>
      </c>
      <c r="AV251" s="128">
        <f>IVA!AQ251/IVA!CJ11</f>
        <v>3.5178257212400391E-3</v>
      </c>
      <c r="AW251" s="128">
        <f>IVA!AR251/IVA!CK11</f>
        <v>2.4967769741454948E-3</v>
      </c>
      <c r="AX251" s="128">
        <f>IVA!AS251/IVA!CL11</f>
        <v>3.0124448979362063E-3</v>
      </c>
      <c r="AY251" s="128">
        <f>IVA!AT251/IVA!CM11</f>
        <v>2.579244282621883E-3</v>
      </c>
      <c r="AZ251" s="269">
        <f>IVA!AU251/IVA!CN11</f>
        <v>1.1402243229474389E-2</v>
      </c>
      <c r="BA251" s="453"/>
      <c r="BW251" s="262"/>
      <c r="BX251" s="261"/>
      <c r="BY251" s="262"/>
      <c r="BZ251" s="262"/>
      <c r="CA251" s="301"/>
    </row>
    <row r="252" spans="27:79" ht="12.75" customHeight="1">
      <c r="AA252" s="485">
        <v>2003</v>
      </c>
      <c r="AB252" s="485" t="s">
        <v>588</v>
      </c>
      <c r="AC252" s="486"/>
      <c r="AD252" s="487"/>
      <c r="AE252" s="488">
        <v>416764.45799999998</v>
      </c>
      <c r="AF252" s="488">
        <v>309728.79499999998</v>
      </c>
      <c r="AG252" s="488">
        <v>314765.94099999999</v>
      </c>
      <c r="AH252" s="488">
        <v>358588.93099999998</v>
      </c>
      <c r="AI252" s="488">
        <v>368446.408</v>
      </c>
      <c r="AJ252" s="488">
        <v>356926.14600000001</v>
      </c>
      <c r="AK252" s="488">
        <v>515588.07199999999</v>
      </c>
      <c r="AL252" s="488">
        <v>383202.51899999997</v>
      </c>
      <c r="AM252" s="488">
        <v>401671.58600000001</v>
      </c>
      <c r="AN252" s="488">
        <v>411342.63400000002</v>
      </c>
      <c r="AO252" s="488">
        <v>430627.17210000003</v>
      </c>
      <c r="AP252" s="489">
        <v>424685.31871999998</v>
      </c>
      <c r="AQ252" s="153">
        <f>IVA!AE252+IVA!AF252+IVA!AG252</f>
        <v>1041259.194</v>
      </c>
      <c r="AR252" s="153">
        <f>IVA!AH252+IVA!AI252+IVA!AJ252</f>
        <v>1083961.4849999999</v>
      </c>
      <c r="AS252" s="153">
        <f>IVA!AK252+IVA!AL252+IVA!AM252</f>
        <v>1300462.1770000001</v>
      </c>
      <c r="AT252" s="153">
        <f>IVA!AN252+IVA!AO252+IVA!AP252</f>
        <v>1266655.12482</v>
      </c>
      <c r="AU252" s="490">
        <f>IVA!AQ252+IVA!AR252+IVA!AS252+IVA!AT252</f>
        <v>4692337.9808200002</v>
      </c>
      <c r="AV252" s="128">
        <f>IVA!AQ252/IVA!CJ12</f>
        <v>3.1807576749897665E-3</v>
      </c>
      <c r="AW252" s="128">
        <f>IVA!AR252/IVA!CK12</f>
        <v>2.7158865615392086E-3</v>
      </c>
      <c r="AX252" s="128">
        <f>IVA!AS252/IVA!CL12</f>
        <v>3.4414026979838796E-3</v>
      </c>
      <c r="AY252" s="128">
        <f>IVA!AT252/IVA!CM12</f>
        <v>3.1724306782577915E-3</v>
      </c>
      <c r="AZ252" s="269">
        <f>IVA!AU252/IVA!CN12</f>
        <v>1.2482631353968269E-2</v>
      </c>
      <c r="BA252" s="453"/>
      <c r="BW252" s="262"/>
      <c r="BX252" s="261"/>
      <c r="BY252" s="262"/>
      <c r="BZ252" s="262"/>
      <c r="CA252" s="301"/>
    </row>
    <row r="253" spans="27:79" ht="12.75" customHeight="1">
      <c r="AA253" s="485">
        <v>2004</v>
      </c>
      <c r="AB253" s="485" t="s">
        <v>588</v>
      </c>
      <c r="AC253" s="486"/>
      <c r="AD253" s="487"/>
      <c r="AE253" s="488">
        <v>628156.43591</v>
      </c>
      <c r="AF253" s="488">
        <v>477167.50381000002</v>
      </c>
      <c r="AG253" s="488">
        <v>482590.91554999998</v>
      </c>
      <c r="AH253" s="488">
        <v>500056.81190999999</v>
      </c>
      <c r="AI253" s="488">
        <v>513955.09990999999</v>
      </c>
      <c r="AJ253" s="488">
        <v>481949.91613000003</v>
      </c>
      <c r="AK253" s="488">
        <v>692545.93440000003</v>
      </c>
      <c r="AL253" s="488">
        <v>502552.52882000001</v>
      </c>
      <c r="AM253" s="488">
        <v>530979.88191</v>
      </c>
      <c r="AN253" s="488">
        <v>519187.12753</v>
      </c>
      <c r="AO253" s="488">
        <v>516371.07186999999</v>
      </c>
      <c r="AP253" s="489">
        <v>529528.97971999994</v>
      </c>
      <c r="AQ253" s="153">
        <f>IVA!AE253+IVA!AF253+IVA!AG253</f>
        <v>1587914.8552700002</v>
      </c>
      <c r="AR253" s="153">
        <f>IVA!AH253+IVA!AI253+IVA!AJ253</f>
        <v>1495961.8279500001</v>
      </c>
      <c r="AS253" s="153">
        <f>IVA!AK253+IVA!AL253+IVA!AM253</f>
        <v>1726078.34513</v>
      </c>
      <c r="AT253" s="153">
        <f>IVA!AN253+IVA!AO253+IVA!AP253</f>
        <v>1565087.17912</v>
      </c>
      <c r="AU253" s="490">
        <f>IVA!AQ253+IVA!AR253+IVA!AS253+IVA!AT253</f>
        <v>6375042.2074699998</v>
      </c>
      <c r="AV253" s="128">
        <f>IVA!AQ253/IVA!CJ13</f>
        <v>4.0423781436903193E-3</v>
      </c>
      <c r="AW253" s="128">
        <f>IVA!AR253/IVA!CK13</f>
        <v>3.15461949668431E-3</v>
      </c>
      <c r="AX253" s="128">
        <f>IVA!AS253/IVA!CL13</f>
        <v>3.8180844731331683E-3</v>
      </c>
      <c r="AY253" s="128">
        <f>IVA!AT253/IVA!CM13</f>
        <v>3.3196357384142174E-3</v>
      </c>
      <c r="AZ253" s="269">
        <f>IVA!AU253/IVA!CN13</f>
        <v>1.4241339964569621E-2</v>
      </c>
      <c r="BA253" s="453"/>
      <c r="BW253" s="262"/>
      <c r="BX253" s="261"/>
      <c r="BY253" s="262"/>
      <c r="BZ253" s="262"/>
      <c r="CA253" s="301"/>
    </row>
    <row r="254" spans="27:79" ht="12.75" customHeight="1">
      <c r="AA254" s="485">
        <v>2005</v>
      </c>
      <c r="AB254" s="485" t="s">
        <v>588</v>
      </c>
      <c r="AC254" s="486"/>
      <c r="AD254" s="487"/>
      <c r="AE254" s="488">
        <v>764238.30680999998</v>
      </c>
      <c r="AF254" s="488">
        <v>576046.78419000003</v>
      </c>
      <c r="AG254" s="488">
        <v>559169.47947000002</v>
      </c>
      <c r="AH254" s="488">
        <v>574950.24245999998</v>
      </c>
      <c r="AI254" s="488">
        <v>589867.26991000003</v>
      </c>
      <c r="AJ254" s="488">
        <v>614048.4327</v>
      </c>
      <c r="AK254" s="488">
        <v>841372.89066000003</v>
      </c>
      <c r="AL254" s="488">
        <v>646943.74497999996</v>
      </c>
      <c r="AM254" s="488">
        <v>664964.33635</v>
      </c>
      <c r="AN254" s="488">
        <v>706932.29679000005</v>
      </c>
      <c r="AO254" s="488">
        <v>726323.50543000002</v>
      </c>
      <c r="AP254" s="489">
        <v>738868.32680000004</v>
      </c>
      <c r="AQ254" s="153">
        <f>IVA!AE254+IVA!AF254+IVA!AG254</f>
        <v>1899454.5704700002</v>
      </c>
      <c r="AR254" s="153">
        <f>IVA!AH254+IVA!AI254+IVA!AJ254</f>
        <v>1778865.9450700001</v>
      </c>
      <c r="AS254" s="153">
        <f>IVA!AK254+IVA!AL254+IVA!AM254</f>
        <v>2153280.97199</v>
      </c>
      <c r="AT254" s="153">
        <f>IVA!AN254+IVA!AO254+IVA!AP254</f>
        <v>2172124.1290199999</v>
      </c>
      <c r="AU254" s="490">
        <f>IVA!AQ254+IVA!AR254+IVA!AS254+IVA!AT254</f>
        <v>8003725.6165500004</v>
      </c>
      <c r="AV254" s="128">
        <f>IVA!AQ254/IVA!CJ14</f>
        <v>4.1585032324570241E-3</v>
      </c>
      <c r="AW254" s="128">
        <f>IVA!AR254/IVA!CK14</f>
        <v>3.220180759199109E-3</v>
      </c>
      <c r="AX254" s="128">
        <f>IVA!AS254/IVA!CL14</f>
        <v>3.9565775957379071E-3</v>
      </c>
      <c r="AY254" s="128">
        <f>IVA!AT254/IVA!CM14</f>
        <v>3.781874753119491E-3</v>
      </c>
      <c r="AZ254" s="269">
        <f>IVA!AU254/IVA!CN14</f>
        <v>1.5046330114862727E-2</v>
      </c>
      <c r="BA254" s="453"/>
      <c r="BW254" s="262"/>
      <c r="BX254" s="261"/>
      <c r="BY254" s="262"/>
      <c r="BZ254" s="262"/>
      <c r="CA254" s="301"/>
    </row>
    <row r="255" spans="27:79" ht="12.75" customHeight="1">
      <c r="AA255" s="485">
        <v>2006</v>
      </c>
      <c r="AB255" s="485" t="s">
        <v>588</v>
      </c>
      <c r="AC255" s="486"/>
      <c r="AD255" s="487"/>
      <c r="AE255" s="488">
        <v>1010033.33653</v>
      </c>
      <c r="AF255" s="488">
        <v>773956.30795000005</v>
      </c>
      <c r="AG255" s="488">
        <v>780122.05799</v>
      </c>
      <c r="AH255" s="488">
        <v>789293.80990999995</v>
      </c>
      <c r="AI255" s="488">
        <v>827740.77005000005</v>
      </c>
      <c r="AJ255" s="488">
        <v>832154.18555000005</v>
      </c>
      <c r="AK255" s="488">
        <v>1161650.1505400001</v>
      </c>
      <c r="AL255" s="488">
        <v>890319.77316999994</v>
      </c>
      <c r="AM255" s="488">
        <v>888221.20577</v>
      </c>
      <c r="AN255" s="488">
        <v>910037.67223000003</v>
      </c>
      <c r="AO255" s="488">
        <v>924476.43845999904</v>
      </c>
      <c r="AP255" s="489">
        <v>942806.96441999997</v>
      </c>
      <c r="AQ255" s="153">
        <f>IVA!AE255+IVA!AF255+IVA!AG255</f>
        <v>2564111.7024699999</v>
      </c>
      <c r="AR255" s="153">
        <f>IVA!AH255+IVA!AI255+IVA!AJ255</f>
        <v>2449188.7655100003</v>
      </c>
      <c r="AS255" s="153">
        <f>IVA!AK255+IVA!AL255+IVA!AM255</f>
        <v>2940191.1294800001</v>
      </c>
      <c r="AT255" s="153">
        <f>IVA!AN255+IVA!AO255+IVA!AP255</f>
        <v>2777321.0751099992</v>
      </c>
      <c r="AU255" s="490">
        <f>IVA!AQ255+IVA!AR255+IVA!AS255+IVA!AT255</f>
        <v>10730812.672569999</v>
      </c>
      <c r="AV255" s="128">
        <f>IVA!AQ255/IVA!CJ15</f>
        <v>4.5143288528928117E-3</v>
      </c>
      <c r="AW255" s="128">
        <f>IVA!AR255/IVA!CK15</f>
        <v>3.6108897079220464E-3</v>
      </c>
      <c r="AX255" s="128">
        <f>IVA!AS255/IVA!CL15</f>
        <v>4.40018455801731E-3</v>
      </c>
      <c r="AY255" s="128">
        <f>IVA!AT255/IVA!CM15</f>
        <v>3.9490639479867777E-3</v>
      </c>
      <c r="AZ255" s="269">
        <f>IVA!AU255/IVA!CN15</f>
        <v>1.6396964292237179E-2</v>
      </c>
      <c r="BA255" s="453"/>
      <c r="BW255" s="262"/>
      <c r="BX255" s="261"/>
      <c r="BY255" s="262"/>
      <c r="BZ255" s="262"/>
      <c r="CA255" s="301"/>
    </row>
    <row r="256" spans="27:79" ht="12.75" customHeight="1">
      <c r="AA256" s="485">
        <v>2007</v>
      </c>
      <c r="AB256" s="485" t="s">
        <v>588</v>
      </c>
      <c r="AC256" s="486"/>
      <c r="AD256" s="487"/>
      <c r="AE256" s="488">
        <v>1336969.4653</v>
      </c>
      <c r="AF256" s="488">
        <v>1032072.92289</v>
      </c>
      <c r="AG256" s="488">
        <v>1017583.4137499999</v>
      </c>
      <c r="AH256" s="488">
        <v>1019749.29056</v>
      </c>
      <c r="AI256" s="488">
        <v>1107031.9972300001</v>
      </c>
      <c r="AJ256" s="488">
        <v>1078716.3995399999</v>
      </c>
      <c r="AK256" s="488">
        <v>1516834.26605</v>
      </c>
      <c r="AL256" s="488">
        <v>1153959.23973</v>
      </c>
      <c r="AM256" s="488">
        <v>1172138.1575800001</v>
      </c>
      <c r="AN256" s="488">
        <v>1304285.54727</v>
      </c>
      <c r="AO256" s="488">
        <v>1279956.1148699999</v>
      </c>
      <c r="AP256" s="489">
        <v>1303336.3112999999</v>
      </c>
      <c r="AQ256" s="153">
        <f>IVA!AE256+IVA!AF256+IVA!AG256</f>
        <v>3386625.8019400002</v>
      </c>
      <c r="AR256" s="153">
        <f>IVA!AH256+IVA!AI256+IVA!AJ256</f>
        <v>3205497.6873300001</v>
      </c>
      <c r="AS256" s="153">
        <f>IVA!AK256+IVA!AL256+IVA!AM256</f>
        <v>3842931.6633600006</v>
      </c>
      <c r="AT256" s="153">
        <f>IVA!AN256+IVA!AO256+IVA!AP256</f>
        <v>3887577.9734399999</v>
      </c>
      <c r="AU256" s="490">
        <f>IVA!AQ256+IVA!AR256+IVA!AS256+IVA!AT256</f>
        <v>14322633.12607</v>
      </c>
      <c r="AV256" s="128">
        <f>IVA!AQ256/IVA!CJ16</f>
        <v>4.9721426502525251E-3</v>
      </c>
      <c r="AW256" s="128">
        <f>IVA!AR256/IVA!CK16</f>
        <v>3.8383435411206645E-3</v>
      </c>
      <c r="AX256" s="128">
        <f>IVA!AS256/IVA!CL16</f>
        <v>4.6442338368724648E-3</v>
      </c>
      <c r="AY256" s="128">
        <f>IVA!AT256/IVA!CM16</f>
        <v>4.2903806926925803E-3</v>
      </c>
      <c r="AZ256" s="269">
        <f>IVA!AU256/IVA!CN16</f>
        <v>1.7628814549405947E-2</v>
      </c>
      <c r="BA256" s="453"/>
      <c r="BW256" s="262"/>
      <c r="BX256" s="261"/>
      <c r="BY256" s="262"/>
      <c r="BZ256" s="262"/>
      <c r="CA256" s="301"/>
    </row>
    <row r="257" spans="27:79" ht="12.75" customHeight="1">
      <c r="AA257" s="485">
        <v>2008</v>
      </c>
      <c r="AB257" s="485" t="s">
        <v>588</v>
      </c>
      <c r="AC257" s="486"/>
      <c r="AD257" s="487"/>
      <c r="AE257" s="488">
        <v>1747273.56752</v>
      </c>
      <c r="AF257" s="488">
        <v>1661775.47404</v>
      </c>
      <c r="AG257" s="488">
        <v>1619754.6236</v>
      </c>
      <c r="AH257" s="488">
        <v>1754876.56439</v>
      </c>
      <c r="AI257" s="488">
        <v>1832785.0809299999</v>
      </c>
      <c r="AJ257" s="488">
        <v>1853451.9215200001</v>
      </c>
      <c r="AK257" s="488">
        <v>2565781.7752200002</v>
      </c>
      <c r="AL257" s="488">
        <v>1950585.5656699999</v>
      </c>
      <c r="AM257" s="488">
        <v>2015308.4197800001</v>
      </c>
      <c r="AN257" s="488">
        <v>2046402.8188700001</v>
      </c>
      <c r="AO257" s="488">
        <v>2151381.7247799998</v>
      </c>
      <c r="AP257" s="489">
        <v>2043204.98101</v>
      </c>
      <c r="AQ257" s="153">
        <f>IVA!AE257+IVA!AF257+IVA!AG257</f>
        <v>5028803.6651600003</v>
      </c>
      <c r="AR257" s="153">
        <f>IVA!AH257+IVA!AI257+IVA!AJ257</f>
        <v>5441113.5668400005</v>
      </c>
      <c r="AS257" s="153">
        <f>IVA!AK257+IVA!AL257+IVA!AM257</f>
        <v>6531675.7606699998</v>
      </c>
      <c r="AT257" s="153">
        <f>IVA!AN257+IVA!AO257+IVA!AP257</f>
        <v>6240989.5246599996</v>
      </c>
      <c r="AU257" s="490">
        <f>IVA!AQ257+IVA!AR257+IVA!AS257+IVA!AT257</f>
        <v>23242582.517329998</v>
      </c>
      <c r="AV257" s="128">
        <f>IVA!AQ257/IVA!CJ17</f>
        <v>5.6653448122274391E-3</v>
      </c>
      <c r="AW257" s="128">
        <f>IVA!AR257/IVA!CK17</f>
        <v>4.9110056662410298E-3</v>
      </c>
      <c r="AX257" s="128">
        <f>IVA!AS257/IVA!CL17</f>
        <v>6.1762288873963185E-3</v>
      </c>
      <c r="AY257" s="128">
        <f>IVA!AT257/IVA!CM17</f>
        <v>5.7899716403987649E-3</v>
      </c>
      <c r="AZ257" s="269">
        <f>IVA!AU257/IVA!CN17</f>
        <v>2.250535219028078E-2</v>
      </c>
      <c r="BA257" s="453"/>
      <c r="BW257" s="136"/>
      <c r="BX257" s="137"/>
      <c r="BY257" s="136"/>
      <c r="BZ257" s="136"/>
      <c r="CA257" s="271"/>
    </row>
    <row r="258" spans="27:79" ht="12.75" customHeight="1">
      <c r="AA258" s="485">
        <v>2009</v>
      </c>
      <c r="AB258" s="485" t="s">
        <v>588</v>
      </c>
      <c r="AC258" s="486"/>
      <c r="AD258" s="487"/>
      <c r="AE258" s="488">
        <v>2808668</v>
      </c>
      <c r="AF258" s="488">
        <v>2166934</v>
      </c>
      <c r="AG258" s="488">
        <v>2083821</v>
      </c>
      <c r="AH258" s="488">
        <v>2117001</v>
      </c>
      <c r="AI258" s="488">
        <v>2043882</v>
      </c>
      <c r="AJ258" s="488">
        <v>2217603</v>
      </c>
      <c r="AK258" s="488">
        <v>3031109</v>
      </c>
      <c r="AL258" s="488">
        <v>2394563</v>
      </c>
      <c r="AM258" s="488">
        <v>2402174</v>
      </c>
      <c r="AN258" s="488">
        <v>2491140</v>
      </c>
      <c r="AO258" s="488">
        <v>2465216</v>
      </c>
      <c r="AP258" s="489">
        <v>2556913</v>
      </c>
      <c r="AQ258" s="153">
        <f>IVA!AE258+IVA!AF258+IVA!AG258</f>
        <v>7059423</v>
      </c>
      <c r="AR258" s="153">
        <f>IVA!AH258+IVA!AI258+IVA!AJ258</f>
        <v>6378486</v>
      </c>
      <c r="AS258" s="153">
        <f>IVA!AK258+IVA!AL258+IVA!AM258</f>
        <v>7827846</v>
      </c>
      <c r="AT258" s="153">
        <f>IVA!AN258+IVA!AO258+IVA!AP258</f>
        <v>7513269</v>
      </c>
      <c r="AU258" s="490">
        <f>IVA!AQ258+IVA!AR258+IVA!AS258+IVA!AT258</f>
        <v>28779024</v>
      </c>
      <c r="AV258" s="128">
        <f>IVA!AQ258/IVA!CJ18</f>
        <v>7.1094593750818261E-3</v>
      </c>
      <c r="AW258" s="128">
        <f>IVA!AR258/IVA!CK18</f>
        <v>5.3359821532472946E-3</v>
      </c>
      <c r="AX258" s="128">
        <f>IVA!AS258/IVA!CL18</f>
        <v>6.697364909823561E-3</v>
      </c>
      <c r="AY258" s="128">
        <f>IVA!AT258/IVA!CM18</f>
        <v>6.1347644247564575E-3</v>
      </c>
      <c r="AZ258" s="269">
        <f>IVA!AU258/IVA!CN18</f>
        <v>2.5124461611840454E-2</v>
      </c>
      <c r="BA258" s="453"/>
      <c r="BW258" s="136"/>
      <c r="BX258" s="137"/>
      <c r="BY258" s="136"/>
      <c r="BZ258" s="136"/>
      <c r="CA258" s="271"/>
    </row>
    <row r="259" spans="27:79" ht="12.75" customHeight="1">
      <c r="AA259" s="485">
        <v>2010</v>
      </c>
      <c r="AB259" s="485" t="s">
        <v>588</v>
      </c>
      <c r="AC259" s="486"/>
      <c r="AD259" s="487"/>
      <c r="AE259" s="488">
        <v>3500747</v>
      </c>
      <c r="AF259" s="488">
        <v>2559222</v>
      </c>
      <c r="AG259" s="488">
        <v>2610588</v>
      </c>
      <c r="AH259" s="488">
        <v>2771994</v>
      </c>
      <c r="AI259" s="488">
        <v>2896093</v>
      </c>
      <c r="AJ259" s="488">
        <v>2968922</v>
      </c>
      <c r="AK259" s="488">
        <v>4048570</v>
      </c>
      <c r="AL259" s="488">
        <v>3089779</v>
      </c>
      <c r="AM259" s="488">
        <v>3193633</v>
      </c>
      <c r="AN259" s="488">
        <v>3219954</v>
      </c>
      <c r="AO259" s="488">
        <v>3378564</v>
      </c>
      <c r="AP259" s="489">
        <v>3365116</v>
      </c>
      <c r="AQ259" s="153">
        <f>IVA!AE259+IVA!AF259+IVA!AG259</f>
        <v>8670557</v>
      </c>
      <c r="AR259" s="153">
        <f>IVA!AH259+IVA!AI259+IVA!AJ259</f>
        <v>8637009</v>
      </c>
      <c r="AS259" s="153">
        <f>IVA!AK259+IVA!AL259+IVA!AM259</f>
        <v>10331982</v>
      </c>
      <c r="AT259" s="153">
        <f>IVA!AN259+IVA!AO259+IVA!AP259</f>
        <v>9963634</v>
      </c>
      <c r="AU259" s="490">
        <f>IVA!AQ259+IVA!AR259+IVA!AS259+IVA!AT259</f>
        <v>37603182</v>
      </c>
      <c r="AV259" s="128">
        <f>IVA!AQ259/IVA!CJ19</f>
        <v>7.1223035352120656E-3</v>
      </c>
      <c r="AW259" s="128">
        <f>IVA!AR259/IVA!CK19</f>
        <v>5.7263747845276115E-3</v>
      </c>
      <c r="AX259" s="128">
        <f>IVA!AS259/IVA!CL19</f>
        <v>7.0484258225036863E-3</v>
      </c>
      <c r="AY259" s="128">
        <f>IVA!AT259/IVA!CM19</f>
        <v>6.3096980451351359E-3</v>
      </c>
      <c r="AZ259" s="269">
        <f>IVA!AU259/IVA!CN19</f>
        <v>2.6065256164341466E-2</v>
      </c>
      <c r="BA259" s="453"/>
      <c r="BW259" s="136"/>
      <c r="BX259" s="137"/>
      <c r="BY259" s="136"/>
      <c r="BZ259" s="136"/>
      <c r="CA259" s="271"/>
    </row>
    <row r="260" spans="27:79" ht="12.75" customHeight="1">
      <c r="AA260" s="485">
        <v>2011</v>
      </c>
      <c r="AB260" s="485" t="s">
        <v>588</v>
      </c>
      <c r="AC260" s="486"/>
      <c r="AD260" s="487"/>
      <c r="AE260" s="488">
        <v>4674018</v>
      </c>
      <c r="AF260" s="488">
        <v>3603342</v>
      </c>
      <c r="AG260" s="488">
        <v>3544311</v>
      </c>
      <c r="AH260" s="488">
        <v>3802980</v>
      </c>
      <c r="AI260" s="488">
        <v>3919810</v>
      </c>
      <c r="AJ260" s="488">
        <v>4037083</v>
      </c>
      <c r="AK260" s="488">
        <v>5492108</v>
      </c>
      <c r="AL260" s="488">
        <v>4270534</v>
      </c>
      <c r="AM260" s="488">
        <v>4423497</v>
      </c>
      <c r="AN260" s="488">
        <v>4531162</v>
      </c>
      <c r="AO260" s="488">
        <v>4528590</v>
      </c>
      <c r="AP260" s="489">
        <v>4640009</v>
      </c>
      <c r="AQ260" s="153">
        <f>IVA!AE260+IVA!AF260+IVA!AG260</f>
        <v>11821671</v>
      </c>
      <c r="AR260" s="153">
        <f>IVA!AH260+IVA!AI260+IVA!AJ260</f>
        <v>11759873</v>
      </c>
      <c r="AS260" s="153">
        <f>IVA!AK260+IVA!AL260+IVA!AM260</f>
        <v>14186139</v>
      </c>
      <c r="AT260" s="153">
        <f>IVA!AN260+IVA!AO260+IVA!AP260</f>
        <v>13699761</v>
      </c>
      <c r="AU260" s="490">
        <f>IVA!AQ260+IVA!AR260+IVA!AS260+IVA!AT260</f>
        <v>51467444</v>
      </c>
      <c r="AV260" s="128">
        <f>IVA!AQ260/IVA!CJ20</f>
        <v>7.5413509996300025E-3</v>
      </c>
      <c r="AW260" s="128">
        <f>IVA!AR260/IVA!CK20</f>
        <v>5.9506681179168474E-3</v>
      </c>
      <c r="AX260" s="128">
        <f>IVA!AS260/IVA!CL20</f>
        <v>7.6049148680674694E-3</v>
      </c>
      <c r="AY260" s="128">
        <f>IVA!AT260/IVA!CM20</f>
        <v>6.9936342137970784E-3</v>
      </c>
      <c r="AZ260" s="269">
        <f>IVA!AU260/IVA!CN20</f>
        <v>2.7940730477346989E-2</v>
      </c>
      <c r="BA260" s="453"/>
      <c r="BW260" s="136"/>
      <c r="BX260" s="137"/>
      <c r="BY260" s="136"/>
      <c r="BZ260" s="136"/>
      <c r="CA260" s="271"/>
    </row>
    <row r="261" spans="27:79" ht="12.75" customHeight="1">
      <c r="AA261" s="491">
        <v>2012</v>
      </c>
      <c r="AB261" s="491" t="s">
        <v>588</v>
      </c>
      <c r="AC261" s="492"/>
      <c r="AD261" s="493"/>
      <c r="AE261" s="494">
        <v>6432765.5578100001</v>
      </c>
      <c r="AF261" s="494">
        <v>4864898.7690899996</v>
      </c>
      <c r="AG261" s="494">
        <v>5026603.9740399998</v>
      </c>
      <c r="AH261" s="494">
        <v>5082544.2831300003</v>
      </c>
      <c r="AI261" s="494">
        <v>5407460.2857499998</v>
      </c>
      <c r="AJ261" s="494">
        <v>5380640.34822</v>
      </c>
      <c r="AK261" s="494">
        <v>7389598.0177699998</v>
      </c>
      <c r="AL261" s="494">
        <v>5738627.6549699996</v>
      </c>
      <c r="AM261" s="494">
        <v>5812693.3110800004</v>
      </c>
      <c r="AN261" s="494">
        <v>6025690.4175100001</v>
      </c>
      <c r="AO261" s="494">
        <v>6156456.5453899996</v>
      </c>
      <c r="AP261" s="495">
        <v>6225707.3163400004</v>
      </c>
      <c r="AQ261" s="325">
        <f>IVA!AE261+IVA!AF261+IVA!AG261</f>
        <v>16324268.30094</v>
      </c>
      <c r="AR261" s="325">
        <f>IVA!AH261+IVA!AI261+IVA!AJ261</f>
        <v>15870644.917099999</v>
      </c>
      <c r="AS261" s="325">
        <f>IVA!AK261+IVA!AL261+IVA!AM261</f>
        <v>18940918.983819999</v>
      </c>
      <c r="AT261" s="325">
        <f>IVA!AN261+IVA!AO261+IVA!AP261</f>
        <v>18407854.279240001</v>
      </c>
      <c r="AU261" s="496">
        <f>IVA!AQ261+IVA!AR261+IVA!AS261+IVA!AT261</f>
        <v>69543686.481099993</v>
      </c>
      <c r="AV261" s="250">
        <f>IVA!AQ261/IVA!CJ21</f>
        <v>8.7065782552141809E-3</v>
      </c>
      <c r="AW261" s="250">
        <f>IVA!AR261/IVA!CK21</f>
        <v>6.9817492380162384E-3</v>
      </c>
      <c r="AX261" s="250">
        <f>IVA!AS261/IVA!CL21</f>
        <v>8.6769148598674472E-3</v>
      </c>
      <c r="AY261" s="250">
        <f>IVA!AT261/IVA!CM21</f>
        <v>7.9140297492990286E-3</v>
      </c>
      <c r="AZ261" s="294">
        <f>IVA!AU261/IVA!CN21</f>
        <v>3.2132987871235072E-2</v>
      </c>
      <c r="BA261" s="453"/>
      <c r="BW261" s="136"/>
      <c r="BX261" s="137"/>
      <c r="BY261" s="136"/>
      <c r="BZ261" s="136"/>
      <c r="CA261" s="271"/>
    </row>
    <row r="262" spans="27:79" ht="12.75" customHeight="1">
      <c r="AA262" s="485">
        <v>1997</v>
      </c>
      <c r="AB262" s="485" t="s">
        <v>589</v>
      </c>
      <c r="AQ262" s="497">
        <v>271260</v>
      </c>
      <c r="AR262" s="498">
        <v>299872.53877122398</v>
      </c>
      <c r="AS262" s="498">
        <v>298264.99150864198</v>
      </c>
      <c r="AT262" s="498">
        <v>302037.52272912598</v>
      </c>
      <c r="AU262" s="498">
        <v>292858.877329543</v>
      </c>
      <c r="BA262" s="453"/>
      <c r="BW262" s="136"/>
      <c r="BX262" s="137"/>
      <c r="BY262" s="136"/>
      <c r="BZ262" s="136"/>
      <c r="CA262" s="271"/>
    </row>
    <row r="263" spans="27:79" ht="12.75" customHeight="1">
      <c r="AA263" s="485">
        <v>1998</v>
      </c>
      <c r="AB263" s="485" t="s">
        <v>589</v>
      </c>
      <c r="AQ263" s="497">
        <v>282764</v>
      </c>
      <c r="AR263" s="498">
        <v>312129.11103303899</v>
      </c>
      <c r="AS263" s="498">
        <v>305474.768316651</v>
      </c>
      <c r="AT263" s="498">
        <v>295425.32256857603</v>
      </c>
      <c r="AU263" s="498">
        <v>298948.35855420801</v>
      </c>
      <c r="BA263" s="453"/>
      <c r="BW263" s="136"/>
      <c r="BX263" s="137"/>
      <c r="BY263" s="136"/>
      <c r="BZ263" s="136"/>
      <c r="CA263" s="271"/>
    </row>
    <row r="264" spans="27:79" ht="12.75" customHeight="1">
      <c r="AA264" s="485">
        <v>1999</v>
      </c>
      <c r="AB264" s="485" t="s">
        <v>589</v>
      </c>
      <c r="AQ264" s="497">
        <v>270746</v>
      </c>
      <c r="AR264" s="498">
        <v>288829.85593614797</v>
      </c>
      <c r="AS264" s="498">
        <v>285087.021390668</v>
      </c>
      <c r="AT264" s="498">
        <v>289428.82897694799</v>
      </c>
      <c r="AU264" s="498">
        <v>283523.02398067497</v>
      </c>
      <c r="BA264" s="453"/>
      <c r="BW264" s="136"/>
      <c r="BX264" s="137"/>
      <c r="BY264" s="136"/>
      <c r="BZ264" s="136"/>
      <c r="CA264" s="271"/>
    </row>
    <row r="265" spans="27:79" ht="12.75" customHeight="1">
      <c r="AA265" s="485">
        <v>2000</v>
      </c>
      <c r="AB265" s="485" t="s">
        <v>589</v>
      </c>
      <c r="AQ265" s="497">
        <v>270444</v>
      </c>
      <c r="AR265" s="498">
        <v>291796.00444679399</v>
      </c>
      <c r="AS265" s="498">
        <v>287495.64239376102</v>
      </c>
      <c r="AT265" s="498">
        <v>287079.01235584798</v>
      </c>
      <c r="AU265" s="498">
        <v>284203.73931462201</v>
      </c>
      <c r="BA265" s="453"/>
      <c r="BW265" s="136"/>
      <c r="BX265" s="137"/>
      <c r="BY265" s="136"/>
      <c r="BZ265" s="136"/>
      <c r="CA265" s="271"/>
    </row>
    <row r="266" spans="27:79" ht="12.75" customHeight="1">
      <c r="AA266" s="485">
        <v>2001</v>
      </c>
      <c r="AB266" s="485" t="s">
        <v>589</v>
      </c>
      <c r="AQ266" s="497">
        <v>263331</v>
      </c>
      <c r="AR266" s="498">
        <v>288026.07522980601</v>
      </c>
      <c r="AS266" s="498">
        <v>271367.22709886002</v>
      </c>
      <c r="AT266" s="498">
        <v>252062.94432154699</v>
      </c>
      <c r="AU266" s="498">
        <v>268696.70883429202</v>
      </c>
      <c r="BA266" s="453"/>
      <c r="BW266" s="136"/>
      <c r="BX266" s="137"/>
      <c r="BY266" s="136"/>
      <c r="BZ266" s="136"/>
      <c r="CA266" s="271"/>
    </row>
    <row r="267" spans="27:79" ht="12.75" customHeight="1">
      <c r="AA267" s="485">
        <v>2002</v>
      </c>
      <c r="AB267" s="485" t="s">
        <v>589</v>
      </c>
      <c r="AQ267" s="497">
        <v>237057</v>
      </c>
      <c r="AR267" s="498">
        <v>339008.201679561</v>
      </c>
      <c r="AS267" s="498">
        <v>334006.23084900901</v>
      </c>
      <c r="AT267" s="498">
        <v>340249.42302398197</v>
      </c>
      <c r="AU267" s="499">
        <v>312580.14386036701</v>
      </c>
      <c r="BA267" s="453"/>
      <c r="BW267" s="136"/>
      <c r="BX267" s="137"/>
      <c r="BY267" s="136"/>
      <c r="BZ267" s="136"/>
      <c r="CA267" s="271"/>
    </row>
    <row r="268" spans="27:79" ht="12.75" customHeight="1">
      <c r="AA268" s="485">
        <v>2003</v>
      </c>
      <c r="AB268" s="485" t="s">
        <v>589</v>
      </c>
      <c r="AQ268" s="497">
        <v>327362</v>
      </c>
      <c r="AR268" s="498">
        <v>399118.836681335</v>
      </c>
      <c r="AS268" s="498">
        <v>377887.24282742798</v>
      </c>
      <c r="AT268" s="498">
        <v>399269.59901787702</v>
      </c>
      <c r="AU268" s="500">
        <v>375909.36139664898</v>
      </c>
      <c r="BA268" s="453"/>
      <c r="BW268" s="136"/>
      <c r="BX268" s="137"/>
      <c r="BY268" s="136"/>
      <c r="BZ268" s="136"/>
      <c r="CA268" s="271"/>
    </row>
    <row r="269" spans="27:79" ht="12.75" customHeight="1">
      <c r="AA269" s="485">
        <v>2004</v>
      </c>
      <c r="AB269" s="485" t="s">
        <v>589</v>
      </c>
      <c r="AQ269" s="497">
        <v>392817</v>
      </c>
      <c r="AR269" s="498">
        <v>474213.08006317198</v>
      </c>
      <c r="AS269" s="498">
        <v>452079.66384084697</v>
      </c>
      <c r="AT269" s="498">
        <v>471463.52866644302</v>
      </c>
      <c r="AU269" s="500">
        <v>447643.42564184102</v>
      </c>
      <c r="BA269" s="453"/>
      <c r="BW269" s="136"/>
      <c r="BX269" s="137"/>
      <c r="BY269" s="136"/>
      <c r="BZ269" s="136"/>
      <c r="CA269" s="271"/>
    </row>
    <row r="270" spans="27:79" ht="12.75" customHeight="1">
      <c r="AA270" s="485">
        <v>2005</v>
      </c>
      <c r="AB270" s="485" t="s">
        <v>589</v>
      </c>
      <c r="AQ270" s="497">
        <v>456764</v>
      </c>
      <c r="AR270" s="498">
        <v>552411.82967394101</v>
      </c>
      <c r="AS270" s="498">
        <v>544228.16686561401</v>
      </c>
      <c r="AT270" s="498">
        <v>574351.15407466004</v>
      </c>
      <c r="AU270" s="500">
        <v>531938.722296405</v>
      </c>
      <c r="BA270" s="453"/>
      <c r="BW270" s="136"/>
      <c r="BX270" s="137"/>
      <c r="BY270" s="136"/>
      <c r="BZ270" s="136"/>
      <c r="CA270" s="271"/>
    </row>
    <row r="271" spans="27:79" ht="12.75" customHeight="1">
      <c r="AA271" s="485">
        <v>2006</v>
      </c>
      <c r="AB271" s="485" t="s">
        <v>589</v>
      </c>
      <c r="AQ271" s="497">
        <v>567994</v>
      </c>
      <c r="AR271" s="498">
        <v>678278.47528453905</v>
      </c>
      <c r="AS271" s="498">
        <v>668197.22916459397</v>
      </c>
      <c r="AT271" s="498">
        <v>703285.92083849898</v>
      </c>
      <c r="AU271" s="499">
        <v>654438.98524864705</v>
      </c>
      <c r="BA271" s="453"/>
      <c r="BW271" s="136"/>
      <c r="BX271" s="137"/>
      <c r="BY271" s="136"/>
      <c r="BZ271" s="136"/>
      <c r="CA271" s="271"/>
    </row>
    <row r="272" spans="27:79" ht="12.75" customHeight="1">
      <c r="AA272" s="485">
        <v>2007</v>
      </c>
      <c r="AB272" s="485" t="s">
        <v>589</v>
      </c>
      <c r="AQ272" s="497">
        <v>681120</v>
      </c>
      <c r="AR272" s="498">
        <v>835125.27031233499</v>
      </c>
      <c r="AS272" s="28">
        <v>827463</v>
      </c>
      <c r="AT272" s="498">
        <v>906114.92356875504</v>
      </c>
      <c r="AU272" s="498">
        <v>812455.82826513099</v>
      </c>
      <c r="BA272" s="453"/>
      <c r="BW272" s="262"/>
      <c r="BX272" s="261"/>
      <c r="BY272" s="262"/>
      <c r="BZ272" s="262"/>
      <c r="CA272" s="301"/>
    </row>
    <row r="273" spans="27:79" ht="12.75" customHeight="1">
      <c r="AA273" s="485">
        <v>2008</v>
      </c>
      <c r="AB273" s="485" t="s">
        <v>589</v>
      </c>
      <c r="AQ273" s="497">
        <v>887643</v>
      </c>
      <c r="AR273" s="498">
        <v>1107942.84035203</v>
      </c>
      <c r="AS273" s="498">
        <v>1057550.7934945601</v>
      </c>
      <c r="AT273" s="498">
        <v>1077896.3891833799</v>
      </c>
      <c r="AU273" s="497">
        <v>1032758</v>
      </c>
      <c r="BW273" s="501"/>
      <c r="BX273" s="501"/>
      <c r="BY273" s="501"/>
      <c r="BZ273" s="501"/>
      <c r="CA273" s="501"/>
    </row>
    <row r="274" spans="27:79" ht="12.75" customHeight="1">
      <c r="AA274" s="485">
        <v>2009</v>
      </c>
      <c r="AB274" s="485" t="s">
        <v>589</v>
      </c>
      <c r="AQ274" s="497">
        <v>992962</v>
      </c>
      <c r="AR274" s="498">
        <v>1195372.4388148999</v>
      </c>
      <c r="AS274" s="498">
        <v>1168794.9074595401</v>
      </c>
      <c r="AT274" s="498">
        <v>1224703.7505923901</v>
      </c>
      <c r="AU274" s="498">
        <v>1145458.3363663901</v>
      </c>
      <c r="BW274" s="501"/>
      <c r="BX274" s="501"/>
      <c r="BY274" s="501"/>
      <c r="BZ274" s="501"/>
      <c r="CA274" s="501"/>
    </row>
    <row r="275" spans="27:79" ht="12.75" customHeight="1">
      <c r="AA275" s="485">
        <v>2010</v>
      </c>
      <c r="AB275" s="485" t="s">
        <v>589</v>
      </c>
      <c r="AQ275" s="497">
        <v>1217381</v>
      </c>
      <c r="AR275" s="498">
        <v>1508285.66501389</v>
      </c>
      <c r="AS275" s="498">
        <v>1465856.6693023599</v>
      </c>
      <c r="AT275" s="498">
        <v>1579098.3861235799</v>
      </c>
      <c r="AU275" s="498">
        <v>1442655.3785971601</v>
      </c>
      <c r="BW275" s="501"/>
      <c r="BX275" s="501"/>
      <c r="BY275" s="501"/>
      <c r="BZ275" s="501"/>
      <c r="CA275" s="501"/>
    </row>
    <row r="276" spans="27:79" ht="12.75" customHeight="1">
      <c r="AA276" s="485">
        <v>2011</v>
      </c>
      <c r="AB276" s="485" t="s">
        <v>589</v>
      </c>
      <c r="AQ276" s="497">
        <v>1567580</v>
      </c>
      <c r="AR276" s="498">
        <v>1976227.33564862</v>
      </c>
      <c r="AS276" s="498">
        <v>1865390.9012928801</v>
      </c>
      <c r="AT276" s="498">
        <v>1958890.12510449</v>
      </c>
      <c r="AU276" s="498">
        <v>1842022.1347372199</v>
      </c>
      <c r="BW276" s="501"/>
      <c r="BX276" s="501"/>
      <c r="BY276" s="501"/>
      <c r="BZ276" s="501"/>
      <c r="CA276" s="501"/>
    </row>
    <row r="277" spans="27:79" ht="12.75" customHeight="1">
      <c r="AA277" s="491">
        <v>2012</v>
      </c>
      <c r="AB277" s="485" t="s">
        <v>589</v>
      </c>
      <c r="AQ277" s="497">
        <v>1874935</v>
      </c>
      <c r="AR277" s="498">
        <v>2273161.69287246</v>
      </c>
      <c r="AS277" s="498">
        <v>2182909.3969131499</v>
      </c>
      <c r="BW277" s="501"/>
      <c r="BX277" s="501"/>
      <c r="BY277" s="501"/>
      <c r="BZ277" s="501"/>
      <c r="CA277" s="501"/>
    </row>
  </sheetData>
  <mergeCells count="7">
    <mergeCell ref="AA7:AD7"/>
    <mergeCell ref="BB7:BE7"/>
    <mergeCell ref="DY8:EI8"/>
    <mergeCell ref="DY2:EI2"/>
    <mergeCell ref="ED4:EE4"/>
    <mergeCell ref="DO5:DR5"/>
    <mergeCell ref="DY6:EI6"/>
  </mergeCells>
  <pageMargins left="0.74791666666666701" right="0.74791666666666701" top="0.98402777777777795" bottom="0.9840277777777779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
  <sheetViews>
    <sheetView topLeftCell="J10" zoomScale="95" zoomScaleNormal="95" workbookViewId="0">
      <selection activeCell="X22" sqref="X22"/>
    </sheetView>
    <sheetView workbookViewId="1"/>
  </sheetViews>
  <sheetFormatPr baseColWidth="10" defaultColWidth="11.5703125" defaultRowHeight="15"/>
  <cols>
    <col min="1" max="1025" width="11.5703125" style="1"/>
  </cols>
  <sheetData>
    <row r="1" spans="1:24" ht="14.45" customHeight="1">
      <c r="A1" s="502"/>
      <c r="B1" s="503" t="s">
        <v>590</v>
      </c>
      <c r="C1" s="502"/>
      <c r="D1" s="502"/>
      <c r="E1" s="502"/>
      <c r="F1" s="502"/>
      <c r="G1" s="502"/>
      <c r="H1" s="502"/>
      <c r="I1" s="502"/>
      <c r="J1" s="502"/>
      <c r="K1" s="502"/>
      <c r="L1" s="502"/>
      <c r="M1" s="502"/>
      <c r="N1" s="502"/>
      <c r="O1" s="502"/>
      <c r="P1" s="502"/>
      <c r="Q1" s="502"/>
      <c r="R1" s="502"/>
      <c r="S1" s="502"/>
      <c r="T1" s="502"/>
      <c r="U1" s="502"/>
      <c r="V1" s="502"/>
      <c r="W1" s="502"/>
      <c r="X1" s="502"/>
    </row>
    <row r="2" spans="1:24" ht="14.45" customHeight="1">
      <c r="B2" s="504" t="s">
        <v>591</v>
      </c>
    </row>
    <row r="3" spans="1:24" ht="14.45" customHeight="1">
      <c r="B3" s="505" t="s">
        <v>592</v>
      </c>
    </row>
    <row r="4" spans="1:24" ht="14.45" customHeight="1">
      <c r="B4" s="506" t="s">
        <v>593</v>
      </c>
      <c r="C4" s="507" t="s">
        <v>594</v>
      </c>
      <c r="D4" s="507" t="s">
        <v>595</v>
      </c>
      <c r="E4" s="507"/>
      <c r="Q4" s="508"/>
      <c r="R4" s="508"/>
    </row>
    <row r="5" spans="1:24" ht="14.45" customHeight="1">
      <c r="A5" s="505"/>
    </row>
    <row r="6" spans="1:24" ht="84.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608</v>
      </c>
      <c r="O6" s="511" t="s">
        <v>609</v>
      </c>
      <c r="P6" s="511" t="s">
        <v>610</v>
      </c>
      <c r="Q6" s="511" t="s">
        <v>611</v>
      </c>
      <c r="R6" s="511" t="s">
        <v>612</v>
      </c>
      <c r="S6" s="511" t="s">
        <v>613</v>
      </c>
      <c r="T6" s="511" t="s">
        <v>614</v>
      </c>
      <c r="U6" s="511" t="s">
        <v>615</v>
      </c>
      <c r="V6" s="511" t="s">
        <v>616</v>
      </c>
      <c r="W6" s="511" t="s">
        <v>617</v>
      </c>
      <c r="X6" s="511" t="s">
        <v>618</v>
      </c>
    </row>
    <row r="7" spans="1:24" ht="14.45" customHeight="1"/>
    <row r="8" spans="1:24" ht="14.45" customHeight="1">
      <c r="A8" s="512">
        <v>2004</v>
      </c>
      <c r="B8" s="513">
        <v>39125.197613092401</v>
      </c>
      <c r="C8" s="513">
        <v>1442.4956022706499</v>
      </c>
      <c r="D8" s="513">
        <v>24321.805819294499</v>
      </c>
      <c r="E8" s="513">
        <v>91866.330490070803</v>
      </c>
      <c r="F8" s="513">
        <v>8702.4055767958307</v>
      </c>
      <c r="G8" s="513">
        <v>14904.725389499699</v>
      </c>
      <c r="H8" s="513">
        <v>180362.96049102399</v>
      </c>
      <c r="I8" s="513">
        <v>60034.595442528902</v>
      </c>
      <c r="J8" s="513">
        <v>6936.0342475463603</v>
      </c>
      <c r="K8" s="513">
        <v>29789.900144942902</v>
      </c>
      <c r="L8" s="513">
        <v>15079.4087404287</v>
      </c>
      <c r="M8" s="513">
        <v>53084.365734705098</v>
      </c>
      <c r="N8" s="513">
        <v>21585.0544818944</v>
      </c>
      <c r="O8" s="513">
        <v>17057.3989493386</v>
      </c>
      <c r="P8" s="513">
        <v>13201.3534771092</v>
      </c>
      <c r="Q8" s="513">
        <v>12253.53911376</v>
      </c>
      <c r="R8" s="513">
        <v>3042.8485601144498</v>
      </c>
      <c r="S8" s="513">
        <v>232064.49889236901</v>
      </c>
      <c r="T8" s="513">
        <v>412427.459383393</v>
      </c>
      <c r="U8" s="513">
        <v>30976.949123732</v>
      </c>
      <c r="V8" s="513">
        <v>3250.45344763</v>
      </c>
      <c r="W8" s="513">
        <v>38460.332770000001</v>
      </c>
      <c r="X8" s="513">
        <f>'Cuenta Ahorro-Inversión-Financi'!DF19/1000</f>
        <v>485115.19472475443</v>
      </c>
    </row>
    <row r="9" spans="1:24" ht="14.45" customHeight="1">
      <c r="A9" s="514">
        <v>2005</v>
      </c>
      <c r="B9" s="515">
        <v>44579.770050357401</v>
      </c>
      <c r="C9" s="515">
        <v>1666.5040462767599</v>
      </c>
      <c r="D9" s="515">
        <v>28837.4146083548</v>
      </c>
      <c r="E9" s="515">
        <v>106839.923860476</v>
      </c>
      <c r="F9" s="515">
        <v>10603.845927426701</v>
      </c>
      <c r="G9" s="515">
        <v>20478.0224249444</v>
      </c>
      <c r="H9" s="515">
        <v>213005.48091783599</v>
      </c>
      <c r="I9" s="515">
        <v>72220.313291493701</v>
      </c>
      <c r="J9" s="515">
        <v>9196.6149352593493</v>
      </c>
      <c r="K9" s="515">
        <v>36320.250477103997</v>
      </c>
      <c r="L9" s="515">
        <v>18744.070031932399</v>
      </c>
      <c r="M9" s="515">
        <v>61544.142985462298</v>
      </c>
      <c r="N9" s="515">
        <v>27491.203278888101</v>
      </c>
      <c r="O9" s="515">
        <v>21799.846686351299</v>
      </c>
      <c r="P9" s="515">
        <v>16316.5853051665</v>
      </c>
      <c r="Q9" s="515">
        <v>15212.507986214399</v>
      </c>
      <c r="R9" s="515">
        <v>3604.7736342206899</v>
      </c>
      <c r="S9" s="515">
        <v>282450.30861209298</v>
      </c>
      <c r="T9" s="515">
        <v>495455.789529929</v>
      </c>
      <c r="U9" s="515">
        <v>36853.121896670003</v>
      </c>
      <c r="V9" s="515">
        <v>3876.5633269</v>
      </c>
      <c r="W9" s="515">
        <v>46352.698183775603</v>
      </c>
      <c r="X9" s="515">
        <f>'Cuenta Ahorro-Inversión-Financi'!DF20/1000</f>
        <v>582538.17293727444</v>
      </c>
    </row>
    <row r="10" spans="1:24" ht="14.45" customHeight="1">
      <c r="A10" s="512">
        <v>2006</v>
      </c>
      <c r="B10" s="513">
        <v>47093.037544981002</v>
      </c>
      <c r="C10" s="513">
        <v>2559.0207742553598</v>
      </c>
      <c r="D10" s="513">
        <v>40991.201666578898</v>
      </c>
      <c r="E10" s="513">
        <v>127987.889915557</v>
      </c>
      <c r="F10" s="513">
        <v>11665.631950913201</v>
      </c>
      <c r="G10" s="513">
        <v>28422.8030567678</v>
      </c>
      <c r="H10" s="513">
        <v>258719.584909053</v>
      </c>
      <c r="I10" s="513">
        <v>89062.168222138294</v>
      </c>
      <c r="J10" s="513">
        <v>11935.3321304704</v>
      </c>
      <c r="K10" s="513">
        <v>44561.426048371897</v>
      </c>
      <c r="L10" s="513">
        <v>22814.600275888701</v>
      </c>
      <c r="M10" s="513">
        <v>73324.124716176797</v>
      </c>
      <c r="N10" s="513">
        <v>35063.229566514499</v>
      </c>
      <c r="O10" s="513">
        <v>27992.744700979099</v>
      </c>
      <c r="P10" s="513">
        <v>20580.846146641899</v>
      </c>
      <c r="Q10" s="513">
        <v>19119.8460230944</v>
      </c>
      <c r="R10" s="513">
        <v>4542.8103244369904</v>
      </c>
      <c r="S10" s="513">
        <v>348997.12815471302</v>
      </c>
      <c r="T10" s="513">
        <v>607716.71306376602</v>
      </c>
      <c r="U10" s="513">
        <v>47104.309110269998</v>
      </c>
      <c r="V10" s="513">
        <v>5138.9967336099999</v>
      </c>
      <c r="W10" s="513">
        <v>55944.252826202603</v>
      </c>
      <c r="X10" s="513">
        <f>'Cuenta Ahorro-Inversión-Financi'!DF21/1000</f>
        <v>715904.27173384849</v>
      </c>
    </row>
    <row r="11" spans="1:24" ht="14.45" customHeight="1">
      <c r="A11" s="514">
        <v>2007</v>
      </c>
      <c r="B11" s="515">
        <v>64516.790695969001</v>
      </c>
      <c r="C11" s="515">
        <v>2329.3466904598099</v>
      </c>
      <c r="D11" s="515">
        <v>39241.205421532701</v>
      </c>
      <c r="E11" s="515">
        <v>152911.936776874</v>
      </c>
      <c r="F11" s="515">
        <v>14375.662277125701</v>
      </c>
      <c r="G11" s="515">
        <v>39380.428284944901</v>
      </c>
      <c r="H11" s="515">
        <v>312755.370146906</v>
      </c>
      <c r="I11" s="515">
        <v>115030.371259901</v>
      </c>
      <c r="J11" s="515">
        <v>15574.770352838401</v>
      </c>
      <c r="K11" s="515">
        <v>55583.158542435303</v>
      </c>
      <c r="L11" s="515">
        <v>28647.5436384598</v>
      </c>
      <c r="M11" s="515">
        <v>89841.904712862903</v>
      </c>
      <c r="N11" s="515">
        <v>46164.796521246601</v>
      </c>
      <c r="O11" s="515">
        <v>36617.307357584497</v>
      </c>
      <c r="P11" s="515">
        <v>27140.5457737176</v>
      </c>
      <c r="Q11" s="515">
        <v>23890.488713345501</v>
      </c>
      <c r="R11" s="515">
        <v>5589.0247317374296</v>
      </c>
      <c r="S11" s="515">
        <v>444079.91160412901</v>
      </c>
      <c r="T11" s="515">
        <v>756835.28175103595</v>
      </c>
      <c r="U11" s="515">
        <v>62669.317612790001</v>
      </c>
      <c r="V11" s="515">
        <v>7015.2917545226701</v>
      </c>
      <c r="W11" s="515">
        <v>70460.282953554604</v>
      </c>
      <c r="X11" s="515">
        <f>'Cuenta Ahorro-Inversión-Financi'!DF22/1000</f>
        <v>896980.17407190322</v>
      </c>
    </row>
    <row r="12" spans="1:24" ht="14.45" customHeight="1">
      <c r="A12" s="512">
        <v>2008</v>
      </c>
      <c r="B12" s="513">
        <v>81153.396482162294</v>
      </c>
      <c r="C12" s="513">
        <v>2988.6789152957099</v>
      </c>
      <c r="D12" s="513">
        <v>42868.673279635099</v>
      </c>
      <c r="E12" s="513">
        <v>190132.67927512599</v>
      </c>
      <c r="F12" s="513">
        <v>16413.441539575499</v>
      </c>
      <c r="G12" s="513">
        <v>52625.514541366902</v>
      </c>
      <c r="H12" s="513">
        <v>386182.38403316197</v>
      </c>
      <c r="I12" s="513">
        <v>148415.94088124001</v>
      </c>
      <c r="J12" s="513">
        <v>20346.542631299199</v>
      </c>
      <c r="K12" s="513">
        <v>69895.8526776707</v>
      </c>
      <c r="L12" s="513">
        <v>37216.943709849998</v>
      </c>
      <c r="M12" s="513">
        <v>111708.724245323</v>
      </c>
      <c r="N12" s="513">
        <v>63293.845772440101</v>
      </c>
      <c r="O12" s="513">
        <v>50131.827634463101</v>
      </c>
      <c r="P12" s="513">
        <v>38582.325308212603</v>
      </c>
      <c r="Q12" s="513">
        <v>30858.116755445099</v>
      </c>
      <c r="R12" s="513">
        <v>7306.7329126373797</v>
      </c>
      <c r="S12" s="513">
        <v>577756.85252858198</v>
      </c>
      <c r="T12" s="513">
        <v>963939.23656174296</v>
      </c>
      <c r="U12" s="513">
        <v>80228.904820220007</v>
      </c>
      <c r="V12" s="513">
        <v>8987.9075341499993</v>
      </c>
      <c r="W12" s="513">
        <v>96490.041667522004</v>
      </c>
      <c r="X12" s="513">
        <f>'Cuenta Ahorro-Inversión-Financi'!DF23/1000</f>
        <v>1149646.090583635</v>
      </c>
    </row>
    <row r="13" spans="1:24" ht="14.45" customHeight="1">
      <c r="A13" s="514">
        <v>2009</v>
      </c>
      <c r="B13" s="515">
        <v>62929.835351144597</v>
      </c>
      <c r="C13" s="515">
        <v>2881.2554169156301</v>
      </c>
      <c r="D13" s="515">
        <v>50630.153942931902</v>
      </c>
      <c r="E13" s="515">
        <v>194474.51778291899</v>
      </c>
      <c r="F13" s="515">
        <v>17406.730411802699</v>
      </c>
      <c r="G13" s="515">
        <v>53017.589957182397</v>
      </c>
      <c r="H13" s="515">
        <v>381340.08286289702</v>
      </c>
      <c r="I13" s="515">
        <v>153591.74908694299</v>
      </c>
      <c r="J13" s="515">
        <v>21728.056894523001</v>
      </c>
      <c r="K13" s="515">
        <v>77548.327173960395</v>
      </c>
      <c r="L13" s="515">
        <v>42817.235315912701</v>
      </c>
      <c r="M13" s="515">
        <v>128952.11601045199</v>
      </c>
      <c r="N13" s="515">
        <v>81182.932538459398</v>
      </c>
      <c r="O13" s="515">
        <v>62662.037841796402</v>
      </c>
      <c r="P13" s="515">
        <v>50577.128187755603</v>
      </c>
      <c r="Q13" s="515">
        <v>36995.395600189397</v>
      </c>
      <c r="R13" s="515">
        <v>9166.2099192173991</v>
      </c>
      <c r="S13" s="515">
        <v>665221.18856921</v>
      </c>
      <c r="T13" s="515">
        <v>1046561.27143211</v>
      </c>
      <c r="U13" s="515">
        <v>87385.733474901004</v>
      </c>
      <c r="V13" s="515">
        <v>7699.7882295099998</v>
      </c>
      <c r="W13" s="515">
        <v>106282.47578850199</v>
      </c>
      <c r="X13" s="515">
        <f>'Cuenta Ahorro-Inversión-Financi'!DF24/1000</f>
        <v>1247929.26892502</v>
      </c>
    </row>
    <row r="14" spans="1:24" ht="14.45" customHeight="1">
      <c r="A14" s="512">
        <v>2010</v>
      </c>
      <c r="B14" s="513">
        <v>114933.98887943399</v>
      </c>
      <c r="C14" s="513">
        <v>3582.7300725006498</v>
      </c>
      <c r="D14" s="513">
        <v>64353.068428417799</v>
      </c>
      <c r="E14" s="513">
        <v>263297.36770006001</v>
      </c>
      <c r="F14" s="513">
        <v>19608.870969589701</v>
      </c>
      <c r="G14" s="513">
        <v>72471.063553779895</v>
      </c>
      <c r="H14" s="513">
        <v>538247.08960378205</v>
      </c>
      <c r="I14" s="513">
        <v>208305.70086176399</v>
      </c>
      <c r="J14" s="513">
        <v>29901.588957621301</v>
      </c>
      <c r="K14" s="513">
        <v>99282.665106801796</v>
      </c>
      <c r="L14" s="513">
        <v>52869.170096342103</v>
      </c>
      <c r="M14" s="513">
        <v>160089.031303578</v>
      </c>
      <c r="N14" s="513">
        <v>104800.46059655699</v>
      </c>
      <c r="O14" s="513">
        <v>75998.817134827201</v>
      </c>
      <c r="P14" s="513">
        <v>65967.394494674299</v>
      </c>
      <c r="Q14" s="513">
        <v>47292.593176718401</v>
      </c>
      <c r="R14" s="513">
        <v>11198.763540887499</v>
      </c>
      <c r="S14" s="513">
        <v>855706.18526977103</v>
      </c>
      <c r="T14" s="513">
        <v>1393953.27487355</v>
      </c>
      <c r="U14" s="513">
        <v>116385.98716221</v>
      </c>
      <c r="V14" s="513">
        <v>11428.312725379999</v>
      </c>
      <c r="W14" s="513">
        <v>139953.35118343899</v>
      </c>
      <c r="X14" s="513">
        <f>'Cuenta Ahorro-Inversión-Financi'!DF25/1000</f>
        <v>1661720.92594458</v>
      </c>
    </row>
    <row r="15" spans="1:24" ht="14.45" customHeight="1">
      <c r="A15" s="514">
        <v>2011</v>
      </c>
      <c r="B15" s="515">
        <v>148881.00074220099</v>
      </c>
      <c r="C15" s="515">
        <v>3623.09507156981</v>
      </c>
      <c r="D15" s="515">
        <v>73692.091959507394</v>
      </c>
      <c r="E15" s="515">
        <v>345390.53859464399</v>
      </c>
      <c r="F15" s="515">
        <v>24618.096092670799</v>
      </c>
      <c r="G15" s="515">
        <v>105690.03131807801</v>
      </c>
      <c r="H15" s="515">
        <v>701894.85377866996</v>
      </c>
      <c r="I15" s="515">
        <v>273903.56710193498</v>
      </c>
      <c r="J15" s="515">
        <v>41427.913986951498</v>
      </c>
      <c r="K15" s="515">
        <v>125129.92245450801</v>
      </c>
      <c r="L15" s="515">
        <v>69001.297968981497</v>
      </c>
      <c r="M15" s="515">
        <v>203862.594370668</v>
      </c>
      <c r="N15" s="515">
        <v>141426.41954078199</v>
      </c>
      <c r="O15" s="515">
        <v>104848.12553531</v>
      </c>
      <c r="P15" s="515">
        <v>92793.298272101601</v>
      </c>
      <c r="Q15" s="515">
        <v>61947.9372335527</v>
      </c>
      <c r="R15" s="515">
        <v>14652.729398780401</v>
      </c>
      <c r="S15" s="515">
        <v>1128993.80586357</v>
      </c>
      <c r="T15" s="515">
        <v>1830888.65964224</v>
      </c>
      <c r="U15" s="515">
        <v>154236.86636170701</v>
      </c>
      <c r="V15" s="515">
        <v>14677.509793220001</v>
      </c>
      <c r="W15" s="515">
        <v>179221.06783361101</v>
      </c>
      <c r="X15" s="515">
        <f>'Cuenta Ahorro-Inversión-Financi'!DF26/1000</f>
        <v>2179024.1036307774</v>
      </c>
    </row>
    <row r="16" spans="1:24" ht="14.45" customHeight="1">
      <c r="A16" s="512">
        <v>2012</v>
      </c>
      <c r="B16" s="513">
        <v>148392.56921371099</v>
      </c>
      <c r="C16" s="513">
        <v>4124.8618883017798</v>
      </c>
      <c r="D16" s="513">
        <v>85876.621121733406</v>
      </c>
      <c r="E16" s="513">
        <v>401406.09852324298</v>
      </c>
      <c r="F16" s="513">
        <v>29070.750007475399</v>
      </c>
      <c r="G16" s="513">
        <v>128064.00966316101</v>
      </c>
      <c r="H16" s="513">
        <v>796934.91041762498</v>
      </c>
      <c r="I16" s="513">
        <v>325101.83304729802</v>
      </c>
      <c r="J16" s="513">
        <v>54390.383763602702</v>
      </c>
      <c r="K16" s="513">
        <v>151238.51997397401</v>
      </c>
      <c r="L16" s="513">
        <v>93262.861258739198</v>
      </c>
      <c r="M16" s="513">
        <v>248725.75754532299</v>
      </c>
      <c r="N16" s="513">
        <v>184671.50747306101</v>
      </c>
      <c r="O16" s="513">
        <v>135223.29760851499</v>
      </c>
      <c r="P16" s="513">
        <v>124153.072862115</v>
      </c>
      <c r="Q16" s="513">
        <v>79052.044121407802</v>
      </c>
      <c r="R16" s="513">
        <v>19635.6455952957</v>
      </c>
      <c r="S16" s="513">
        <v>1415454.9232493299</v>
      </c>
      <c r="T16" s="513">
        <v>2212389.8336669598</v>
      </c>
      <c r="U16" s="513">
        <v>190496.44035312999</v>
      </c>
      <c r="V16" s="513">
        <v>16642.997942360002</v>
      </c>
      <c r="W16" s="513">
        <v>218384.57625310301</v>
      </c>
      <c r="X16" s="513">
        <f>'Cuenta Ahorro-Inversión-Financi'!DF27/1000</f>
        <v>2637913.8482155506</v>
      </c>
    </row>
    <row r="17" spans="1:24" ht="12" customHeight="1">
      <c r="A17" s="514">
        <v>2013</v>
      </c>
      <c r="B17" s="515">
        <v>194918.84728240801</v>
      </c>
      <c r="C17" s="515">
        <v>7751.5345285830899</v>
      </c>
      <c r="D17" s="515">
        <v>98106.554487319401</v>
      </c>
      <c r="E17" s="515">
        <v>502616.40378660499</v>
      </c>
      <c r="F17" s="515">
        <v>39698.752267526397</v>
      </c>
      <c r="G17" s="515">
        <v>163369.25542195601</v>
      </c>
      <c r="H17" s="515">
        <v>1006461.3477744</v>
      </c>
      <c r="I17" s="515">
        <v>412296.63148918498</v>
      </c>
      <c r="J17" s="515">
        <v>67811.336698678002</v>
      </c>
      <c r="K17" s="515">
        <v>187031.929424045</v>
      </c>
      <c r="L17" s="515">
        <v>120154.42437717599</v>
      </c>
      <c r="M17" s="515">
        <v>320106.83164652699</v>
      </c>
      <c r="N17" s="515">
        <v>240661.512754116</v>
      </c>
      <c r="O17" s="515">
        <v>170754.88926574899</v>
      </c>
      <c r="P17" s="515">
        <v>161554.14359190001</v>
      </c>
      <c r="Q17" s="515">
        <v>99046.267127040599</v>
      </c>
      <c r="R17" s="515">
        <v>25959.623608360402</v>
      </c>
      <c r="S17" s="515">
        <v>1805377.5899827799</v>
      </c>
      <c r="T17" s="515">
        <v>2811838.9377571801</v>
      </c>
      <c r="U17" s="515">
        <v>249006.25115145001</v>
      </c>
      <c r="V17" s="515">
        <v>23550.520857330001</v>
      </c>
      <c r="W17" s="515">
        <v>263912.77846125001</v>
      </c>
      <c r="X17" s="515">
        <f>'Cuenta Ahorro-Inversión-Financi'!DF28/1000</f>
        <v>3348308.4882272054</v>
      </c>
    </row>
    <row r="18" spans="1:24" ht="12" customHeight="1">
      <c r="A18" s="512">
        <v>2014</v>
      </c>
      <c r="B18" s="513">
        <v>296467.59185207199</v>
      </c>
      <c r="C18" s="513">
        <v>10912.903505952299</v>
      </c>
      <c r="D18" s="513">
        <v>170194.97253376999</v>
      </c>
      <c r="E18" s="513">
        <v>676458.29722869804</v>
      </c>
      <c r="F18" s="513">
        <v>52741.8678813769</v>
      </c>
      <c r="G18" s="513">
        <v>212287.73801526599</v>
      </c>
      <c r="H18" s="513">
        <v>1419063.3710171401</v>
      </c>
      <c r="I18" s="513">
        <v>553275.21714818897</v>
      </c>
      <c r="J18" s="513">
        <v>92601.304723292094</v>
      </c>
      <c r="K18" s="513">
        <v>252845.16953888399</v>
      </c>
      <c r="L18" s="513">
        <v>159736.79611497899</v>
      </c>
      <c r="M18" s="513">
        <v>416131.15375056199</v>
      </c>
      <c r="N18" s="513">
        <v>336546.238066438</v>
      </c>
      <c r="O18" s="513">
        <v>228889.50732011601</v>
      </c>
      <c r="P18" s="513">
        <v>220024.75349144801</v>
      </c>
      <c r="Q18" s="513">
        <v>130256.88782170801</v>
      </c>
      <c r="R18" s="513">
        <v>33886.211381815898</v>
      </c>
      <c r="S18" s="513">
        <v>2424193.23935743</v>
      </c>
      <c r="T18" s="513">
        <v>3843256.6103745699</v>
      </c>
      <c r="U18" s="513">
        <v>331202.80735269003</v>
      </c>
      <c r="V18" s="513">
        <v>30058.448407200001</v>
      </c>
      <c r="W18" s="513">
        <v>374568.55927564099</v>
      </c>
      <c r="X18" s="513">
        <f>'Cuenta Ahorro-Inversión-Financi'!DF29/1000</f>
        <v>4579086.4254101003</v>
      </c>
    </row>
    <row r="19" spans="1:24" ht="12" customHeight="1">
      <c r="A19" s="514">
        <v>2015</v>
      </c>
      <c r="B19" s="515">
        <v>282822.34284316603</v>
      </c>
      <c r="C19" s="515">
        <v>13885.935258007001</v>
      </c>
      <c r="D19" s="515">
        <v>191253.108792919</v>
      </c>
      <c r="E19" s="515">
        <v>846937.35793513304</v>
      </c>
      <c r="F19" s="515">
        <v>67296.979027194204</v>
      </c>
      <c r="G19" s="515">
        <v>272256.90234419698</v>
      </c>
      <c r="H19" s="515">
        <v>1674452.6262006201</v>
      </c>
      <c r="I19" s="515">
        <v>706551.40352191299</v>
      </c>
      <c r="J19" s="515">
        <v>125433.79042084199</v>
      </c>
      <c r="K19" s="515">
        <v>325556.96896818501</v>
      </c>
      <c r="L19" s="515">
        <v>202875.53797407899</v>
      </c>
      <c r="M19" s="515">
        <v>569533.90731167805</v>
      </c>
      <c r="N19" s="515">
        <v>469488.24359229801</v>
      </c>
      <c r="O19" s="515">
        <v>314470.42923399998</v>
      </c>
      <c r="P19" s="515">
        <v>298463.80472082802</v>
      </c>
      <c r="Q19" s="515">
        <v>177520.913366778</v>
      </c>
      <c r="R19" s="515">
        <v>44807.958849233197</v>
      </c>
      <c r="S19" s="515">
        <v>3234702.9579598298</v>
      </c>
      <c r="T19" s="515">
        <v>4909155.5841604499</v>
      </c>
      <c r="U19" s="515">
        <v>433076.24098407</v>
      </c>
      <c r="V19" s="515">
        <v>35512.316285280001</v>
      </c>
      <c r="W19" s="515">
        <v>476270.30774862698</v>
      </c>
      <c r="X19" s="515">
        <f>'Cuenta Ahorro-Inversión-Financi'!DF30/1000</f>
        <v>5954510.8956923429</v>
      </c>
    </row>
    <row r="20" spans="1:24" ht="12" customHeight="1">
      <c r="A20" s="512">
        <v>2016</v>
      </c>
      <c r="B20" s="513">
        <v>484140.03169474902</v>
      </c>
      <c r="C20" s="513">
        <v>21980.720161641199</v>
      </c>
      <c r="D20" s="513">
        <v>272029.56108702603</v>
      </c>
      <c r="E20" s="513">
        <v>1113840.67333943</v>
      </c>
      <c r="F20" s="513">
        <v>106903.190220517</v>
      </c>
      <c r="G20" s="513">
        <v>317529.37248717301</v>
      </c>
      <c r="H20" s="513">
        <v>2316423.5489905402</v>
      </c>
      <c r="I20" s="513">
        <v>961250.22174847196</v>
      </c>
      <c r="J20" s="513">
        <v>166253.05476782701</v>
      </c>
      <c r="K20" s="513">
        <v>452172.47029338201</v>
      </c>
      <c r="L20" s="513">
        <v>313813.27224665298</v>
      </c>
      <c r="M20" s="513">
        <v>773119.38980547001</v>
      </c>
      <c r="N20" s="513">
        <v>643046.60501058097</v>
      </c>
      <c r="O20" s="513">
        <v>435212.26524287002</v>
      </c>
      <c r="P20" s="513">
        <v>423612.75101001299</v>
      </c>
      <c r="Q20" s="513">
        <v>238631.122376838</v>
      </c>
      <c r="R20" s="513">
        <v>59655.621966474297</v>
      </c>
      <c r="S20" s="513">
        <v>4466766.7744685803</v>
      </c>
      <c r="T20" s="513">
        <v>6783190.3234591195</v>
      </c>
      <c r="U20" s="513">
        <v>583486.93634567002</v>
      </c>
      <c r="V20" s="513">
        <v>56364.649022110003</v>
      </c>
      <c r="W20" s="513">
        <v>627203.50443370105</v>
      </c>
      <c r="X20" s="513">
        <f>'Cuenta Ahorro-Inversión-Financi'!DF31/1000</f>
        <v>8228159.5565364268</v>
      </c>
    </row>
    <row r="21" spans="1:24" ht="12" customHeight="1">
      <c r="A21" s="514">
        <v>2017</v>
      </c>
      <c r="B21" s="515"/>
      <c r="C21" s="515"/>
      <c r="D21" s="515"/>
      <c r="E21" s="515"/>
      <c r="F21" s="515"/>
      <c r="G21" s="515"/>
      <c r="H21" s="515"/>
      <c r="I21" s="515"/>
      <c r="J21" s="515"/>
      <c r="K21" s="515"/>
      <c r="L21" s="515"/>
      <c r="M21" s="515"/>
      <c r="N21" s="515"/>
      <c r="O21" s="515"/>
      <c r="P21" s="515"/>
      <c r="Q21" s="515"/>
      <c r="R21" s="515"/>
      <c r="S21" s="515"/>
      <c r="T21" s="515"/>
      <c r="U21" s="515"/>
      <c r="V21" s="515"/>
      <c r="W21" s="515"/>
      <c r="X21" s="515">
        <f>'Cuenta Ahorro-Inversión-Financi'!DF32/1000</f>
        <v>10644778.799189042</v>
      </c>
    </row>
    <row r="22" spans="1:24" ht="12" customHeight="1">
      <c r="A22" s="512">
        <v>2018</v>
      </c>
      <c r="B22" s="513"/>
      <c r="C22" s="513"/>
      <c r="D22" s="513"/>
      <c r="E22" s="513"/>
      <c r="F22" s="513"/>
      <c r="G22" s="513"/>
      <c r="H22" s="513"/>
      <c r="I22" s="513"/>
      <c r="J22" s="513"/>
      <c r="K22" s="513"/>
      <c r="L22" s="513"/>
      <c r="M22" s="513"/>
      <c r="N22" s="513"/>
      <c r="O22" s="513"/>
      <c r="P22" s="513"/>
      <c r="Q22" s="513"/>
      <c r="R22" s="513"/>
      <c r="S22" s="513"/>
      <c r="T22" s="513"/>
      <c r="U22" s="513"/>
      <c r="V22" s="513"/>
      <c r="W22" s="513"/>
      <c r="X22" s="513">
        <f>'Cuenta Ahorro-Inversión-Financi'!DF33/1000</f>
        <v>14566558.892138973</v>
      </c>
    </row>
    <row r="23" spans="1:24" ht="12" customHeight="1">
      <c r="A23" s="516"/>
      <c r="B23" s="517"/>
      <c r="C23" s="517"/>
      <c r="D23" s="517"/>
      <c r="E23" s="517"/>
      <c r="F23" s="517"/>
      <c r="G23" s="517"/>
      <c r="H23" s="517"/>
      <c r="I23" s="517"/>
      <c r="J23" s="517"/>
      <c r="K23" s="517"/>
      <c r="L23" s="517"/>
      <c r="M23" s="517"/>
      <c r="N23" s="517"/>
      <c r="O23" s="517"/>
      <c r="P23" s="517"/>
      <c r="Q23" s="517"/>
      <c r="R23" s="517"/>
      <c r="S23" s="517"/>
      <c r="T23" s="517"/>
      <c r="U23" s="517"/>
      <c r="V23" s="517"/>
      <c r="W23" s="517"/>
      <c r="X23" s="517">
        <f>X22*1.51</f>
        <v>21995503.92712985</v>
      </c>
    </row>
    <row r="24" spans="1:24" ht="12" customHeight="1">
      <c r="A24" s="516"/>
      <c r="B24" s="517"/>
      <c r="C24" s="517"/>
      <c r="D24" s="517"/>
      <c r="E24" s="517"/>
      <c r="F24" s="517"/>
      <c r="G24" s="517"/>
      <c r="H24" s="517"/>
      <c r="I24" s="517"/>
      <c r="J24" s="517"/>
      <c r="K24" s="517"/>
      <c r="L24" s="517"/>
      <c r="M24" s="517"/>
      <c r="N24" s="517"/>
      <c r="O24" s="517"/>
      <c r="P24" s="517"/>
      <c r="Q24" s="517"/>
      <c r="R24" s="517"/>
      <c r="S24" s="517"/>
      <c r="T24" s="517"/>
      <c r="U24" s="517"/>
      <c r="V24" s="517"/>
      <c r="W24" s="517"/>
      <c r="X24" s="517"/>
    </row>
    <row r="25" spans="1:24" ht="12" customHeight="1">
      <c r="A25" s="516"/>
      <c r="B25" s="517"/>
      <c r="C25" s="517"/>
      <c r="D25" s="517"/>
      <c r="E25" s="517"/>
      <c r="F25" s="517"/>
      <c r="G25" s="517"/>
      <c r="H25" s="517"/>
      <c r="I25" s="517"/>
      <c r="J25" s="517"/>
      <c r="K25" s="517"/>
      <c r="L25" s="517"/>
      <c r="M25" s="517"/>
      <c r="N25" s="517"/>
      <c r="O25" s="517"/>
      <c r="P25" s="517"/>
      <c r="Q25" s="517"/>
      <c r="R25" s="517"/>
      <c r="S25" s="517"/>
      <c r="T25" s="517"/>
      <c r="U25" s="517"/>
      <c r="V25" s="517"/>
      <c r="W25" s="517"/>
      <c r="X25" s="517"/>
    </row>
    <row r="26" spans="1:24" ht="12" customHeight="1">
      <c r="A26" s="516"/>
      <c r="B26" s="517"/>
      <c r="C26" s="517"/>
      <c r="D26" s="517"/>
      <c r="E26" s="517"/>
      <c r="F26" s="517"/>
      <c r="G26" s="517"/>
      <c r="H26" s="517"/>
      <c r="I26" s="517"/>
      <c r="J26" s="517"/>
      <c r="K26" s="517"/>
      <c r="L26" s="517"/>
      <c r="M26" s="517"/>
      <c r="N26" s="517"/>
      <c r="O26" s="517"/>
      <c r="P26" s="517"/>
      <c r="Q26" s="517"/>
      <c r="R26" s="517"/>
      <c r="S26" s="517"/>
      <c r="T26" s="517"/>
      <c r="U26" s="517"/>
      <c r="V26" s="517"/>
      <c r="W26" s="517"/>
      <c r="X26" s="517"/>
    </row>
    <row r="27" spans="1:24" ht="12" customHeight="1">
      <c r="A27" s="516"/>
      <c r="B27" s="517"/>
      <c r="C27" s="517"/>
      <c r="D27" s="517"/>
      <c r="E27" s="517"/>
      <c r="F27" s="517"/>
      <c r="G27" s="517"/>
      <c r="H27" s="517"/>
      <c r="I27" s="517"/>
      <c r="J27" s="517"/>
      <c r="K27" s="517"/>
      <c r="L27" s="517"/>
      <c r="M27" s="517"/>
      <c r="N27" s="517"/>
      <c r="O27" s="517"/>
      <c r="P27" s="517"/>
      <c r="Q27" s="517"/>
      <c r="R27" s="517"/>
      <c r="S27" s="517"/>
      <c r="T27" s="517"/>
      <c r="U27" s="517"/>
      <c r="V27" s="517"/>
      <c r="W27" s="517"/>
      <c r="X27" s="517"/>
    </row>
    <row r="28" spans="1:24" ht="12" customHeight="1">
      <c r="A28" s="516"/>
      <c r="B28" s="517"/>
      <c r="C28" s="517"/>
      <c r="D28" s="517"/>
      <c r="E28" s="517"/>
      <c r="F28" s="517"/>
      <c r="G28" s="517"/>
      <c r="H28" s="517"/>
      <c r="I28" s="517"/>
      <c r="J28" s="517"/>
      <c r="K28" s="517"/>
      <c r="L28" s="517"/>
      <c r="M28" s="517"/>
      <c r="N28" s="517"/>
      <c r="O28" s="517"/>
      <c r="P28" s="517"/>
      <c r="Q28" s="517"/>
      <c r="R28" s="517"/>
      <c r="S28" s="517"/>
      <c r="T28" s="517"/>
      <c r="U28" s="517"/>
      <c r="V28" s="517"/>
      <c r="W28" s="517"/>
      <c r="X28" s="517"/>
    </row>
    <row r="29" spans="1:24" ht="12" customHeight="1">
      <c r="A29" s="516"/>
      <c r="B29" s="517"/>
      <c r="C29" s="517"/>
      <c r="D29" s="517"/>
      <c r="E29" s="517"/>
      <c r="F29" s="517"/>
      <c r="G29" s="517"/>
      <c r="H29" s="517"/>
      <c r="I29" s="517"/>
      <c r="J29" s="517"/>
      <c r="K29" s="517"/>
      <c r="L29" s="517"/>
      <c r="M29" s="517"/>
      <c r="N29" s="517"/>
      <c r="O29" s="517"/>
      <c r="P29" s="517"/>
      <c r="Q29" s="517"/>
      <c r="R29" s="517"/>
      <c r="S29" s="517"/>
      <c r="T29" s="517"/>
      <c r="U29" s="517"/>
      <c r="V29" s="517"/>
      <c r="W29" s="517"/>
      <c r="X29" s="517"/>
    </row>
    <row r="40" spans="1:24" ht="12" customHeight="1">
      <c r="A40" s="518" t="s">
        <v>619</v>
      </c>
      <c r="B40" s="519">
        <v>31421.9764066352</v>
      </c>
      <c r="C40" s="519">
        <v>1236.0885400484301</v>
      </c>
      <c r="D40" s="519">
        <v>21667.215975608098</v>
      </c>
      <c r="E40" s="519">
        <v>82878.121605345805</v>
      </c>
      <c r="F40" s="519">
        <v>7595.8144602822904</v>
      </c>
      <c r="G40" s="519">
        <v>13856.866762728499</v>
      </c>
      <c r="H40" s="519">
        <v>158656.08375064799</v>
      </c>
      <c r="I40" s="519">
        <v>57036.235753079098</v>
      </c>
      <c r="J40" s="519">
        <v>9098.3942506314306</v>
      </c>
      <c r="K40" s="519">
        <v>27835.2114523249</v>
      </c>
      <c r="L40" s="519">
        <v>13660.4375156393</v>
      </c>
      <c r="M40" s="519">
        <v>47316.402773585804</v>
      </c>
      <c r="N40" s="519">
        <v>19955.579293123101</v>
      </c>
      <c r="O40" s="519">
        <v>15938.578408528499</v>
      </c>
      <c r="P40" s="519">
        <v>11594.421809346601</v>
      </c>
      <c r="Q40" s="519">
        <v>11555.504027950201</v>
      </c>
      <c r="R40" s="519">
        <v>2979.0264937318898</v>
      </c>
      <c r="S40" s="519">
        <v>216969.79177794099</v>
      </c>
      <c r="T40" s="519">
        <v>375625.87552858901</v>
      </c>
      <c r="U40" s="519">
        <v>27780.80822952</v>
      </c>
      <c r="V40" s="519">
        <v>2705.4046422000001</v>
      </c>
      <c r="W40" s="519">
        <v>33083.776599863399</v>
      </c>
      <c r="X40" s="519">
        <v>439195.86500017298</v>
      </c>
    </row>
    <row r="41" spans="1:24" ht="12" customHeight="1">
      <c r="A41" s="520" t="s">
        <v>620</v>
      </c>
      <c r="B41" s="521">
        <v>66759.821955365507</v>
      </c>
      <c r="C41" s="521">
        <v>2159.6421489971799</v>
      </c>
      <c r="D41" s="521">
        <v>23923.5445905583</v>
      </c>
      <c r="E41" s="521">
        <v>90585.877255967906</v>
      </c>
      <c r="F41" s="521">
        <v>8859.5754580022694</v>
      </c>
      <c r="G41" s="521">
        <v>14331.3745005034</v>
      </c>
      <c r="H41" s="521">
        <v>206619.83590939501</v>
      </c>
      <c r="I41" s="521">
        <v>60357.424419729898</v>
      </c>
      <c r="J41" s="521">
        <v>6037.5533930248403</v>
      </c>
      <c r="K41" s="521">
        <v>30468.0833360572</v>
      </c>
      <c r="L41" s="521">
        <v>15947.331139800501</v>
      </c>
      <c r="M41" s="521">
        <v>51777.574821890201</v>
      </c>
      <c r="N41" s="521">
        <v>20633.805521850001</v>
      </c>
      <c r="O41" s="521">
        <v>16092.558213971701</v>
      </c>
      <c r="P41" s="521">
        <v>13433.942094641699</v>
      </c>
      <c r="Q41" s="521">
        <v>12210.188901145601</v>
      </c>
      <c r="R41" s="521">
        <v>3033.1503419143801</v>
      </c>
      <c r="S41" s="521">
        <v>229991.61218402599</v>
      </c>
      <c r="T41" s="521">
        <v>436611.448093421</v>
      </c>
      <c r="U41" s="521">
        <v>30680.241993488002</v>
      </c>
      <c r="V41" s="521">
        <v>3120.52485308</v>
      </c>
      <c r="W41" s="521">
        <v>39086.448306894497</v>
      </c>
      <c r="X41" s="521">
        <v>509498.66324688302</v>
      </c>
    </row>
    <row r="42" spans="1:24" ht="12" customHeight="1">
      <c r="A42" s="518" t="s">
        <v>621</v>
      </c>
      <c r="B42" s="519">
        <v>28050.016193281699</v>
      </c>
      <c r="C42" s="519">
        <v>1324.97596269925</v>
      </c>
      <c r="D42" s="519">
        <v>25879.9564189466</v>
      </c>
      <c r="E42" s="519">
        <v>94949.753069828599</v>
      </c>
      <c r="F42" s="519">
        <v>9460.2180776437799</v>
      </c>
      <c r="G42" s="519">
        <v>15454.411711954001</v>
      </c>
      <c r="H42" s="519">
        <v>175119.33143435401</v>
      </c>
      <c r="I42" s="519">
        <v>60996.714677801603</v>
      </c>
      <c r="J42" s="519">
        <v>6105.1465443674697</v>
      </c>
      <c r="K42" s="519">
        <v>29502.227715644301</v>
      </c>
      <c r="L42" s="519">
        <v>15474.632752684</v>
      </c>
      <c r="M42" s="519">
        <v>54858.080290649203</v>
      </c>
      <c r="N42" s="519">
        <v>22128.206804137</v>
      </c>
      <c r="O42" s="519">
        <v>17696.696505372602</v>
      </c>
      <c r="P42" s="519">
        <v>13970.5422479545</v>
      </c>
      <c r="Q42" s="519">
        <v>12498.993467202799</v>
      </c>
      <c r="R42" s="519">
        <v>2973.6200455438602</v>
      </c>
      <c r="S42" s="519">
        <v>236204.861051357</v>
      </c>
      <c r="T42" s="519">
        <v>411324.19248571101</v>
      </c>
      <c r="U42" s="519">
        <v>33774.368264440003</v>
      </c>
      <c r="V42" s="519">
        <v>3547.3596535199999</v>
      </c>
      <c r="W42" s="519">
        <v>39816.462187512101</v>
      </c>
      <c r="X42" s="519">
        <v>488462.38259118301</v>
      </c>
    </row>
    <row r="43" spans="1:24" ht="12" customHeight="1">
      <c r="A43" s="520" t="s">
        <v>622</v>
      </c>
      <c r="B43" s="521">
        <v>30268.975897087101</v>
      </c>
      <c r="C43" s="521">
        <v>1049.2757573377601</v>
      </c>
      <c r="D43" s="521">
        <v>25816.506292065202</v>
      </c>
      <c r="E43" s="521">
        <v>99051.570029141003</v>
      </c>
      <c r="F43" s="521">
        <v>8894.0143112549795</v>
      </c>
      <c r="G43" s="521">
        <v>15976.248582812999</v>
      </c>
      <c r="H43" s="521">
        <v>181056.59086969899</v>
      </c>
      <c r="I43" s="521">
        <v>61748.006919505002</v>
      </c>
      <c r="J43" s="521">
        <v>6503.0428021617099</v>
      </c>
      <c r="K43" s="521">
        <v>31354.078075745099</v>
      </c>
      <c r="L43" s="521">
        <v>15235.233553591101</v>
      </c>
      <c r="M43" s="521">
        <v>58385.4050526953</v>
      </c>
      <c r="N43" s="521">
        <v>23622.626308467399</v>
      </c>
      <c r="O43" s="521">
        <v>18501.762669481799</v>
      </c>
      <c r="P43" s="521">
        <v>13806.507756494</v>
      </c>
      <c r="Q43" s="521">
        <v>12749.470058741501</v>
      </c>
      <c r="R43" s="521">
        <v>3185.5973592676701</v>
      </c>
      <c r="S43" s="521">
        <v>245091.73055615</v>
      </c>
      <c r="T43" s="521">
        <v>426148.32142584899</v>
      </c>
      <c r="U43" s="521">
        <v>31672.378007480002</v>
      </c>
      <c r="V43" s="521">
        <v>3628.5246417200001</v>
      </c>
      <c r="W43" s="521">
        <v>41854.643985729897</v>
      </c>
      <c r="X43" s="521">
        <v>503303.868060779</v>
      </c>
    </row>
    <row r="44" spans="1:24" ht="12" customHeight="1">
      <c r="A44" s="518" t="s">
        <v>623</v>
      </c>
      <c r="B44" s="519">
        <v>35483.001921794901</v>
      </c>
      <c r="C44" s="519">
        <v>1917.42910618513</v>
      </c>
      <c r="D44" s="519">
        <v>23859.156438586899</v>
      </c>
      <c r="E44" s="519">
        <v>96710.443721087096</v>
      </c>
      <c r="F44" s="519">
        <v>9479.6055382716895</v>
      </c>
      <c r="G44" s="519">
        <v>18521.208718940801</v>
      </c>
      <c r="H44" s="519">
        <v>185970.84544486599</v>
      </c>
      <c r="I44" s="519">
        <v>66912.247327713194</v>
      </c>
      <c r="J44" s="519">
        <v>9202.6000422141205</v>
      </c>
      <c r="K44" s="519">
        <v>32910.491485885002</v>
      </c>
      <c r="L44" s="519">
        <v>17516.005412904298</v>
      </c>
      <c r="M44" s="519">
        <v>45634.155526685201</v>
      </c>
      <c r="N44" s="519">
        <v>24972.764306940699</v>
      </c>
      <c r="O44" s="519">
        <v>19231.682238187499</v>
      </c>
      <c r="P44" s="519">
        <v>14290.0627769039</v>
      </c>
      <c r="Q44" s="519">
        <v>13818.585487418401</v>
      </c>
      <c r="R44" s="519">
        <v>3614.9236611543001</v>
      </c>
      <c r="S44" s="519">
        <v>248103.51826600701</v>
      </c>
      <c r="T44" s="519">
        <v>434074.363710873</v>
      </c>
      <c r="U44" s="519">
        <v>33006.13073076</v>
      </c>
      <c r="V44" s="519">
        <v>3208.0700018799998</v>
      </c>
      <c r="W44" s="519">
        <v>40414.862571603298</v>
      </c>
      <c r="X44" s="519">
        <v>510703.42701511597</v>
      </c>
    </row>
    <row r="45" spans="1:24" ht="12" customHeight="1">
      <c r="A45" s="520" t="s">
        <v>624</v>
      </c>
      <c r="B45" s="521">
        <v>70909.116102700005</v>
      </c>
      <c r="C45" s="521">
        <v>2633.9219949608901</v>
      </c>
      <c r="D45" s="521">
        <v>27978.149183175399</v>
      </c>
      <c r="E45" s="521">
        <v>106323.420940789</v>
      </c>
      <c r="F45" s="521">
        <v>10574.395039474901</v>
      </c>
      <c r="G45" s="521">
        <v>20043.100214701601</v>
      </c>
      <c r="H45" s="521">
        <v>238462.103475802</v>
      </c>
      <c r="I45" s="521">
        <v>72818.949802958494</v>
      </c>
      <c r="J45" s="521">
        <v>7670.0207671754397</v>
      </c>
      <c r="K45" s="521">
        <v>37553.255138055203</v>
      </c>
      <c r="L45" s="521">
        <v>18255.8514850313</v>
      </c>
      <c r="M45" s="521">
        <v>61648.735171238899</v>
      </c>
      <c r="N45" s="521">
        <v>25957.6319280352</v>
      </c>
      <c r="O45" s="521">
        <v>20629.8296914536</v>
      </c>
      <c r="P45" s="521">
        <v>16578.848646631701</v>
      </c>
      <c r="Q45" s="521">
        <v>14701.353087052001</v>
      </c>
      <c r="R45" s="521">
        <v>3539.8015971074701</v>
      </c>
      <c r="S45" s="521">
        <v>279354.27731473901</v>
      </c>
      <c r="T45" s="521">
        <v>517816.38079054101</v>
      </c>
      <c r="U45" s="521">
        <v>36710.502726879997</v>
      </c>
      <c r="V45" s="521">
        <v>3724.8147715999999</v>
      </c>
      <c r="W45" s="521">
        <v>47520.077557488999</v>
      </c>
      <c r="X45" s="521">
        <v>605771.77584650996</v>
      </c>
    </row>
    <row r="46" spans="1:24" ht="12" customHeight="1">
      <c r="A46" s="518" t="s">
        <v>625</v>
      </c>
      <c r="B46" s="519">
        <v>34028.264590269602</v>
      </c>
      <c r="C46" s="519">
        <v>973.212657876913</v>
      </c>
      <c r="D46" s="519">
        <v>30311.1710417336</v>
      </c>
      <c r="E46" s="519">
        <v>108491.37035152</v>
      </c>
      <c r="F46" s="519">
        <v>11648.483699230899</v>
      </c>
      <c r="G46" s="519">
        <v>21193.503968053799</v>
      </c>
      <c r="H46" s="519">
        <v>206646.006308685</v>
      </c>
      <c r="I46" s="519">
        <v>73347.899238250597</v>
      </c>
      <c r="J46" s="519">
        <v>9744.9616584120595</v>
      </c>
      <c r="K46" s="519">
        <v>36422.050275732203</v>
      </c>
      <c r="L46" s="519">
        <v>19003.341989645502</v>
      </c>
      <c r="M46" s="519">
        <v>67000.303770058701</v>
      </c>
      <c r="N46" s="519">
        <v>27847.489109472499</v>
      </c>
      <c r="O46" s="519">
        <v>22464.716407376502</v>
      </c>
      <c r="P46" s="519">
        <v>17039.833100865399</v>
      </c>
      <c r="Q46" s="519">
        <v>15807.143883250699</v>
      </c>
      <c r="R46" s="519">
        <v>3565.0447707650901</v>
      </c>
      <c r="S46" s="519">
        <v>292242.78420382901</v>
      </c>
      <c r="T46" s="519">
        <v>498888.79051251401</v>
      </c>
      <c r="U46" s="519">
        <v>38827.053910559996</v>
      </c>
      <c r="V46" s="519">
        <v>4132.0284224799998</v>
      </c>
      <c r="W46" s="519">
        <v>48371.686297074899</v>
      </c>
      <c r="X46" s="519">
        <v>590219.55914262903</v>
      </c>
    </row>
    <row r="47" spans="1:24" ht="12" customHeight="1">
      <c r="A47" s="520" t="s">
        <v>626</v>
      </c>
      <c r="B47" s="521">
        <v>37898.697586665199</v>
      </c>
      <c r="C47" s="521">
        <v>1141.4524260841099</v>
      </c>
      <c r="D47" s="521">
        <v>33201.181769923198</v>
      </c>
      <c r="E47" s="521">
        <v>115834.460428509</v>
      </c>
      <c r="F47" s="521">
        <v>10712.8994327294</v>
      </c>
      <c r="G47" s="521">
        <v>22154.276798081399</v>
      </c>
      <c r="H47" s="521">
        <v>220942.96844199201</v>
      </c>
      <c r="I47" s="521">
        <v>75802.156797052507</v>
      </c>
      <c r="J47" s="521">
        <v>10168.877273235799</v>
      </c>
      <c r="K47" s="521">
        <v>38395.205008743796</v>
      </c>
      <c r="L47" s="521">
        <v>20201.0812401484</v>
      </c>
      <c r="M47" s="521">
        <v>71893.377473866407</v>
      </c>
      <c r="N47" s="521">
        <v>31186.927771103899</v>
      </c>
      <c r="O47" s="521">
        <v>24873.158408387601</v>
      </c>
      <c r="P47" s="521">
        <v>17357.5966962649</v>
      </c>
      <c r="Q47" s="521">
        <v>16522.949487136699</v>
      </c>
      <c r="R47" s="521">
        <v>3699.3245078559098</v>
      </c>
      <c r="S47" s="521">
        <v>310100.65466379601</v>
      </c>
      <c r="T47" s="521">
        <v>531043.62310578802</v>
      </c>
      <c r="U47" s="521">
        <v>38868.800218479999</v>
      </c>
      <c r="V47" s="521">
        <v>4441.34011164</v>
      </c>
      <c r="W47" s="521">
        <v>49104.166308935099</v>
      </c>
      <c r="X47" s="521">
        <v>623457.92974484304</v>
      </c>
    </row>
    <row r="48" spans="1:24" ht="12" customHeight="1">
      <c r="A48" s="518" t="s">
        <v>627</v>
      </c>
      <c r="B48" s="519">
        <v>39588.145427645701</v>
      </c>
      <c r="C48" s="519">
        <v>2763.0494501858502</v>
      </c>
      <c r="D48" s="519">
        <v>37371.320912438699</v>
      </c>
      <c r="E48" s="519">
        <v>114644.306752128</v>
      </c>
      <c r="F48" s="519">
        <v>10472.130758797201</v>
      </c>
      <c r="G48" s="519">
        <v>26135.158010980998</v>
      </c>
      <c r="H48" s="519">
        <v>230974.11131217601</v>
      </c>
      <c r="I48" s="519">
        <v>82383.289709256904</v>
      </c>
      <c r="J48" s="519">
        <v>12614.1944150074</v>
      </c>
      <c r="K48" s="519">
        <v>41058.797982059099</v>
      </c>
      <c r="L48" s="519">
        <v>21380.549323048101</v>
      </c>
      <c r="M48" s="519">
        <v>64554.801866551999</v>
      </c>
      <c r="N48" s="519">
        <v>31784.499677440799</v>
      </c>
      <c r="O48" s="519">
        <v>24843.349100683299</v>
      </c>
      <c r="P48" s="519">
        <v>18245.298226953</v>
      </c>
      <c r="Q48" s="519">
        <v>17176.428839017299</v>
      </c>
      <c r="R48" s="519">
        <v>4248.3393972880403</v>
      </c>
      <c r="S48" s="519">
        <v>318289.54853730602</v>
      </c>
      <c r="T48" s="519">
        <v>549263.65984948201</v>
      </c>
      <c r="U48" s="519">
        <v>42007.15496036</v>
      </c>
      <c r="V48" s="519">
        <v>4547.0914227200001</v>
      </c>
      <c r="W48" s="519">
        <v>47744.473354498601</v>
      </c>
      <c r="X48" s="519">
        <v>643562.379587061</v>
      </c>
    </row>
    <row r="49" spans="1:24" ht="12" customHeight="1">
      <c r="A49" s="520" t="s">
        <v>628</v>
      </c>
      <c r="B49" s="521">
        <v>71886.857107026604</v>
      </c>
      <c r="C49" s="521">
        <v>3382.6892031396801</v>
      </c>
      <c r="D49" s="521">
        <v>42425.061901364403</v>
      </c>
      <c r="E49" s="521">
        <v>126623.220362654</v>
      </c>
      <c r="F49" s="521">
        <v>11726.550344896101</v>
      </c>
      <c r="G49" s="521">
        <v>26960.6938572709</v>
      </c>
      <c r="H49" s="521">
        <v>283005.072776352</v>
      </c>
      <c r="I49" s="521">
        <v>88092.177129699106</v>
      </c>
      <c r="J49" s="521">
        <v>10442.129669645599</v>
      </c>
      <c r="K49" s="521">
        <v>45549.784293027697</v>
      </c>
      <c r="L49" s="521">
        <v>21869.588064618601</v>
      </c>
      <c r="M49" s="521">
        <v>70815.501406378098</v>
      </c>
      <c r="N49" s="521">
        <v>34131.372400238099</v>
      </c>
      <c r="O49" s="521">
        <v>27329.374267239298</v>
      </c>
      <c r="P49" s="521">
        <v>21057.831820968098</v>
      </c>
      <c r="Q49" s="521">
        <v>18922.527508480001</v>
      </c>
      <c r="R49" s="521">
        <v>4213.6344637304101</v>
      </c>
      <c r="S49" s="521">
        <v>342423.92102402501</v>
      </c>
      <c r="T49" s="521">
        <v>625428.99380037701</v>
      </c>
      <c r="U49" s="521">
        <v>44613.792962959997</v>
      </c>
      <c r="V49" s="521">
        <v>4807.3104753999996</v>
      </c>
      <c r="W49" s="521">
        <v>53139.0900281742</v>
      </c>
      <c r="X49" s="521">
        <v>727989.18726691103</v>
      </c>
    </row>
    <row r="50" spans="1:24" ht="12" customHeight="1">
      <c r="A50" s="518" t="s">
        <v>629</v>
      </c>
      <c r="B50" s="519">
        <v>35888.292254189597</v>
      </c>
      <c r="C50" s="519">
        <v>2431.9788254468199</v>
      </c>
      <c r="D50" s="519">
        <v>43688.245140556399</v>
      </c>
      <c r="E50" s="519">
        <v>132929.86852165</v>
      </c>
      <c r="F50" s="519">
        <v>12780.206825888001</v>
      </c>
      <c r="G50" s="519">
        <v>29699.2190350237</v>
      </c>
      <c r="H50" s="519">
        <v>257417.81060275499</v>
      </c>
      <c r="I50" s="519">
        <v>91627.024384714096</v>
      </c>
      <c r="J50" s="519">
        <v>12245.624651714101</v>
      </c>
      <c r="K50" s="519">
        <v>44995.642652305498</v>
      </c>
      <c r="L50" s="519">
        <v>22504.974001767099</v>
      </c>
      <c r="M50" s="519">
        <v>76364.567979413405</v>
      </c>
      <c r="N50" s="519">
        <v>35272.297233588703</v>
      </c>
      <c r="O50" s="519">
        <v>28756.3534565675</v>
      </c>
      <c r="P50" s="519">
        <v>21604.028173820501</v>
      </c>
      <c r="Q50" s="519">
        <v>20063.755560178099</v>
      </c>
      <c r="R50" s="519">
        <v>4518.0308208131901</v>
      </c>
      <c r="S50" s="519">
        <v>357952.29891488201</v>
      </c>
      <c r="T50" s="519">
        <v>615370.10951763706</v>
      </c>
      <c r="U50" s="519">
        <v>48562.049553279998</v>
      </c>
      <c r="V50" s="519">
        <v>5433.8456212800002</v>
      </c>
      <c r="W50" s="519">
        <v>59933.493313998697</v>
      </c>
      <c r="X50" s="519">
        <v>729299.49800619599</v>
      </c>
    </row>
    <row r="51" spans="1:24" ht="12" customHeight="1">
      <c r="A51" s="520" t="s">
        <v>630</v>
      </c>
      <c r="B51" s="521">
        <v>41008.855391062098</v>
      </c>
      <c r="C51" s="521">
        <v>1658.3656182490699</v>
      </c>
      <c r="D51" s="521">
        <v>40480.178711956003</v>
      </c>
      <c r="E51" s="521">
        <v>137754.16402579501</v>
      </c>
      <c r="F51" s="521">
        <v>11683.639874071299</v>
      </c>
      <c r="G51" s="521">
        <v>30896.141323795699</v>
      </c>
      <c r="H51" s="521">
        <v>263481.34494492901</v>
      </c>
      <c r="I51" s="521">
        <v>94146.181664882999</v>
      </c>
      <c r="J51" s="521">
        <v>12439.3797855144</v>
      </c>
      <c r="K51" s="521">
        <v>46641.479266095397</v>
      </c>
      <c r="L51" s="521">
        <v>25503.289714121001</v>
      </c>
      <c r="M51" s="521">
        <v>81561.627612363794</v>
      </c>
      <c r="N51" s="521">
        <v>39064.748954790499</v>
      </c>
      <c r="O51" s="521">
        <v>31041.901979426199</v>
      </c>
      <c r="P51" s="521">
        <v>21416.226364825801</v>
      </c>
      <c r="Q51" s="521">
        <v>20316.672184702002</v>
      </c>
      <c r="R51" s="521">
        <v>5191.2366159163203</v>
      </c>
      <c r="S51" s="521">
        <v>377322.744142638</v>
      </c>
      <c r="T51" s="521">
        <v>640804.08908756694</v>
      </c>
      <c r="U51" s="521">
        <v>53234.238964479999</v>
      </c>
      <c r="V51" s="521">
        <v>5767.7394150399996</v>
      </c>
      <c r="W51" s="521">
        <v>62959.954608139102</v>
      </c>
      <c r="X51" s="521">
        <v>762766.02207522595</v>
      </c>
    </row>
    <row r="52" spans="1:24" ht="12" customHeight="1">
      <c r="A52" s="518" t="s">
        <v>631</v>
      </c>
      <c r="B52" s="519">
        <v>47091.855040836301</v>
      </c>
      <c r="C52" s="519">
        <v>2776.2606809351601</v>
      </c>
      <c r="D52" s="519">
        <v>35372.524723325398</v>
      </c>
      <c r="E52" s="519">
        <v>131847.997504422</v>
      </c>
      <c r="F52" s="519">
        <v>12157.5802196026</v>
      </c>
      <c r="G52" s="519">
        <v>34202.802896109701</v>
      </c>
      <c r="H52" s="519">
        <v>263449.02106523101</v>
      </c>
      <c r="I52" s="519">
        <v>101206.104708443</v>
      </c>
      <c r="J52" s="519">
        <v>15981.1830047328</v>
      </c>
      <c r="K52" s="519">
        <v>49740.535916270499</v>
      </c>
      <c r="L52" s="519">
        <v>26524.0066817882</v>
      </c>
      <c r="M52" s="519">
        <v>77398.600373850903</v>
      </c>
      <c r="N52" s="519">
        <v>39930.4934102025</v>
      </c>
      <c r="O52" s="519">
        <v>31879.097258984701</v>
      </c>
      <c r="P52" s="519">
        <v>23531.473177498599</v>
      </c>
      <c r="Q52" s="519">
        <v>21703.882570273199</v>
      </c>
      <c r="R52" s="519">
        <v>5167.5188744001798</v>
      </c>
      <c r="S52" s="519">
        <v>393062.89597644401</v>
      </c>
      <c r="T52" s="519">
        <v>656511.91704167495</v>
      </c>
      <c r="U52" s="519">
        <v>53587.98474</v>
      </c>
      <c r="V52" s="519">
        <v>5941.7155884800004</v>
      </c>
      <c r="W52" s="519">
        <v>58346.170471121302</v>
      </c>
      <c r="X52" s="519">
        <v>774387.78784127696</v>
      </c>
    </row>
    <row r="53" spans="1:24" ht="12" customHeight="1">
      <c r="A53" s="520" t="s">
        <v>632</v>
      </c>
      <c r="B53" s="521">
        <v>102532.492996863</v>
      </c>
      <c r="C53" s="521">
        <v>3469.1389121208099</v>
      </c>
      <c r="D53" s="521">
        <v>37909.511061381199</v>
      </c>
      <c r="E53" s="521">
        <v>147633.197268196</v>
      </c>
      <c r="F53" s="521">
        <v>15099.440711020299</v>
      </c>
      <c r="G53" s="521">
        <v>37107.281785048799</v>
      </c>
      <c r="H53" s="521">
        <v>343751.06273463002</v>
      </c>
      <c r="I53" s="521">
        <v>110045.845513894</v>
      </c>
      <c r="J53" s="521">
        <v>13469.3186726843</v>
      </c>
      <c r="K53" s="521">
        <v>57025.126518368699</v>
      </c>
      <c r="L53" s="521">
        <v>27134.079006251199</v>
      </c>
      <c r="M53" s="521">
        <v>85989.982474397504</v>
      </c>
      <c r="N53" s="521">
        <v>44653.712159688199</v>
      </c>
      <c r="O53" s="521">
        <v>35399.399769028598</v>
      </c>
      <c r="P53" s="521">
        <v>28373.268286721799</v>
      </c>
      <c r="Q53" s="521">
        <v>22611.569685648501</v>
      </c>
      <c r="R53" s="521">
        <v>5369.9720324611799</v>
      </c>
      <c r="S53" s="521">
        <v>430072.27411914401</v>
      </c>
      <c r="T53" s="521">
        <v>773823.33685377298</v>
      </c>
      <c r="U53" s="521">
        <v>57907.393668440003</v>
      </c>
      <c r="V53" s="521">
        <v>6174.0995175600001</v>
      </c>
      <c r="W53" s="521">
        <v>66445.558053307206</v>
      </c>
      <c r="X53" s="521">
        <v>904350.38809308095</v>
      </c>
    </row>
    <row r="54" spans="1:24" ht="12" customHeight="1">
      <c r="A54" s="518" t="s">
        <v>633</v>
      </c>
      <c r="B54" s="519">
        <v>47773.923891097496</v>
      </c>
      <c r="C54" s="519">
        <v>1709.95865095056</v>
      </c>
      <c r="D54" s="519">
        <v>40219.850922193997</v>
      </c>
      <c r="E54" s="519">
        <v>157883.96872120499</v>
      </c>
      <c r="F54" s="519">
        <v>16206.072045004201</v>
      </c>
      <c r="G54" s="519">
        <v>42304.493008075398</v>
      </c>
      <c r="H54" s="519">
        <v>306098.26723852602</v>
      </c>
      <c r="I54" s="519">
        <v>121888.86560400701</v>
      </c>
      <c r="J54" s="519">
        <v>15844.0263160249</v>
      </c>
      <c r="K54" s="519">
        <v>55927.997096793399</v>
      </c>
      <c r="L54" s="519">
        <v>29098.1775982037</v>
      </c>
      <c r="M54" s="519">
        <v>93355.550554235902</v>
      </c>
      <c r="N54" s="519">
        <v>47704.7930569542</v>
      </c>
      <c r="O54" s="519">
        <v>38020.117323388702</v>
      </c>
      <c r="P54" s="519">
        <v>28125.007096724301</v>
      </c>
      <c r="Q54" s="519">
        <v>25843.094013351802</v>
      </c>
      <c r="R54" s="519">
        <v>5641.0047975991602</v>
      </c>
      <c r="S54" s="519">
        <v>461448.63345728302</v>
      </c>
      <c r="T54" s="519">
        <v>767546.90069580998</v>
      </c>
      <c r="U54" s="519">
        <v>66936.505284440005</v>
      </c>
      <c r="V54" s="519">
        <v>7473.4574837706796</v>
      </c>
      <c r="W54" s="519">
        <v>72147.103937898995</v>
      </c>
      <c r="X54" s="519">
        <v>914103.96740191896</v>
      </c>
    </row>
    <row r="55" spans="1:24" ht="12" customHeight="1">
      <c r="A55" s="520" t="s">
        <v>634</v>
      </c>
      <c r="B55" s="521">
        <v>60668.890855079102</v>
      </c>
      <c r="C55" s="521">
        <v>1362.0285178326999</v>
      </c>
      <c r="D55" s="521">
        <v>43462.934979230296</v>
      </c>
      <c r="E55" s="521">
        <v>174282.583613675</v>
      </c>
      <c r="F55" s="521">
        <v>14039.556132875599</v>
      </c>
      <c r="G55" s="521">
        <v>43907.135450545698</v>
      </c>
      <c r="H55" s="521">
        <v>337723.12954923901</v>
      </c>
      <c r="I55" s="521">
        <v>126980.66921326199</v>
      </c>
      <c r="J55" s="521">
        <v>17004.553417911498</v>
      </c>
      <c r="K55" s="521">
        <v>59638.9746383085</v>
      </c>
      <c r="L55" s="521">
        <v>31833.911267595999</v>
      </c>
      <c r="M55" s="521">
        <v>102623.485448967</v>
      </c>
      <c r="N55" s="521">
        <v>52370.187458141401</v>
      </c>
      <c r="O55" s="521">
        <v>41170.615078936098</v>
      </c>
      <c r="P55" s="521">
        <v>28532.434533925501</v>
      </c>
      <c r="Q55" s="521">
        <v>25403.408584108602</v>
      </c>
      <c r="R55" s="521">
        <v>6177.6032224891997</v>
      </c>
      <c r="S55" s="521">
        <v>491735.84286364599</v>
      </c>
      <c r="T55" s="521">
        <v>829458.97241288505</v>
      </c>
      <c r="U55" s="521">
        <v>72245.386758280001</v>
      </c>
      <c r="V55" s="521">
        <v>8471.8944282800003</v>
      </c>
      <c r="W55" s="521">
        <v>84902.299351890906</v>
      </c>
      <c r="X55" s="521">
        <v>995078.55295133602</v>
      </c>
    </row>
    <row r="56" spans="1:24" ht="12" customHeight="1">
      <c r="A56" s="518" t="s">
        <v>635</v>
      </c>
      <c r="B56" s="519">
        <v>65889.476414412595</v>
      </c>
      <c r="C56" s="519">
        <v>2478.0928633968301</v>
      </c>
      <c r="D56" s="519">
        <v>42522.989601724999</v>
      </c>
      <c r="E56" s="519">
        <v>169758.02643433801</v>
      </c>
      <c r="F56" s="519">
        <v>17863.398213716398</v>
      </c>
      <c r="G56" s="519">
        <v>49906.1996499335</v>
      </c>
      <c r="H56" s="519">
        <v>348418.18317752198</v>
      </c>
      <c r="I56" s="519">
        <v>135812.75872900899</v>
      </c>
      <c r="J56" s="519">
        <v>21210.726114484401</v>
      </c>
      <c r="K56" s="519">
        <v>63936.335277242397</v>
      </c>
      <c r="L56" s="519">
        <v>32710.399611802299</v>
      </c>
      <c r="M56" s="519">
        <v>95966.862483616103</v>
      </c>
      <c r="N56" s="519">
        <v>54402.839183453798</v>
      </c>
      <c r="O56" s="519">
        <v>43214.277058427797</v>
      </c>
      <c r="P56" s="519">
        <v>33451.3339201739</v>
      </c>
      <c r="Q56" s="519">
        <v>26888.881802837099</v>
      </c>
      <c r="R56" s="519">
        <v>6728.3123978538597</v>
      </c>
      <c r="S56" s="519">
        <v>514322.72657890001</v>
      </c>
      <c r="T56" s="519">
        <v>862740.90975642204</v>
      </c>
      <c r="U56" s="519">
        <v>73600.989045680006</v>
      </c>
      <c r="V56" s="519">
        <v>8286.7742610000005</v>
      </c>
      <c r="W56" s="519">
        <v>87728.200196255901</v>
      </c>
      <c r="X56" s="519">
        <v>1032356.87325936</v>
      </c>
    </row>
    <row r="57" spans="1:24" ht="12" customHeight="1">
      <c r="A57" s="520" t="s">
        <v>636</v>
      </c>
      <c r="B57" s="521">
        <v>145075.90451418</v>
      </c>
      <c r="C57" s="521">
        <v>4248.4105596131603</v>
      </c>
      <c r="D57" s="521">
        <v>40143.446890739302</v>
      </c>
      <c r="E57" s="521">
        <v>193751.40643621399</v>
      </c>
      <c r="F57" s="521">
        <v>16811.7190315513</v>
      </c>
      <c r="G57" s="521">
        <v>54025.674823255998</v>
      </c>
      <c r="H57" s="521">
        <v>454056.56225555303</v>
      </c>
      <c r="I57" s="521">
        <v>155666.46079857799</v>
      </c>
      <c r="J57" s="521">
        <v>18069.0396495358</v>
      </c>
      <c r="K57" s="521">
        <v>73960.335189547099</v>
      </c>
      <c r="L57" s="521">
        <v>36678.9561442134</v>
      </c>
      <c r="M57" s="521">
        <v>108500.883552246</v>
      </c>
      <c r="N57" s="521">
        <v>61292.771808191901</v>
      </c>
      <c r="O57" s="521">
        <v>48548.890069011803</v>
      </c>
      <c r="P57" s="521">
        <v>40086.074781788499</v>
      </c>
      <c r="Q57" s="521">
        <v>30162.879433330399</v>
      </c>
      <c r="R57" s="521">
        <v>7145.9108594731397</v>
      </c>
      <c r="S57" s="521">
        <v>580112.20228591596</v>
      </c>
      <c r="T57" s="521">
        <v>1034168.76454147</v>
      </c>
      <c r="U57" s="521">
        <v>79688.683408600002</v>
      </c>
      <c r="V57" s="521">
        <v>8949.8238708000008</v>
      </c>
      <c r="W57" s="521">
        <v>91076.1391681604</v>
      </c>
      <c r="X57" s="521">
        <v>1213883.41098903</v>
      </c>
    </row>
    <row r="58" spans="1:24" ht="12" customHeight="1">
      <c r="A58" s="518" t="s">
        <v>637</v>
      </c>
      <c r="B58" s="519">
        <v>57514.131845318298</v>
      </c>
      <c r="C58" s="519">
        <v>2665.9929139241899</v>
      </c>
      <c r="D58" s="519">
        <v>43451.845827643701</v>
      </c>
      <c r="E58" s="519">
        <v>204003.333290079</v>
      </c>
      <c r="F58" s="519">
        <v>17215.566456428001</v>
      </c>
      <c r="G58" s="519">
        <v>55960.118624994298</v>
      </c>
      <c r="H58" s="519">
        <v>380810.988958387</v>
      </c>
      <c r="I58" s="519">
        <v>156723.902057753</v>
      </c>
      <c r="J58" s="519">
        <v>21326.074701704601</v>
      </c>
      <c r="K58" s="519">
        <v>71158.204795867001</v>
      </c>
      <c r="L58" s="519">
        <v>38259.075153724203</v>
      </c>
      <c r="M58" s="519">
        <v>118251.077774209</v>
      </c>
      <c r="N58" s="519">
        <v>64199.818535415798</v>
      </c>
      <c r="O58" s="519">
        <v>51952.570484413998</v>
      </c>
      <c r="P58" s="519">
        <v>40670.034161408097</v>
      </c>
      <c r="Q58" s="519">
        <v>32924.272435241699</v>
      </c>
      <c r="R58" s="519">
        <v>7611.1204194413303</v>
      </c>
      <c r="S58" s="519">
        <v>603076.15051917895</v>
      </c>
      <c r="T58" s="519">
        <v>983887.139477566</v>
      </c>
      <c r="U58" s="519">
        <v>85000.895999679997</v>
      </c>
      <c r="V58" s="519">
        <v>9422.4901011999991</v>
      </c>
      <c r="W58" s="519">
        <v>105381.744128028</v>
      </c>
      <c r="X58" s="519">
        <v>1183692.26970647</v>
      </c>
    </row>
    <row r="59" spans="1:24" ht="12" customHeight="1">
      <c r="A59" s="520" t="s">
        <v>638</v>
      </c>
      <c r="B59" s="521">
        <v>56134.073154738799</v>
      </c>
      <c r="C59" s="521">
        <v>2562.2193242486401</v>
      </c>
      <c r="D59" s="521">
        <v>45356.410798432298</v>
      </c>
      <c r="E59" s="521">
        <v>193017.95093987501</v>
      </c>
      <c r="F59" s="521">
        <v>13763.0824566064</v>
      </c>
      <c r="G59" s="521">
        <v>50610.065067283998</v>
      </c>
      <c r="H59" s="521">
        <v>361443.80174118502</v>
      </c>
      <c r="I59" s="521">
        <v>145460.64193961999</v>
      </c>
      <c r="J59" s="521">
        <v>20780.3300594721</v>
      </c>
      <c r="K59" s="521">
        <v>70528.535448026305</v>
      </c>
      <c r="L59" s="521">
        <v>41219.343929659903</v>
      </c>
      <c r="M59" s="521">
        <v>124116.073171222</v>
      </c>
      <c r="N59" s="521">
        <v>73279.953562698895</v>
      </c>
      <c r="O59" s="521">
        <v>56811.572925998997</v>
      </c>
      <c r="P59" s="521">
        <v>40121.858369480004</v>
      </c>
      <c r="Q59" s="521">
        <v>33456.433350371197</v>
      </c>
      <c r="R59" s="521">
        <v>7741.5879737812102</v>
      </c>
      <c r="S59" s="521">
        <v>613516.33073033101</v>
      </c>
      <c r="T59" s="521">
        <v>974960.13247151603</v>
      </c>
      <c r="U59" s="521">
        <v>82625.050826920007</v>
      </c>
      <c r="V59" s="521">
        <v>9292.5419036000003</v>
      </c>
      <c r="W59" s="521">
        <v>101774.083177644</v>
      </c>
      <c r="X59" s="521">
        <v>1168651.8083796799</v>
      </c>
    </row>
    <row r="60" spans="1:24" ht="12" customHeight="1">
      <c r="A60" s="518" t="s">
        <v>639</v>
      </c>
      <c r="B60" s="519">
        <v>43520.085408334402</v>
      </c>
      <c r="C60" s="519">
        <v>2215.0506978183098</v>
      </c>
      <c r="D60" s="519">
        <v>47155.622241598903</v>
      </c>
      <c r="E60" s="519">
        <v>169063.09572566699</v>
      </c>
      <c r="F60" s="519">
        <v>16462.685635564801</v>
      </c>
      <c r="G60" s="519">
        <v>49062.5891627284</v>
      </c>
      <c r="H60" s="519">
        <v>327479.12887171202</v>
      </c>
      <c r="I60" s="519">
        <v>139262.936531602</v>
      </c>
      <c r="J60" s="519">
        <v>22610.906479885802</v>
      </c>
      <c r="K60" s="519">
        <v>72311.301337970304</v>
      </c>
      <c r="L60" s="519">
        <v>38916.6285053584</v>
      </c>
      <c r="M60" s="519">
        <v>113552.321587472</v>
      </c>
      <c r="N60" s="519">
        <v>72356.197912276999</v>
      </c>
      <c r="O60" s="519">
        <v>57429.024832763498</v>
      </c>
      <c r="P60" s="519">
        <v>44166.7126411922</v>
      </c>
      <c r="Q60" s="519">
        <v>33323.117988792103</v>
      </c>
      <c r="R60" s="519">
        <v>8503.8353855660407</v>
      </c>
      <c r="S60" s="519">
        <v>602432.98320288002</v>
      </c>
      <c r="T60" s="519">
        <v>929912.11207459203</v>
      </c>
      <c r="U60" s="519">
        <v>80577.544817679998</v>
      </c>
      <c r="V60" s="519">
        <v>6771.7303031600004</v>
      </c>
      <c r="W60" s="519">
        <v>95046.101130864205</v>
      </c>
      <c r="X60" s="519">
        <v>1112307.4883262999</v>
      </c>
    </row>
    <row r="61" spans="1:24" ht="12" customHeight="1">
      <c r="A61" s="520" t="s">
        <v>640</v>
      </c>
      <c r="B61" s="521">
        <v>91342.366930857301</v>
      </c>
      <c r="C61" s="521">
        <v>4557.6327146010199</v>
      </c>
      <c r="D61" s="521">
        <v>48524.434152628703</v>
      </c>
      <c r="E61" s="521">
        <v>189629.85624537899</v>
      </c>
      <c r="F61" s="521">
        <v>15520.648237727801</v>
      </c>
      <c r="G61" s="521">
        <v>49332.825708467397</v>
      </c>
      <c r="H61" s="521">
        <v>398907.76398966101</v>
      </c>
      <c r="I61" s="521">
        <v>148691.70118532699</v>
      </c>
      <c r="J61" s="521">
        <v>19717.2193859455</v>
      </c>
      <c r="K61" s="521">
        <v>79397.707525168895</v>
      </c>
      <c r="L61" s="521">
        <v>42528.332775536997</v>
      </c>
      <c r="M61" s="521">
        <v>124496.830344784</v>
      </c>
      <c r="N61" s="521">
        <v>79000.619871622199</v>
      </c>
      <c r="O61" s="521">
        <v>61794.509548487702</v>
      </c>
      <c r="P61" s="521">
        <v>53485.9546753451</v>
      </c>
      <c r="Q61" s="521">
        <v>35918.562390528503</v>
      </c>
      <c r="R61" s="521">
        <v>8996.8229834170797</v>
      </c>
      <c r="S61" s="521">
        <v>654028.26068616402</v>
      </c>
      <c r="T61" s="521">
        <v>1052936.02467583</v>
      </c>
      <c r="U61" s="521">
        <v>83665.017092644004</v>
      </c>
      <c r="V61" s="521">
        <v>7125.73374556</v>
      </c>
      <c r="W61" s="521">
        <v>107737.95241983799</v>
      </c>
      <c r="X61" s="521">
        <v>1251464.7279338699</v>
      </c>
    </row>
    <row r="62" spans="1:24" ht="12" customHeight="1">
      <c r="A62" s="518" t="s">
        <v>641</v>
      </c>
      <c r="B62" s="519">
        <v>51415.223678506503</v>
      </c>
      <c r="C62" s="519">
        <v>2092.9114602536702</v>
      </c>
      <c r="D62" s="519">
        <v>50170.7019759576</v>
      </c>
      <c r="E62" s="519">
        <v>202853.90935751601</v>
      </c>
      <c r="F62" s="519">
        <v>20672.548305876699</v>
      </c>
      <c r="G62" s="519">
        <v>56308.633360645101</v>
      </c>
      <c r="H62" s="519">
        <v>383513.92813875602</v>
      </c>
      <c r="I62" s="519">
        <v>159730.56543322699</v>
      </c>
      <c r="J62" s="519">
        <v>21155.751931321101</v>
      </c>
      <c r="K62" s="519">
        <v>77386.205097077895</v>
      </c>
      <c r="L62" s="519">
        <v>43955.854465217897</v>
      </c>
      <c r="M62" s="519">
        <v>133944.13274379601</v>
      </c>
      <c r="N62" s="519">
        <v>80040.674905104403</v>
      </c>
      <c r="O62" s="519">
        <v>64547.939897504999</v>
      </c>
      <c r="P62" s="519">
        <v>53007.1574049177</v>
      </c>
      <c r="Q62" s="519">
        <v>38763.512862100397</v>
      </c>
      <c r="R62" s="519">
        <v>9406.7666262221592</v>
      </c>
      <c r="S62" s="519">
        <v>681938.56136648904</v>
      </c>
      <c r="T62" s="519">
        <v>1065452.48950524</v>
      </c>
      <c r="U62" s="519">
        <v>92957.913870279997</v>
      </c>
      <c r="V62" s="519">
        <v>8136.5613970000004</v>
      </c>
      <c r="W62" s="519">
        <v>103187.780494558</v>
      </c>
      <c r="X62" s="519">
        <v>1269734.7452670799</v>
      </c>
    </row>
    <row r="63" spans="1:24" ht="12" customHeight="1">
      <c r="A63" s="520" t="s">
        <v>642</v>
      </c>
      <c r="B63" s="521">
        <v>65441.665386880297</v>
      </c>
      <c r="C63" s="521">
        <v>2659.4267949895302</v>
      </c>
      <c r="D63" s="521">
        <v>56669.857401542598</v>
      </c>
      <c r="E63" s="521">
        <v>216351.20980311499</v>
      </c>
      <c r="F63" s="521">
        <v>16971.039468041599</v>
      </c>
      <c r="G63" s="521">
        <v>57366.311596888598</v>
      </c>
      <c r="H63" s="521">
        <v>415459.51045145799</v>
      </c>
      <c r="I63" s="521">
        <v>166681.793197616</v>
      </c>
      <c r="J63" s="521">
        <v>23428.349780939701</v>
      </c>
      <c r="K63" s="521">
        <v>81098.094735624705</v>
      </c>
      <c r="L63" s="521">
        <v>45868.125517537497</v>
      </c>
      <c r="M63" s="521">
        <v>143815.17936575599</v>
      </c>
      <c r="N63" s="521">
        <v>93334.237464834005</v>
      </c>
      <c r="O63" s="521">
        <v>66876.677088429395</v>
      </c>
      <c r="P63" s="521">
        <v>51648.688029567202</v>
      </c>
      <c r="Q63" s="521">
        <v>39976.389159336701</v>
      </c>
      <c r="R63" s="521">
        <v>9757.4146816643297</v>
      </c>
      <c r="S63" s="521">
        <v>722484.94902130496</v>
      </c>
      <c r="T63" s="521">
        <v>1137944.4594727601</v>
      </c>
      <c r="U63" s="521">
        <v>92342.458119000003</v>
      </c>
      <c r="V63" s="521">
        <v>8765.1274723200004</v>
      </c>
      <c r="W63" s="521">
        <v>119158.069108749</v>
      </c>
      <c r="X63" s="521">
        <v>1358210.11417283</v>
      </c>
    </row>
    <row r="64" spans="1:24" ht="12" customHeight="1">
      <c r="A64" s="518" t="s">
        <v>643</v>
      </c>
      <c r="B64" s="519">
        <v>77647.589152470304</v>
      </c>
      <c r="C64" s="519">
        <v>2306.2746192795698</v>
      </c>
      <c r="D64" s="519">
        <v>61070.942281420597</v>
      </c>
      <c r="E64" s="519">
        <v>224505.626431702</v>
      </c>
      <c r="F64" s="519">
        <v>17563.067939556498</v>
      </c>
      <c r="G64" s="519">
        <v>64081.578645065703</v>
      </c>
      <c r="H64" s="519">
        <v>447175.07906949503</v>
      </c>
      <c r="I64" s="519">
        <v>179846.17452646699</v>
      </c>
      <c r="J64" s="519">
        <v>28907.685220217601</v>
      </c>
      <c r="K64" s="519">
        <v>89838.373737100803</v>
      </c>
      <c r="L64" s="519">
        <v>45817.948611274202</v>
      </c>
      <c r="M64" s="519">
        <v>136823.752687442</v>
      </c>
      <c r="N64" s="519">
        <v>90603.071454500096</v>
      </c>
      <c r="O64" s="519">
        <v>67903.157932823204</v>
      </c>
      <c r="P64" s="519">
        <v>56573.868147823698</v>
      </c>
      <c r="Q64" s="519">
        <v>41898.356454976398</v>
      </c>
      <c r="R64" s="519">
        <v>9597.32214305657</v>
      </c>
      <c r="S64" s="519">
        <v>747809.71091568097</v>
      </c>
      <c r="T64" s="519">
        <v>1194984.7899851799</v>
      </c>
      <c r="U64" s="519">
        <v>100276.59623892</v>
      </c>
      <c r="V64" s="519">
        <v>8879.1538672400002</v>
      </c>
      <c r="W64" s="519">
        <v>114717.40987517301</v>
      </c>
      <c r="X64" s="519">
        <v>1418857.9499665101</v>
      </c>
    </row>
    <row r="65" spans="1:24" ht="12" customHeight="1">
      <c r="A65" s="520" t="s">
        <v>644</v>
      </c>
      <c r="B65" s="521">
        <v>171136.92117470599</v>
      </c>
      <c r="C65" s="521">
        <v>4718.3915381412498</v>
      </c>
      <c r="D65" s="521">
        <v>63558.046452418697</v>
      </c>
      <c r="E65" s="521">
        <v>258857.29716771599</v>
      </c>
      <c r="F65" s="521">
        <v>19033.646121171001</v>
      </c>
      <c r="G65" s="521">
        <v>69740.608084259395</v>
      </c>
      <c r="H65" s="521">
        <v>587044.91053841298</v>
      </c>
      <c r="I65" s="521">
        <v>203340.11150718099</v>
      </c>
      <c r="J65" s="521">
        <v>26263.575117851098</v>
      </c>
      <c r="K65" s="521">
        <v>103095.26418432999</v>
      </c>
      <c r="L65" s="521">
        <v>51785.179206031899</v>
      </c>
      <c r="M65" s="521">
        <v>154315.11935147099</v>
      </c>
      <c r="N65" s="521">
        <v>99564.609190562202</v>
      </c>
      <c r="O65" s="521">
        <v>74880.823517374301</v>
      </c>
      <c r="P65" s="521">
        <v>69221.549835957107</v>
      </c>
      <c r="Q65" s="521">
        <v>44367.967686816097</v>
      </c>
      <c r="R65" s="521">
        <v>10917.573670181</v>
      </c>
      <c r="S65" s="521">
        <v>837751.77326775598</v>
      </c>
      <c r="T65" s="521">
        <v>1424796.68380617</v>
      </c>
      <c r="U65" s="521">
        <v>110906.89315232</v>
      </c>
      <c r="V65" s="521">
        <v>10218.06643984</v>
      </c>
      <c r="W65" s="521">
        <v>140145.311059453</v>
      </c>
      <c r="X65" s="521">
        <v>1686066.9544577801</v>
      </c>
    </row>
    <row r="66" spans="1:24" ht="12" customHeight="1">
      <c r="A66" s="518" t="s">
        <v>645</v>
      </c>
      <c r="B66" s="519">
        <v>92254.064708595994</v>
      </c>
      <c r="C66" s="519">
        <v>4187.8837399870999</v>
      </c>
      <c r="D66" s="519">
        <v>64905.538467339902</v>
      </c>
      <c r="E66" s="519">
        <v>275862.70981703099</v>
      </c>
      <c r="F66" s="519">
        <v>22467.041959945302</v>
      </c>
      <c r="G66" s="519">
        <v>77690.061757015807</v>
      </c>
      <c r="H66" s="519">
        <v>537367.300449915</v>
      </c>
      <c r="I66" s="519">
        <v>219069.56646503301</v>
      </c>
      <c r="J66" s="519">
        <v>31214.746892740601</v>
      </c>
      <c r="K66" s="519">
        <v>100250.85871740599</v>
      </c>
      <c r="L66" s="519">
        <v>54495.5405614427</v>
      </c>
      <c r="M66" s="519">
        <v>167424.310443339</v>
      </c>
      <c r="N66" s="519">
        <v>105082.321032288</v>
      </c>
      <c r="O66" s="519">
        <v>79655.8076620598</v>
      </c>
      <c r="P66" s="519">
        <v>69774.752979490906</v>
      </c>
      <c r="Q66" s="519">
        <v>49856.555273854603</v>
      </c>
      <c r="R66" s="519">
        <v>12385.0466655975</v>
      </c>
      <c r="S66" s="519">
        <v>889209.50669325097</v>
      </c>
      <c r="T66" s="519">
        <v>1426576.8071431699</v>
      </c>
      <c r="U66" s="519">
        <v>124762.40544808</v>
      </c>
      <c r="V66" s="519">
        <v>13022.24991416</v>
      </c>
      <c r="W66" s="519">
        <v>148473.08643288599</v>
      </c>
      <c r="X66" s="519">
        <v>1712834.54893829</v>
      </c>
    </row>
    <row r="67" spans="1:24" ht="12" customHeight="1">
      <c r="A67" s="520" t="s">
        <v>646</v>
      </c>
      <c r="B67" s="521">
        <v>118697.380481963</v>
      </c>
      <c r="C67" s="521">
        <v>3118.3703925946602</v>
      </c>
      <c r="D67" s="521">
        <v>67877.746512491794</v>
      </c>
      <c r="E67" s="521">
        <v>293963.83738379099</v>
      </c>
      <c r="F67" s="521">
        <v>19371.727857686001</v>
      </c>
      <c r="G67" s="521">
        <v>78372.005728778604</v>
      </c>
      <c r="H67" s="521">
        <v>581401.06835730502</v>
      </c>
      <c r="I67" s="521">
        <v>230966.95094837499</v>
      </c>
      <c r="J67" s="521">
        <v>33220.348599676101</v>
      </c>
      <c r="K67" s="521">
        <v>103946.16378837</v>
      </c>
      <c r="L67" s="521">
        <v>59378.0120066198</v>
      </c>
      <c r="M67" s="521">
        <v>181792.94273205899</v>
      </c>
      <c r="N67" s="521">
        <v>123951.840708876</v>
      </c>
      <c r="O67" s="521">
        <v>81555.479427051396</v>
      </c>
      <c r="P67" s="521">
        <v>68299.4070154254</v>
      </c>
      <c r="Q67" s="521">
        <v>53047.493291226601</v>
      </c>
      <c r="R67" s="521">
        <v>11895.111684714901</v>
      </c>
      <c r="S67" s="521">
        <v>948053.75020239502</v>
      </c>
      <c r="T67" s="521">
        <v>1529454.8185596999</v>
      </c>
      <c r="U67" s="521">
        <v>129598.05380952</v>
      </c>
      <c r="V67" s="521">
        <v>13593.780680280001</v>
      </c>
      <c r="W67" s="521">
        <v>156477.59736624401</v>
      </c>
      <c r="X67" s="521">
        <v>1829124.2504157401</v>
      </c>
    </row>
    <row r="68" spans="1:24" ht="12" customHeight="1">
      <c r="A68" s="518" t="s">
        <v>647</v>
      </c>
      <c r="B68" s="519">
        <v>106867.74184284</v>
      </c>
      <c r="C68" s="519">
        <v>3290.7685568554598</v>
      </c>
      <c r="D68" s="519">
        <v>69065.052079104804</v>
      </c>
      <c r="E68" s="519">
        <v>299731.54718100198</v>
      </c>
      <c r="F68" s="519">
        <v>24424.4639154787</v>
      </c>
      <c r="G68" s="519">
        <v>94966.046075830905</v>
      </c>
      <c r="H68" s="519">
        <v>598345.61965111201</v>
      </c>
      <c r="I68" s="519">
        <v>239545.74890314499</v>
      </c>
      <c r="J68" s="519">
        <v>39265.6584893088</v>
      </c>
      <c r="K68" s="519">
        <v>114076.916841397</v>
      </c>
      <c r="L68" s="519">
        <v>58430.312181628098</v>
      </c>
      <c r="M68" s="519">
        <v>171550.34745832</v>
      </c>
      <c r="N68" s="519">
        <v>123025.167956827</v>
      </c>
      <c r="O68" s="519">
        <v>95727.375624377994</v>
      </c>
      <c r="P68" s="519">
        <v>77100.575520144499</v>
      </c>
      <c r="Q68" s="519">
        <v>55341.649921282296</v>
      </c>
      <c r="R68" s="519">
        <v>12691.088056852899</v>
      </c>
      <c r="S68" s="519">
        <v>986754.84095328301</v>
      </c>
      <c r="T68" s="519">
        <v>1585100.4606043999</v>
      </c>
      <c r="U68" s="519">
        <v>137056.26290812</v>
      </c>
      <c r="V68" s="519">
        <v>12935.861853079999</v>
      </c>
      <c r="W68" s="519">
        <v>153734.566480201</v>
      </c>
      <c r="X68" s="519">
        <v>1888827.1518458</v>
      </c>
    </row>
    <row r="69" spans="1:24" ht="12" customHeight="1">
      <c r="A69" s="520" t="s">
        <v>648</v>
      </c>
      <c r="B69" s="521">
        <v>242910.148728131</v>
      </c>
      <c r="C69" s="521">
        <v>5048.1677410837201</v>
      </c>
      <c r="D69" s="521">
        <v>65757.979592747695</v>
      </c>
      <c r="E69" s="521">
        <v>346818.15368301398</v>
      </c>
      <c r="F69" s="521">
        <v>23850.746422905999</v>
      </c>
      <c r="G69" s="521">
        <v>102469.46376735</v>
      </c>
      <c r="H69" s="521">
        <v>786854.65993523295</v>
      </c>
      <c r="I69" s="521">
        <v>271757.26219332102</v>
      </c>
      <c r="J69" s="521">
        <v>37487.922810029399</v>
      </c>
      <c r="K69" s="521">
        <v>129268.223022607</v>
      </c>
      <c r="L69" s="521">
        <v>65776.119199414796</v>
      </c>
      <c r="M69" s="521">
        <v>194096.168897895</v>
      </c>
      <c r="N69" s="521">
        <v>139109.88057769701</v>
      </c>
      <c r="O69" s="521">
        <v>102272.71009377499</v>
      </c>
      <c r="P69" s="521">
        <v>94964.666726713403</v>
      </c>
      <c r="Q69" s="521">
        <v>61220.275159897901</v>
      </c>
      <c r="R69" s="521">
        <v>14310.654655103999</v>
      </c>
      <c r="S69" s="521">
        <v>1110263.88333645</v>
      </c>
      <c r="T69" s="521">
        <v>1897118.5432716899</v>
      </c>
      <c r="U69" s="521">
        <v>147568.46926090799</v>
      </c>
      <c r="V69" s="521">
        <v>13661.069328559999</v>
      </c>
      <c r="W69" s="521">
        <v>178775.75355375599</v>
      </c>
      <c r="X69" s="521">
        <v>2237123.8354149102</v>
      </c>
    </row>
    <row r="70" spans="1:24" ht="12" customHeight="1">
      <c r="A70" s="518" t="s">
        <v>649</v>
      </c>
      <c r="B70" s="519">
        <v>120992.885327804</v>
      </c>
      <c r="C70" s="519">
        <v>3595.2348314206702</v>
      </c>
      <c r="D70" s="519">
        <v>76322.634495514998</v>
      </c>
      <c r="E70" s="519">
        <v>364873.56632584002</v>
      </c>
      <c r="F70" s="519">
        <v>26542.422971269301</v>
      </c>
      <c r="G70" s="519">
        <v>112936.443069035</v>
      </c>
      <c r="H70" s="519">
        <v>705263.18702088401</v>
      </c>
      <c r="I70" s="519">
        <v>291175.45548705099</v>
      </c>
      <c r="J70" s="519">
        <v>43610.682189089799</v>
      </c>
      <c r="K70" s="519">
        <v>126662.65130876401</v>
      </c>
      <c r="L70" s="519">
        <v>72954.377954479394</v>
      </c>
      <c r="M70" s="519">
        <v>211285.55707832199</v>
      </c>
      <c r="N70" s="519">
        <v>141990.09341104701</v>
      </c>
      <c r="O70" s="519">
        <v>109912.09399329301</v>
      </c>
      <c r="P70" s="519">
        <v>99646.387669478805</v>
      </c>
      <c r="Q70" s="519">
        <v>63837.194885082798</v>
      </c>
      <c r="R70" s="519">
        <v>15621.7615228334</v>
      </c>
      <c r="S70" s="519">
        <v>1176696.25549944</v>
      </c>
      <c r="T70" s="519">
        <v>1881959.44252033</v>
      </c>
      <c r="U70" s="519">
        <v>164408.01997528001</v>
      </c>
      <c r="V70" s="519">
        <v>15245.588755479999</v>
      </c>
      <c r="W70" s="519">
        <v>188874.21254108401</v>
      </c>
      <c r="X70" s="519">
        <v>2250487.2637921702</v>
      </c>
    </row>
    <row r="71" spans="1:24" ht="12" customHeight="1">
      <c r="A71" s="520" t="s">
        <v>650</v>
      </c>
      <c r="B71" s="521">
        <v>124753.22707002801</v>
      </c>
      <c r="C71" s="521">
        <v>2558.2091569193899</v>
      </c>
      <c r="D71" s="521">
        <v>83622.701670662107</v>
      </c>
      <c r="E71" s="521">
        <v>370138.88718871801</v>
      </c>
      <c r="F71" s="521">
        <v>23654.751061029401</v>
      </c>
      <c r="G71" s="521">
        <v>112388.172360094</v>
      </c>
      <c r="H71" s="521">
        <v>717115.94850745099</v>
      </c>
      <c r="I71" s="521">
        <v>293135.801824225</v>
      </c>
      <c r="J71" s="521">
        <v>45347.392459377799</v>
      </c>
      <c r="K71" s="521">
        <v>130511.89864526399</v>
      </c>
      <c r="L71" s="521">
        <v>78844.382540403807</v>
      </c>
      <c r="M71" s="521">
        <v>238518.304048133</v>
      </c>
      <c r="N71" s="521">
        <v>161580.53621755599</v>
      </c>
      <c r="O71" s="521">
        <v>111480.322429792</v>
      </c>
      <c r="P71" s="521">
        <v>99461.563172069495</v>
      </c>
      <c r="Q71" s="521">
        <v>67392.628967947705</v>
      </c>
      <c r="R71" s="521">
        <v>15987.4133603314</v>
      </c>
      <c r="S71" s="521">
        <v>1242260.2436651001</v>
      </c>
      <c r="T71" s="521">
        <v>1959376.1921725499</v>
      </c>
      <c r="U71" s="521">
        <v>167914.71330251999</v>
      </c>
      <c r="V71" s="521">
        <v>16867.519235759999</v>
      </c>
      <c r="W71" s="521">
        <v>195499.73875940201</v>
      </c>
      <c r="X71" s="521">
        <v>2339658.1634702301</v>
      </c>
    </row>
    <row r="72" spans="1:24" ht="12" customHeight="1">
      <c r="A72" s="518" t="s">
        <v>651</v>
      </c>
      <c r="B72" s="519">
        <v>96983.832995960096</v>
      </c>
      <c r="C72" s="519">
        <v>5122.4724572806999</v>
      </c>
      <c r="D72" s="519">
        <v>82781.650775200993</v>
      </c>
      <c r="E72" s="519">
        <v>360515.88540075597</v>
      </c>
      <c r="F72" s="519">
        <v>25916.534010123902</v>
      </c>
      <c r="G72" s="519">
        <v>119995.75091900201</v>
      </c>
      <c r="H72" s="519">
        <v>691316.12655832304</v>
      </c>
      <c r="I72" s="519">
        <v>294728.55922525597</v>
      </c>
      <c r="J72" s="519">
        <v>53170.736536876597</v>
      </c>
      <c r="K72" s="519">
        <v>141457.79344227599</v>
      </c>
      <c r="L72" s="519">
        <v>79614.336299370494</v>
      </c>
      <c r="M72" s="519">
        <v>217212.27961779901</v>
      </c>
      <c r="N72" s="519">
        <v>162273.911692575</v>
      </c>
      <c r="O72" s="519">
        <v>125737.854721168</v>
      </c>
      <c r="P72" s="519">
        <v>109398.561350295</v>
      </c>
      <c r="Q72" s="519">
        <v>70289.561119351405</v>
      </c>
      <c r="R72" s="519">
        <v>17631.313213175501</v>
      </c>
      <c r="S72" s="519">
        <v>1271514.9072181401</v>
      </c>
      <c r="T72" s="519">
        <v>1962831.03377647</v>
      </c>
      <c r="U72" s="519">
        <v>170440.60004224</v>
      </c>
      <c r="V72" s="519">
        <v>13780.87536724</v>
      </c>
      <c r="W72" s="519">
        <v>198507.09416668501</v>
      </c>
      <c r="X72" s="519">
        <v>2345559.60335263</v>
      </c>
    </row>
    <row r="73" spans="1:24" ht="12" customHeight="1">
      <c r="A73" s="520" t="s">
        <v>652</v>
      </c>
      <c r="B73" s="521">
        <v>228601.43615603499</v>
      </c>
      <c r="C73" s="521">
        <v>2804.2978123460198</v>
      </c>
      <c r="D73" s="521">
        <v>83926.316520202497</v>
      </c>
      <c r="E73" s="521">
        <v>393629.28298752301</v>
      </c>
      <c r="F73" s="521">
        <v>28679.043959043101</v>
      </c>
      <c r="G73" s="521">
        <v>123163.029083544</v>
      </c>
      <c r="H73" s="521">
        <v>860803.40651869401</v>
      </c>
      <c r="I73" s="521">
        <v>315299.91390951001</v>
      </c>
      <c r="J73" s="521">
        <v>49680.690657642503</v>
      </c>
      <c r="K73" s="521">
        <v>154272.56139463701</v>
      </c>
      <c r="L73" s="521">
        <v>88865.821114414299</v>
      </c>
      <c r="M73" s="521">
        <v>239046.310648777</v>
      </c>
      <c r="N73" s="521">
        <v>185743.311167737</v>
      </c>
      <c r="O73" s="521">
        <v>133960.11067007101</v>
      </c>
      <c r="P73" s="521">
        <v>119746.55497529601</v>
      </c>
      <c r="Q73" s="521">
        <v>77264.910385948504</v>
      </c>
      <c r="R73" s="521">
        <v>19205.763406357601</v>
      </c>
      <c r="S73" s="521">
        <v>1383085.94833039</v>
      </c>
      <c r="T73" s="521">
        <v>2243889.3548490899</v>
      </c>
      <c r="U73" s="521">
        <v>180347.81131508001</v>
      </c>
      <c r="V73" s="521">
        <v>13333.53558892</v>
      </c>
      <c r="W73" s="521">
        <v>213527.344634943</v>
      </c>
      <c r="X73" s="521">
        <v>2651098.0463880301</v>
      </c>
    </row>
    <row r="74" spans="1:24" ht="12" customHeight="1">
      <c r="A74" s="518" t="s">
        <v>653</v>
      </c>
      <c r="B74" s="519">
        <v>131386.24321183501</v>
      </c>
      <c r="C74" s="519">
        <v>4446.8188271703702</v>
      </c>
      <c r="D74" s="519">
        <v>84311.600509244105</v>
      </c>
      <c r="E74" s="519">
        <v>415004.40314853302</v>
      </c>
      <c r="F74" s="519">
        <v>33490.095880427602</v>
      </c>
      <c r="G74" s="519">
        <v>134971.21286752599</v>
      </c>
      <c r="H74" s="519">
        <v>803610.37444473605</v>
      </c>
      <c r="I74" s="519">
        <v>339283.37729452603</v>
      </c>
      <c r="J74" s="519">
        <v>56373.157620236598</v>
      </c>
      <c r="K74" s="519">
        <v>151418.705023763</v>
      </c>
      <c r="L74" s="519">
        <v>98232.893320365896</v>
      </c>
      <c r="M74" s="519">
        <v>255517.133369349</v>
      </c>
      <c r="N74" s="519">
        <v>182206.10065983501</v>
      </c>
      <c r="O74" s="519">
        <v>138896.28324983001</v>
      </c>
      <c r="P74" s="519">
        <v>129509.672051307</v>
      </c>
      <c r="Q74" s="519">
        <v>83452.536509211001</v>
      </c>
      <c r="R74" s="519">
        <v>20516.224640064302</v>
      </c>
      <c r="S74" s="519">
        <v>1455406.08373849</v>
      </c>
      <c r="T74" s="519">
        <v>2259016.4581832201</v>
      </c>
      <c r="U74" s="519">
        <v>196950.45141784</v>
      </c>
      <c r="V74" s="519">
        <v>18471.629291640002</v>
      </c>
      <c r="W74" s="519">
        <v>230389.01096255699</v>
      </c>
      <c r="X74" s="519">
        <v>2704827.5498552602</v>
      </c>
    </row>
    <row r="75" spans="1:24" ht="12" customHeight="1">
      <c r="A75" s="520" t="s">
        <v>654</v>
      </c>
      <c r="B75" s="521">
        <v>136598.764491012</v>
      </c>
      <c r="C75" s="521">
        <v>4125.8584564100402</v>
      </c>
      <c r="D75" s="521">
        <v>92486.916682286304</v>
      </c>
      <c r="E75" s="521">
        <v>436474.82255616097</v>
      </c>
      <c r="F75" s="521">
        <v>28197.3261803071</v>
      </c>
      <c r="G75" s="521">
        <v>134126.04578257099</v>
      </c>
      <c r="H75" s="521">
        <v>832009.73414874799</v>
      </c>
      <c r="I75" s="521">
        <v>351095.48175990098</v>
      </c>
      <c r="J75" s="521">
        <v>58336.950239655103</v>
      </c>
      <c r="K75" s="521">
        <v>157805.02003521801</v>
      </c>
      <c r="L75" s="521">
        <v>106338.394300806</v>
      </c>
      <c r="M75" s="521">
        <v>283127.30654537003</v>
      </c>
      <c r="N75" s="521">
        <v>208462.70637209501</v>
      </c>
      <c r="O75" s="521">
        <v>142298.94179298999</v>
      </c>
      <c r="P75" s="521">
        <v>137957.50307156099</v>
      </c>
      <c r="Q75" s="521">
        <v>85201.168471120502</v>
      </c>
      <c r="R75" s="521">
        <v>21189.2811215853</v>
      </c>
      <c r="S75" s="521">
        <v>1551812.7537103</v>
      </c>
      <c r="T75" s="521">
        <v>2383822.4878590498</v>
      </c>
      <c r="U75" s="521">
        <v>214246.89863735999</v>
      </c>
      <c r="V75" s="521">
        <v>20985.95152164</v>
      </c>
      <c r="W75" s="521">
        <v>231114.85524822801</v>
      </c>
      <c r="X75" s="521">
        <v>2850170.19326628</v>
      </c>
    </row>
    <row r="76" spans="1:24" ht="12" customHeight="1">
      <c r="A76" s="518" t="s">
        <v>655</v>
      </c>
      <c r="B76" s="519">
        <v>131997.099928098</v>
      </c>
      <c r="C76" s="519">
        <v>4287.1181590728802</v>
      </c>
      <c r="D76" s="519">
        <v>88379.064279133294</v>
      </c>
      <c r="E76" s="519">
        <v>432936.37093658198</v>
      </c>
      <c r="F76" s="519">
        <v>36053.177383351103</v>
      </c>
      <c r="G76" s="519">
        <v>153392.04707107</v>
      </c>
      <c r="H76" s="519">
        <v>847044.87775730598</v>
      </c>
      <c r="I76" s="519">
        <v>367542.91808027303</v>
      </c>
      <c r="J76" s="519">
        <v>64809.383574428401</v>
      </c>
      <c r="K76" s="519">
        <v>169317.10671805101</v>
      </c>
      <c r="L76" s="519">
        <v>103001.128361184</v>
      </c>
      <c r="M76" s="519">
        <v>266608.70954912802</v>
      </c>
      <c r="N76" s="519">
        <v>206830.60168257699</v>
      </c>
      <c r="O76" s="519">
        <v>156195.667940933</v>
      </c>
      <c r="P76" s="519">
        <v>134850.31986406099</v>
      </c>
      <c r="Q76" s="519">
        <v>87393.348582940802</v>
      </c>
      <c r="R76" s="519">
        <v>22901.636971792199</v>
      </c>
      <c r="S76" s="519">
        <v>1579450.8213253701</v>
      </c>
      <c r="T76" s="519">
        <v>2426495.69908268</v>
      </c>
      <c r="U76" s="519">
        <v>222883.78907488001</v>
      </c>
      <c r="V76" s="519">
        <v>20386.70942576</v>
      </c>
      <c r="W76" s="519">
        <v>219214.66148779501</v>
      </c>
      <c r="X76" s="519">
        <v>2888980.8590711099</v>
      </c>
    </row>
    <row r="77" spans="1:24" ht="12" customHeight="1">
      <c r="A77" s="520" t="s">
        <v>656</v>
      </c>
      <c r="B77" s="521">
        <v>302384.21613699902</v>
      </c>
      <c r="C77" s="521">
        <v>11782.1144260896</v>
      </c>
      <c r="D77" s="521">
        <v>90862.896288036602</v>
      </c>
      <c r="E77" s="521">
        <v>500644.65081876499</v>
      </c>
      <c r="F77" s="521">
        <v>39044.381685689397</v>
      </c>
      <c r="G77" s="521">
        <v>156234.01389104599</v>
      </c>
      <c r="H77" s="521">
        <v>1100952.2732466301</v>
      </c>
      <c r="I77" s="521">
        <v>415589.82715992699</v>
      </c>
      <c r="J77" s="521">
        <v>61214.174847996503</v>
      </c>
      <c r="K77" s="521">
        <v>193342.21763829899</v>
      </c>
      <c r="L77" s="521">
        <v>114188.707840754</v>
      </c>
      <c r="M77" s="521">
        <v>296325.18841235701</v>
      </c>
      <c r="N77" s="521">
        <v>232818.95847858099</v>
      </c>
      <c r="O77" s="521">
        <v>165055.39166962</v>
      </c>
      <c r="P77" s="521">
        <v>158584.945441066</v>
      </c>
      <c r="Q77" s="521">
        <v>96325.623153950597</v>
      </c>
      <c r="R77" s="521">
        <v>26092.356893009601</v>
      </c>
      <c r="S77" s="521">
        <v>1759537.3915355599</v>
      </c>
      <c r="T77" s="521">
        <v>2860489.6647821902</v>
      </c>
      <c r="U77" s="521">
        <v>234247.9469868</v>
      </c>
      <c r="V77" s="521">
        <v>22056.028922279998</v>
      </c>
      <c r="W77" s="521">
        <v>271017.27136341698</v>
      </c>
      <c r="X77" s="521">
        <v>3387810.9120546798</v>
      </c>
    </row>
    <row r="78" spans="1:24" ht="12" customHeight="1">
      <c r="A78" s="518" t="s">
        <v>657</v>
      </c>
      <c r="B78" s="519">
        <v>143782.95081773601</v>
      </c>
      <c r="C78" s="519">
        <v>8480.1367923854505</v>
      </c>
      <c r="D78" s="519">
        <v>98443.201238776499</v>
      </c>
      <c r="E78" s="519">
        <v>523693.42333984398</v>
      </c>
      <c r="F78" s="519">
        <v>46245.914857501797</v>
      </c>
      <c r="G78" s="519">
        <v>171288.84272113701</v>
      </c>
      <c r="H78" s="519">
        <v>991934.46976738004</v>
      </c>
      <c r="I78" s="519">
        <v>426207.306952935</v>
      </c>
      <c r="J78" s="519">
        <v>70062.024632916393</v>
      </c>
      <c r="K78" s="519">
        <v>188611.31948382501</v>
      </c>
      <c r="L78" s="519">
        <v>124670.961486086</v>
      </c>
      <c r="M78" s="519">
        <v>341886.66074974497</v>
      </c>
      <c r="N78" s="519">
        <v>239790.78072710801</v>
      </c>
      <c r="O78" s="519">
        <v>174871.64379935499</v>
      </c>
      <c r="P78" s="519">
        <v>169292.20499988599</v>
      </c>
      <c r="Q78" s="519">
        <v>104661.05337610999</v>
      </c>
      <c r="R78" s="519">
        <v>26387.3969317433</v>
      </c>
      <c r="S78" s="519">
        <v>1866441.3531397099</v>
      </c>
      <c r="T78" s="519">
        <v>2858375.8229070902</v>
      </c>
      <c r="U78" s="519">
        <v>263989.40891723998</v>
      </c>
      <c r="V78" s="519">
        <v>25012.986663600001</v>
      </c>
      <c r="W78" s="519">
        <v>289168.32789027301</v>
      </c>
      <c r="X78" s="519">
        <v>3436546.5463781999</v>
      </c>
    </row>
    <row r="79" spans="1:24" ht="12" customHeight="1">
      <c r="A79" s="520" t="s">
        <v>658</v>
      </c>
      <c r="B79" s="521">
        <v>201511.12224679801</v>
      </c>
      <c r="C79" s="521">
        <v>6456.7687367844601</v>
      </c>
      <c r="D79" s="521">
        <v>114741.05614333101</v>
      </c>
      <c r="E79" s="521">
        <v>553191.17005122895</v>
      </c>
      <c r="F79" s="521">
        <v>37451.5351435634</v>
      </c>
      <c r="G79" s="521">
        <v>172562.118004572</v>
      </c>
      <c r="H79" s="521">
        <v>1085913.77032628</v>
      </c>
      <c r="I79" s="521">
        <v>439846.473763605</v>
      </c>
      <c r="J79" s="521">
        <v>75159.763739370799</v>
      </c>
      <c r="K79" s="521">
        <v>196857.07385600501</v>
      </c>
      <c r="L79" s="521">
        <v>138756.89982067901</v>
      </c>
      <c r="M79" s="521">
        <v>375606.76787488</v>
      </c>
      <c r="N79" s="521">
        <v>283205.71012819698</v>
      </c>
      <c r="O79" s="521">
        <v>186896.85365308801</v>
      </c>
      <c r="P79" s="521">
        <v>183489.10406258801</v>
      </c>
      <c r="Q79" s="521">
        <v>107805.043395161</v>
      </c>
      <c r="R79" s="521">
        <v>28457.103636896401</v>
      </c>
      <c r="S79" s="521">
        <v>2016080.79393047</v>
      </c>
      <c r="T79" s="521">
        <v>3101994.56425675</v>
      </c>
      <c r="U79" s="521">
        <v>274903.85962687997</v>
      </c>
      <c r="V79" s="521">
        <v>26746.35841768</v>
      </c>
      <c r="W79" s="521">
        <v>276250.85310351598</v>
      </c>
      <c r="X79" s="521">
        <v>3679895.6354048299</v>
      </c>
    </row>
    <row r="80" spans="1:24" ht="12" customHeight="1">
      <c r="A80" s="518" t="s">
        <v>659</v>
      </c>
      <c r="B80" s="519">
        <v>183314.54808356799</v>
      </c>
      <c r="C80" s="519">
        <v>5924.4891608645703</v>
      </c>
      <c r="D80" s="519">
        <v>157421.23384308399</v>
      </c>
      <c r="E80" s="519">
        <v>590474.38784973696</v>
      </c>
      <c r="F80" s="519">
        <v>44898.4495741067</v>
      </c>
      <c r="G80" s="519">
        <v>192865.18864926</v>
      </c>
      <c r="H80" s="519">
        <v>1174898.2971606201</v>
      </c>
      <c r="I80" s="519">
        <v>493281.30981234001</v>
      </c>
      <c r="J80" s="519">
        <v>88377.853858046597</v>
      </c>
      <c r="K80" s="519">
        <v>224182.52819529499</v>
      </c>
      <c r="L80" s="519">
        <v>135629.36958844899</v>
      </c>
      <c r="M80" s="519">
        <v>345883.742747846</v>
      </c>
      <c r="N80" s="519">
        <v>282775.90829020803</v>
      </c>
      <c r="O80" s="519">
        <v>201201.86392655599</v>
      </c>
      <c r="P80" s="519">
        <v>176622.753665784</v>
      </c>
      <c r="Q80" s="519">
        <v>114583.31886121399</v>
      </c>
      <c r="R80" s="519">
        <v>31011.404246773302</v>
      </c>
      <c r="S80" s="519">
        <v>2093550.05319251</v>
      </c>
      <c r="T80" s="519">
        <v>3268448.3503531301</v>
      </c>
      <c r="U80" s="519">
        <v>309691.18495808</v>
      </c>
      <c r="V80" s="519">
        <v>27670.409867760001</v>
      </c>
      <c r="W80" s="519">
        <v>311838.91599210701</v>
      </c>
      <c r="X80" s="519">
        <v>3917648.8611710798</v>
      </c>
    </row>
    <row r="81" spans="1:24" ht="14.45" customHeight="1">
      <c r="A81" s="520" t="s">
        <v>660</v>
      </c>
      <c r="B81" s="521">
        <v>513424.683265739</v>
      </c>
      <c r="C81" s="521">
        <v>15312.734195286101</v>
      </c>
      <c r="D81" s="521">
        <v>170815.73312443099</v>
      </c>
      <c r="E81" s="521">
        <v>680014.27864308795</v>
      </c>
      <c r="F81" s="521">
        <v>51804.122237968601</v>
      </c>
      <c r="G81" s="521">
        <v>209549.266943378</v>
      </c>
      <c r="H81" s="521">
        <v>1640920.8184098899</v>
      </c>
      <c r="I81" s="521">
        <v>549393.15039621899</v>
      </c>
      <c r="J81" s="521">
        <v>84158.233325604204</v>
      </c>
      <c r="K81" s="521">
        <v>262390.56718432298</v>
      </c>
      <c r="L81" s="521">
        <v>153098.74809479501</v>
      </c>
      <c r="M81" s="521">
        <v>384467.23240076401</v>
      </c>
      <c r="N81" s="521">
        <v>324991.69261185499</v>
      </c>
      <c r="O81" s="521">
        <v>222177.28304695099</v>
      </c>
      <c r="P81" s="521">
        <v>210772.60804742301</v>
      </c>
      <c r="Q81" s="521">
        <v>125556.75529215499</v>
      </c>
      <c r="R81" s="521">
        <v>31594.204006620799</v>
      </c>
      <c r="S81" s="521">
        <v>2348600.4744067099</v>
      </c>
      <c r="T81" s="521">
        <v>3989521.2928165998</v>
      </c>
      <c r="U81" s="521">
        <v>313730.04692224</v>
      </c>
      <c r="V81" s="521">
        <v>29392.486056440001</v>
      </c>
      <c r="W81" s="521">
        <v>369985.69912502897</v>
      </c>
      <c r="X81" s="521">
        <v>4702629.5249203099</v>
      </c>
    </row>
    <row r="82" spans="1:24" ht="14.45" customHeight="1">
      <c r="A82" s="518" t="s">
        <v>661</v>
      </c>
      <c r="B82" s="519">
        <v>246382.52979521401</v>
      </c>
      <c r="C82" s="519">
        <v>12499.212605671501</v>
      </c>
      <c r="D82" s="519">
        <v>173958.694793042</v>
      </c>
      <c r="E82" s="519">
        <v>700541.57738672197</v>
      </c>
      <c r="F82" s="519">
        <v>63789.506853559302</v>
      </c>
      <c r="G82" s="519">
        <v>225924.37678618499</v>
      </c>
      <c r="H82" s="519">
        <v>1423095.8982203901</v>
      </c>
      <c r="I82" s="519">
        <v>573298.23467595596</v>
      </c>
      <c r="J82" s="519">
        <v>94445.586658971195</v>
      </c>
      <c r="K82" s="519">
        <v>256226.23980635701</v>
      </c>
      <c r="L82" s="519">
        <v>166657.90185651201</v>
      </c>
      <c r="M82" s="519">
        <v>443598.88999316999</v>
      </c>
      <c r="N82" s="519">
        <v>334689.25535671698</v>
      </c>
      <c r="O82" s="519">
        <v>235098.745412308</v>
      </c>
      <c r="P82" s="519">
        <v>232582.35542662899</v>
      </c>
      <c r="Q82" s="519">
        <v>137424.99643614001</v>
      </c>
      <c r="R82" s="519">
        <v>35385.363162027599</v>
      </c>
      <c r="S82" s="519">
        <v>2509407.5687847901</v>
      </c>
      <c r="T82" s="519">
        <v>3932503.4670051802</v>
      </c>
      <c r="U82" s="519">
        <v>343668.15938919998</v>
      </c>
      <c r="V82" s="519">
        <v>32086.7997894</v>
      </c>
      <c r="W82" s="519">
        <v>377244.69249449199</v>
      </c>
      <c r="X82" s="519">
        <v>4685503.1186782802</v>
      </c>
    </row>
    <row r="83" spans="1:24" ht="14.45" customHeight="1">
      <c r="A83" s="520" t="s">
        <v>662</v>
      </c>
      <c r="B83" s="521">
        <v>242748.606263767</v>
      </c>
      <c r="C83" s="521">
        <v>9915.1780619869205</v>
      </c>
      <c r="D83" s="521">
        <v>178584.228374522</v>
      </c>
      <c r="E83" s="521">
        <v>734802.94503524597</v>
      </c>
      <c r="F83" s="521">
        <v>50475.392859872998</v>
      </c>
      <c r="G83" s="521">
        <v>220812.119682241</v>
      </c>
      <c r="H83" s="521">
        <v>1437338.47027764</v>
      </c>
      <c r="I83" s="521">
        <v>597128.17370824201</v>
      </c>
      <c r="J83" s="521">
        <v>103423.545050546</v>
      </c>
      <c r="K83" s="521">
        <v>268581.34296956199</v>
      </c>
      <c r="L83" s="521">
        <v>183561.16492016101</v>
      </c>
      <c r="M83" s="521">
        <v>490574.74986046698</v>
      </c>
      <c r="N83" s="521">
        <v>403728.09600696998</v>
      </c>
      <c r="O83" s="521">
        <v>257080.13689465099</v>
      </c>
      <c r="P83" s="521">
        <v>260121.29682595399</v>
      </c>
      <c r="Q83" s="521">
        <v>143462.48069732299</v>
      </c>
      <c r="R83" s="521">
        <v>37553.874111842102</v>
      </c>
      <c r="S83" s="521">
        <v>2745214.8610457201</v>
      </c>
      <c r="T83" s="521">
        <v>4182553.3313233601</v>
      </c>
      <c r="U83" s="521">
        <v>357721.83814124</v>
      </c>
      <c r="V83" s="521">
        <v>31084.0979152</v>
      </c>
      <c r="W83" s="521">
        <v>439204.92949093698</v>
      </c>
      <c r="X83" s="521">
        <v>5010564.1968707303</v>
      </c>
    </row>
    <row r="84" spans="1:24" ht="14.45" customHeight="1">
      <c r="A84" s="518" t="s">
        <v>663</v>
      </c>
      <c r="B84" s="519">
        <v>182342.83036057599</v>
      </c>
      <c r="C84" s="519">
        <v>7830.5298953494603</v>
      </c>
      <c r="D84" s="519">
        <v>183453.924055009</v>
      </c>
      <c r="E84" s="519">
        <v>731848.20004373102</v>
      </c>
      <c r="F84" s="519">
        <v>58027.037785553403</v>
      </c>
      <c r="G84" s="519">
        <v>243546.68433561499</v>
      </c>
      <c r="H84" s="519">
        <v>1407049.2064758299</v>
      </c>
      <c r="I84" s="519">
        <v>611862.38866818906</v>
      </c>
      <c r="J84" s="519">
        <v>122282.7480864</v>
      </c>
      <c r="K84" s="519">
        <v>290021.86400936497</v>
      </c>
      <c r="L84" s="519">
        <v>179184.89303224001</v>
      </c>
      <c r="M84" s="519">
        <v>469085.92449886899</v>
      </c>
      <c r="N84" s="519">
        <v>393173.43893030199</v>
      </c>
      <c r="O84" s="519">
        <v>264028.71374588402</v>
      </c>
      <c r="P84" s="519">
        <v>240894.127198684</v>
      </c>
      <c r="Q84" s="519">
        <v>154998.644840936</v>
      </c>
      <c r="R84" s="519">
        <v>42096.197134991402</v>
      </c>
      <c r="S84" s="519">
        <v>2767628.94014586</v>
      </c>
      <c r="T84" s="519">
        <v>4174678.1466216901</v>
      </c>
      <c r="U84" s="519">
        <v>393857.66117795999</v>
      </c>
      <c r="V84" s="519">
        <v>31586.925806359999</v>
      </c>
      <c r="W84" s="519">
        <v>392723.346874615</v>
      </c>
      <c r="X84" s="519">
        <v>4992846.0804806296</v>
      </c>
    </row>
    <row r="85" spans="1:24" ht="14.45" customHeight="1">
      <c r="A85" s="520" t="s">
        <v>664</v>
      </c>
      <c r="B85" s="521">
        <v>380158.41963999002</v>
      </c>
      <c r="C85" s="521">
        <v>16252.0865959763</v>
      </c>
      <c r="D85" s="521">
        <v>193272.91295440801</v>
      </c>
      <c r="E85" s="521">
        <v>848841.42899637006</v>
      </c>
      <c r="F85" s="521">
        <v>64272.737212354899</v>
      </c>
      <c r="G85" s="521">
        <v>261898.31105895701</v>
      </c>
      <c r="H85" s="521">
        <v>1764695.89645806</v>
      </c>
      <c r="I85" s="521">
        <v>709024.23587165098</v>
      </c>
      <c r="J85" s="521">
        <v>112353.807553488</v>
      </c>
      <c r="K85" s="521">
        <v>337169.39638276497</v>
      </c>
      <c r="L85" s="521">
        <v>193414.809780663</v>
      </c>
      <c r="M85" s="521">
        <v>558206.51982881594</v>
      </c>
      <c r="N85" s="521">
        <v>457682.71633742697</v>
      </c>
      <c r="O85" s="521">
        <v>297494.274591744</v>
      </c>
      <c r="P85" s="521">
        <v>286349.39551165799</v>
      </c>
      <c r="Q85" s="521">
        <v>171546.22378594</v>
      </c>
      <c r="R85" s="521">
        <v>44173.065500008299</v>
      </c>
      <c r="S85" s="521">
        <v>3167414.4451441602</v>
      </c>
      <c r="T85" s="521">
        <v>4932110.3416022202</v>
      </c>
      <c r="U85" s="521">
        <v>400360.90938551998</v>
      </c>
      <c r="V85" s="521">
        <v>31967.041500160001</v>
      </c>
      <c r="W85" s="521">
        <v>502228.76458990399</v>
      </c>
      <c r="X85" s="521">
        <v>5866667.0570777999</v>
      </c>
    </row>
    <row r="86" spans="1:24" ht="14.45" customHeight="1">
      <c r="A86" s="518" t="s">
        <v>665</v>
      </c>
      <c r="B86" s="519">
        <v>261154.557860081</v>
      </c>
      <c r="C86" s="519">
        <v>18748.404573317301</v>
      </c>
      <c r="D86" s="519">
        <v>187207.77887696101</v>
      </c>
      <c r="E86" s="519">
        <v>883669.27290007495</v>
      </c>
      <c r="F86" s="519">
        <v>78521.581622008598</v>
      </c>
      <c r="G86" s="519">
        <v>304551.05793578899</v>
      </c>
      <c r="H86" s="519">
        <v>1733852.65376823</v>
      </c>
      <c r="I86" s="519">
        <v>747977.17703965202</v>
      </c>
      <c r="J86" s="519">
        <v>128982.502320539</v>
      </c>
      <c r="K86" s="519">
        <v>331572.58334819297</v>
      </c>
      <c r="L86" s="519">
        <v>209718.11735699599</v>
      </c>
      <c r="M86" s="519">
        <v>592418.15434595302</v>
      </c>
      <c r="N86" s="519">
        <v>470275.411361081</v>
      </c>
      <c r="O86" s="519">
        <v>326469.26799376699</v>
      </c>
      <c r="P86" s="519">
        <v>317574.33548860502</v>
      </c>
      <c r="Q86" s="519">
        <v>187301.85881566899</v>
      </c>
      <c r="R86" s="519">
        <v>45303.3698128287</v>
      </c>
      <c r="S86" s="519">
        <v>3357592.7778832801</v>
      </c>
      <c r="T86" s="519">
        <v>5091445.4316515196</v>
      </c>
      <c r="U86" s="519">
        <v>456261.23112824</v>
      </c>
      <c r="V86" s="519">
        <v>37941.773214239998</v>
      </c>
      <c r="W86" s="519">
        <v>500966.12882251298</v>
      </c>
      <c r="X86" s="519">
        <v>6086614.5648165103</v>
      </c>
    </row>
    <row r="87" spans="1:24" ht="14.45" customHeight="1">
      <c r="A87" s="520" t="s">
        <v>666</v>
      </c>
      <c r="B87" s="521">
        <v>307633.56351201597</v>
      </c>
      <c r="C87" s="521">
        <v>12712.719967385099</v>
      </c>
      <c r="D87" s="521">
        <v>201077.819285298</v>
      </c>
      <c r="E87" s="521">
        <v>923390.52980035497</v>
      </c>
      <c r="F87" s="521">
        <v>68366.559488859799</v>
      </c>
      <c r="G87" s="521">
        <v>279031.55604642502</v>
      </c>
      <c r="H87" s="521">
        <v>1792212.7481003399</v>
      </c>
      <c r="I87" s="521">
        <v>757341.81250816095</v>
      </c>
      <c r="J87" s="521">
        <v>138116.10372294101</v>
      </c>
      <c r="K87" s="521">
        <v>343464.03213241597</v>
      </c>
      <c r="L87" s="521">
        <v>229184.331726417</v>
      </c>
      <c r="M87" s="521">
        <v>658425.03057307296</v>
      </c>
      <c r="N87" s="521">
        <v>556821.40774038201</v>
      </c>
      <c r="O87" s="521">
        <v>369889.46060460602</v>
      </c>
      <c r="P87" s="521">
        <v>349037.36068436602</v>
      </c>
      <c r="Q87" s="521">
        <v>196236.92602456699</v>
      </c>
      <c r="R87" s="521">
        <v>47659.202949104198</v>
      </c>
      <c r="S87" s="521">
        <v>3646175.6686660298</v>
      </c>
      <c r="T87" s="521">
        <v>5438388.4167663697</v>
      </c>
      <c r="U87" s="521">
        <v>481825.16224456002</v>
      </c>
      <c r="V87" s="521">
        <v>40553.524620360004</v>
      </c>
      <c r="W87" s="521">
        <v>509162.99070747499</v>
      </c>
      <c r="X87" s="521">
        <v>6469930.09433877</v>
      </c>
    </row>
    <row r="88" spans="1:24" ht="14.45" customHeight="1">
      <c r="A88" s="518" t="s">
        <v>667</v>
      </c>
      <c r="B88" s="519">
        <v>290638.73491739202</v>
      </c>
      <c r="C88" s="519">
        <v>11979.409461438499</v>
      </c>
      <c r="D88" s="519">
        <v>259008.39331002699</v>
      </c>
      <c r="E88" s="519">
        <v>982640.39933329402</v>
      </c>
      <c r="F88" s="519">
        <v>81155.063737275894</v>
      </c>
      <c r="G88" s="519">
        <v>296492.86284196901</v>
      </c>
      <c r="H88" s="519">
        <v>1921914.8636014001</v>
      </c>
      <c r="I88" s="519">
        <v>830417.26326785597</v>
      </c>
      <c r="J88" s="519">
        <v>162241.48232481</v>
      </c>
      <c r="K88" s="519">
        <v>392595.66072283499</v>
      </c>
      <c r="L88" s="519">
        <v>267173.51380136301</v>
      </c>
      <c r="M88" s="519">
        <v>657624.20645590802</v>
      </c>
      <c r="N88" s="519">
        <v>546346.09615200094</v>
      </c>
      <c r="O88" s="519">
        <v>377630.68730667199</v>
      </c>
      <c r="P88" s="519">
        <v>354974.82400473801</v>
      </c>
      <c r="Q88" s="519">
        <v>210316.96044363399</v>
      </c>
      <c r="R88" s="519">
        <v>53883.1323327891</v>
      </c>
      <c r="S88" s="519">
        <v>3853203.82681261</v>
      </c>
      <c r="T88" s="519">
        <v>5775118.6904140003</v>
      </c>
      <c r="U88" s="519">
        <v>532675.23356252001</v>
      </c>
      <c r="V88" s="519">
        <v>50149.724743120001</v>
      </c>
      <c r="W88" s="519">
        <v>540088.13741771795</v>
      </c>
      <c r="X88" s="519">
        <v>6898031.7861373601</v>
      </c>
    </row>
    <row r="89" spans="1:24" ht="14.45" customHeight="1">
      <c r="A89" s="520" t="s">
        <v>668</v>
      </c>
      <c r="B89" s="521">
        <v>845814.93004445999</v>
      </c>
      <c r="C89" s="521">
        <v>24501.696245334198</v>
      </c>
      <c r="D89" s="521">
        <v>286176.77907941298</v>
      </c>
      <c r="E89" s="521">
        <v>1090073.5809881301</v>
      </c>
      <c r="F89" s="521">
        <v>113160.42543418601</v>
      </c>
      <c r="G89" s="521">
        <v>301119.231623111</v>
      </c>
      <c r="H89" s="521">
        <v>2660846.6434146301</v>
      </c>
      <c r="I89" s="521">
        <v>956388.29037161497</v>
      </c>
      <c r="J89" s="521">
        <v>144160.25194173501</v>
      </c>
      <c r="K89" s="521">
        <v>465812.47887369298</v>
      </c>
      <c r="L89" s="521">
        <v>296507.96562380099</v>
      </c>
      <c r="M89" s="521">
        <v>745904.29788488802</v>
      </c>
      <c r="N89" s="521">
        <v>615830.65241476602</v>
      </c>
      <c r="O89" s="521">
        <v>428303.67810659099</v>
      </c>
      <c r="P89" s="521">
        <v>419939.47413564799</v>
      </c>
      <c r="Q89" s="521">
        <v>232997.24795121801</v>
      </c>
      <c r="R89" s="521">
        <v>59942.849883511299</v>
      </c>
      <c r="S89" s="521">
        <v>4365787.1871874696</v>
      </c>
      <c r="T89" s="521">
        <v>7026633.8306021001</v>
      </c>
      <c r="U89" s="521">
        <v>566990.30608315999</v>
      </c>
      <c r="V89" s="521">
        <v>56037.174524440001</v>
      </c>
      <c r="W89" s="521">
        <v>598601.11864906398</v>
      </c>
      <c r="X89" s="521">
        <v>8248262.4298587702</v>
      </c>
    </row>
    <row r="90" spans="1:24" ht="14.45" customHeight="1">
      <c r="A90" s="518" t="s">
        <v>669</v>
      </c>
      <c r="B90" s="519">
        <v>402321.01195908303</v>
      </c>
      <c r="C90" s="519">
        <v>30614.1999380456</v>
      </c>
      <c r="D90" s="519">
        <v>265357.72581965599</v>
      </c>
      <c r="E90" s="519">
        <v>1144741.5808200701</v>
      </c>
      <c r="F90" s="519">
        <v>117824.66029201599</v>
      </c>
      <c r="G90" s="519">
        <v>340567.74644053099</v>
      </c>
      <c r="H90" s="519">
        <v>2301426.9252693998</v>
      </c>
      <c r="I90" s="519">
        <v>1008183.55950939</v>
      </c>
      <c r="J90" s="519">
        <v>172613.173894657</v>
      </c>
      <c r="K90" s="519">
        <v>455424.16161376698</v>
      </c>
      <c r="L90" s="519">
        <v>330539.80983148498</v>
      </c>
      <c r="M90" s="519">
        <v>794734.72459513298</v>
      </c>
      <c r="N90" s="519">
        <v>638389.78124326398</v>
      </c>
      <c r="O90" s="519">
        <v>452179.86492427898</v>
      </c>
      <c r="P90" s="519">
        <v>434518.97490929801</v>
      </c>
      <c r="Q90" s="519">
        <v>250559.196418034</v>
      </c>
      <c r="R90" s="519">
        <v>63954.767164770303</v>
      </c>
      <c r="S90" s="519">
        <v>4601098.0141040804</v>
      </c>
      <c r="T90" s="519">
        <v>6902524.9393734802</v>
      </c>
      <c r="U90" s="519">
        <v>609419.48380984005</v>
      </c>
      <c r="V90" s="519">
        <v>60843.463698159998</v>
      </c>
      <c r="W90" s="519">
        <v>674925.167863296</v>
      </c>
      <c r="X90" s="519">
        <v>8247713.0547447801</v>
      </c>
    </row>
    <row r="91" spans="1:24" ht="12.75" customHeight="1">
      <c r="A91" s="522" t="s">
        <v>670</v>
      </c>
      <c r="B91" s="523">
        <v>397785.44985805999</v>
      </c>
      <c r="C91" s="523">
        <v>20827.5750017465</v>
      </c>
      <c r="D91" s="523">
        <v>277575.34613900998</v>
      </c>
      <c r="E91" s="523">
        <v>1237907.13221624</v>
      </c>
      <c r="F91" s="523">
        <v>115472.611418592</v>
      </c>
      <c r="G91" s="523">
        <v>331937.64904308203</v>
      </c>
      <c r="H91" s="523">
        <v>2381505.76367673</v>
      </c>
      <c r="I91" s="523">
        <v>1050011.77384503</v>
      </c>
      <c r="J91" s="523">
        <v>185997.310910106</v>
      </c>
      <c r="K91" s="523">
        <v>494857.57996323198</v>
      </c>
      <c r="L91" s="523">
        <v>361031.799729964</v>
      </c>
      <c r="M91" s="523">
        <v>894214.33028594998</v>
      </c>
      <c r="N91" s="523">
        <v>771619.89023229096</v>
      </c>
      <c r="O91" s="523">
        <v>482734.83063393802</v>
      </c>
      <c r="P91" s="523">
        <v>485017.73099036701</v>
      </c>
      <c r="Q91" s="523">
        <v>260651.08469446699</v>
      </c>
      <c r="R91" s="523">
        <v>60841.738484826499</v>
      </c>
      <c r="S91" s="523">
        <v>5046978.0697701704</v>
      </c>
      <c r="T91" s="523">
        <v>7428483.8334469004</v>
      </c>
      <c r="U91" s="523">
        <v>624862.72192716005</v>
      </c>
      <c r="V91" s="523">
        <v>58428.233122719997</v>
      </c>
      <c r="W91" s="523">
        <v>695199.59380472498</v>
      </c>
      <c r="X91" s="523">
        <v>8806974.3823015094</v>
      </c>
    </row>
    <row r="92" spans="1:24" ht="12.75" customHeight="1">
      <c r="A92" s="524" t="s">
        <v>671</v>
      </c>
      <c r="B92" s="525">
        <v>394715.95448259398</v>
      </c>
      <c r="C92" s="525">
        <v>16979.987484490401</v>
      </c>
      <c r="D92" s="525">
        <v>304121.51158817799</v>
      </c>
      <c r="E92" s="525">
        <v>1189826.29777033</v>
      </c>
      <c r="F92" s="525">
        <v>122499.090278021</v>
      </c>
      <c r="G92" s="525">
        <v>376272.16556126298</v>
      </c>
      <c r="H92" s="525">
        <v>2404415.0071648802</v>
      </c>
      <c r="I92" s="525">
        <v>1011952.29674725</v>
      </c>
      <c r="J92" s="525">
        <v>212838.871926527</v>
      </c>
      <c r="K92" s="525">
        <v>558576.82652020396</v>
      </c>
      <c r="L92" s="525">
        <v>372019.82579081698</v>
      </c>
      <c r="M92" s="525">
        <v>874659.125577386</v>
      </c>
      <c r="N92" s="525">
        <v>723100.536686623</v>
      </c>
      <c r="O92" s="525">
        <v>508264.82585105702</v>
      </c>
      <c r="P92" s="525">
        <v>487136.95020709402</v>
      </c>
      <c r="Q92" s="525">
        <v>288109.86108410603</v>
      </c>
      <c r="R92" s="525">
        <v>71667.8217809981</v>
      </c>
      <c r="S92" s="525">
        <v>5108326.9421720598</v>
      </c>
      <c r="T92" s="525">
        <v>7512741.9493369404</v>
      </c>
      <c r="U92" s="525">
        <v>660294.03735919995</v>
      </c>
      <c r="V92" s="525">
        <v>59732.948655959997</v>
      </c>
      <c r="W92" s="525">
        <v>728713.53001970705</v>
      </c>
      <c r="X92" s="525">
        <v>8961482.4653718006</v>
      </c>
    </row>
    <row r="93" spans="1:24" ht="12.75" customHeight="1">
      <c r="A93" s="522" t="s">
        <v>672</v>
      </c>
      <c r="B93" s="523">
        <v>830055.49900682003</v>
      </c>
      <c r="C93" s="523">
        <v>32582.2661546741</v>
      </c>
      <c r="D93" s="523">
        <v>297832.55813917698</v>
      </c>
      <c r="E93" s="523">
        <v>1331384.7665488401</v>
      </c>
      <c r="F93" s="523">
        <v>151058.335136379</v>
      </c>
      <c r="G93" s="523">
        <v>416964.06365903298</v>
      </c>
      <c r="H93" s="523">
        <v>3059877.4886449198</v>
      </c>
      <c r="I93" s="523">
        <v>1139333.3786146599</v>
      </c>
      <c r="J93" s="523">
        <v>190313.64361392899</v>
      </c>
      <c r="K93" s="523">
        <v>636695.81986211101</v>
      </c>
      <c r="L93" s="523">
        <v>400422.19007325702</v>
      </c>
      <c r="M93" s="523">
        <v>986653.891355425</v>
      </c>
      <c r="N93" s="523">
        <v>799751.18425915798</v>
      </c>
      <c r="O93" s="523">
        <v>544235.20264869498</v>
      </c>
      <c r="P93" s="523">
        <v>560758.03297654295</v>
      </c>
      <c r="Q93" s="523">
        <v>306026.02649926301</v>
      </c>
      <c r="R93" s="523">
        <v>78223.259807609604</v>
      </c>
      <c r="S93" s="523">
        <v>5642412.6297106501</v>
      </c>
      <c r="T93" s="523">
        <v>8702290.1183555704</v>
      </c>
      <c r="U93" s="523">
        <v>727774.68985136005</v>
      </c>
      <c r="V93" s="523">
        <v>63550.774920960001</v>
      </c>
      <c r="W93" s="523">
        <v>833439.01334709802</v>
      </c>
      <c r="X93" s="523">
        <v>10327054.596475</v>
      </c>
    </row>
    <row r="94" spans="1:24" ht="12.75" customHeight="1">
      <c r="A94" s="524" t="s">
        <v>673</v>
      </c>
      <c r="B94" s="525">
        <v>479985.52561183798</v>
      </c>
      <c r="C94" s="525">
        <v>36323.964489269798</v>
      </c>
      <c r="D94" s="525">
        <v>315780.104531552</v>
      </c>
      <c r="E94" s="525">
        <v>1414779.5275119201</v>
      </c>
      <c r="F94" s="525">
        <v>173435.09541778601</v>
      </c>
      <c r="G94" s="525">
        <v>455403.810125002</v>
      </c>
      <c r="H94" s="525">
        <v>2875708.0276873698</v>
      </c>
      <c r="I94" s="525">
        <v>1208398.87367984</v>
      </c>
      <c r="J94" s="525">
        <v>222504.0714711</v>
      </c>
      <c r="K94" s="525">
        <v>615101.86544382898</v>
      </c>
      <c r="L94" s="525">
        <v>425856.47085504403</v>
      </c>
      <c r="M94" s="525">
        <v>1072736.5185432101</v>
      </c>
      <c r="N94" s="525">
        <v>797873.32271315996</v>
      </c>
      <c r="O94" s="525">
        <v>572296.20073040004</v>
      </c>
      <c r="P94" s="525">
        <v>568865.65231325396</v>
      </c>
      <c r="Q94" s="525">
        <v>326959.81700623699</v>
      </c>
      <c r="R94" s="525">
        <v>80738.288311061595</v>
      </c>
      <c r="S94" s="525">
        <v>5891331.0810671402</v>
      </c>
      <c r="T94" s="525">
        <v>8767039.1087545007</v>
      </c>
      <c r="U94" s="525">
        <v>810580.39949560002</v>
      </c>
      <c r="V94" s="525">
        <v>79898.131600120003</v>
      </c>
      <c r="W94" s="525">
        <v>874926.988412812</v>
      </c>
      <c r="X94" s="525">
        <v>10532444.628263</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2"/>
  <sheetViews>
    <sheetView topLeftCell="B1" zoomScale="95" zoomScaleNormal="95" workbookViewId="0">
      <selection activeCell="V28" sqref="V28"/>
    </sheetView>
    <sheetView workbookViewId="1"/>
  </sheetViews>
  <sheetFormatPr baseColWidth="10" defaultColWidth="11.5703125" defaultRowHeight="15"/>
  <cols>
    <col min="1" max="1025" width="11.5703125" style="1"/>
  </cols>
  <sheetData>
    <row r="1" spans="1:22" ht="14.45" customHeight="1">
      <c r="A1" s="503"/>
      <c r="B1" s="526" t="s">
        <v>674</v>
      </c>
      <c r="C1" s="502"/>
      <c r="D1" s="502"/>
      <c r="E1" s="502"/>
      <c r="F1" s="502"/>
      <c r="G1" s="502"/>
      <c r="H1" s="502"/>
      <c r="I1" s="502"/>
      <c r="J1" s="527" t="s">
        <v>675</v>
      </c>
      <c r="K1" s="502"/>
      <c r="L1" s="502"/>
      <c r="M1" s="502"/>
      <c r="N1" s="502"/>
      <c r="O1" s="502"/>
      <c r="P1" s="502"/>
      <c r="Q1" s="502"/>
      <c r="R1" s="502"/>
      <c r="S1" s="502"/>
      <c r="T1" s="502"/>
      <c r="U1" s="502"/>
      <c r="V1" s="502"/>
    </row>
    <row r="2" spans="1:22" ht="14.45" customHeight="1">
      <c r="A2" s="504"/>
      <c r="B2" s="504" t="s">
        <v>676</v>
      </c>
    </row>
    <row r="3" spans="1:22" ht="14.45" customHeight="1">
      <c r="A3" s="505"/>
      <c r="B3" s="505" t="s">
        <v>677</v>
      </c>
    </row>
    <row r="4" spans="1:22" ht="14.45" customHeight="1">
      <c r="A4" s="505"/>
      <c r="B4" s="506" t="s">
        <v>593</v>
      </c>
      <c r="C4" s="507" t="s">
        <v>594</v>
      </c>
      <c r="D4" s="507" t="s">
        <v>595</v>
      </c>
    </row>
    <row r="5" spans="1:22" ht="14.45" customHeight="1">
      <c r="A5" s="528"/>
    </row>
    <row r="6" spans="1:22" ht="75.75" customHeight="1">
      <c r="A6" s="509"/>
      <c r="B6" s="510" t="s">
        <v>596</v>
      </c>
      <c r="C6" s="510" t="s">
        <v>597</v>
      </c>
      <c r="D6" s="510" t="s">
        <v>598</v>
      </c>
      <c r="E6" s="510" t="s">
        <v>599</v>
      </c>
      <c r="F6" s="510" t="s">
        <v>600</v>
      </c>
      <c r="G6" s="510" t="s">
        <v>601</v>
      </c>
      <c r="H6" s="511" t="s">
        <v>602</v>
      </c>
      <c r="I6" s="511" t="s">
        <v>603</v>
      </c>
      <c r="J6" s="511" t="s">
        <v>604</v>
      </c>
      <c r="K6" s="511" t="s">
        <v>605</v>
      </c>
      <c r="L6" s="511" t="s">
        <v>606</v>
      </c>
      <c r="M6" s="511" t="s">
        <v>607</v>
      </c>
      <c r="N6" s="511" t="s">
        <v>678</v>
      </c>
      <c r="O6" s="511" t="s">
        <v>679</v>
      </c>
      <c r="P6" s="511" t="s">
        <v>680</v>
      </c>
      <c r="Q6" s="511" t="s">
        <v>613</v>
      </c>
      <c r="R6" s="511" t="s">
        <v>681</v>
      </c>
      <c r="S6" s="511" t="s">
        <v>682</v>
      </c>
      <c r="T6" s="511" t="s">
        <v>615</v>
      </c>
      <c r="U6" s="511" t="s">
        <v>683</v>
      </c>
      <c r="V6" s="511" t="s">
        <v>618</v>
      </c>
    </row>
    <row r="7" spans="1:22" ht="14.45" customHeight="1"/>
    <row r="8" spans="1:22" ht="14.45" customHeight="1">
      <c r="A8" s="529">
        <v>1993</v>
      </c>
      <c r="B8" s="530">
        <v>11736.940020628899</v>
      </c>
      <c r="C8" s="530">
        <v>411.910069262175</v>
      </c>
      <c r="D8" s="530">
        <v>3527.2131539378302</v>
      </c>
      <c r="E8" s="530">
        <v>43138.297937698</v>
      </c>
      <c r="F8" s="530">
        <v>4599.0347285271</v>
      </c>
      <c r="G8" s="530">
        <v>13392.933031</v>
      </c>
      <c r="H8" s="530">
        <v>76806.3289410539</v>
      </c>
      <c r="I8" s="530">
        <v>33862.497193337098</v>
      </c>
      <c r="J8" s="530">
        <v>5431.7906426930704</v>
      </c>
      <c r="K8" s="530">
        <v>16133.8503654426</v>
      </c>
      <c r="L8" s="530">
        <v>9299.0372249013508</v>
      </c>
      <c r="M8" s="530">
        <v>34131.719405988202</v>
      </c>
      <c r="N8" s="530">
        <v>14562.077281162499</v>
      </c>
      <c r="O8" s="530">
        <v>18180.009824526798</v>
      </c>
      <c r="P8" s="530">
        <v>12801.617478238901</v>
      </c>
      <c r="Q8" s="530">
        <v>144402.59941629099</v>
      </c>
      <c r="R8" s="530">
        <v>3411.0270705776602</v>
      </c>
      <c r="S8" s="530">
        <v>217797.90128676701</v>
      </c>
      <c r="T8" s="530">
        <v>16266.639909</v>
      </c>
      <c r="U8" s="530">
        <v>2440.4394269999898</v>
      </c>
      <c r="V8" s="530">
        <v>236504.98062276701</v>
      </c>
    </row>
    <row r="9" spans="1:22" ht="14.45" customHeight="1">
      <c r="A9" s="520">
        <v>1994</v>
      </c>
      <c r="B9" s="531">
        <v>12609.13832176</v>
      </c>
      <c r="C9" s="531">
        <v>475.68212927511001</v>
      </c>
      <c r="D9" s="531">
        <v>3820.06295445252</v>
      </c>
      <c r="E9" s="531">
        <v>45873.469662044001</v>
      </c>
      <c r="F9" s="531">
        <v>4871.99706371925</v>
      </c>
      <c r="G9" s="531">
        <v>14311.4061726578</v>
      </c>
      <c r="H9" s="531">
        <v>81961.756303908696</v>
      </c>
      <c r="I9" s="531">
        <v>36567.852935413197</v>
      </c>
      <c r="J9" s="531">
        <v>6230.0515668241096</v>
      </c>
      <c r="K9" s="531">
        <v>18251.333505556799</v>
      </c>
      <c r="L9" s="531">
        <v>9005.1949497838104</v>
      </c>
      <c r="M9" s="531">
        <v>39848.544000214701</v>
      </c>
      <c r="N9" s="531">
        <v>15568.536737466</v>
      </c>
      <c r="O9" s="531">
        <v>19629.701523804899</v>
      </c>
      <c r="P9" s="531">
        <v>13458.122100864901</v>
      </c>
      <c r="Q9" s="531">
        <v>158559.33731992799</v>
      </c>
      <c r="R9" s="531">
        <v>3215.0925537330099</v>
      </c>
      <c r="S9" s="531">
        <v>237306.00107010399</v>
      </c>
      <c r="T9" s="531">
        <v>17365.677218000001</v>
      </c>
      <c r="U9" s="531">
        <v>2768.2810690000001</v>
      </c>
      <c r="V9" s="531">
        <v>257439.959357104</v>
      </c>
    </row>
    <row r="10" spans="1:22" ht="14.45" customHeight="1">
      <c r="A10" s="529">
        <v>1995</v>
      </c>
      <c r="B10" s="530">
        <v>13253.414834855899</v>
      </c>
      <c r="C10" s="530">
        <v>555.06299313121804</v>
      </c>
      <c r="D10" s="530">
        <v>4838.3507186344796</v>
      </c>
      <c r="E10" s="530">
        <v>44502.096326657302</v>
      </c>
      <c r="F10" s="530">
        <v>5111.0188543636896</v>
      </c>
      <c r="G10" s="530">
        <v>13414.007430674401</v>
      </c>
      <c r="H10" s="530">
        <v>81673.951158316995</v>
      </c>
      <c r="I10" s="530">
        <v>34955.223513926299</v>
      </c>
      <c r="J10" s="530">
        <v>6243.2816051293203</v>
      </c>
      <c r="K10" s="530">
        <v>19059.931639323098</v>
      </c>
      <c r="L10" s="530">
        <v>9869.35236748233</v>
      </c>
      <c r="M10" s="530">
        <v>41470.004483792502</v>
      </c>
      <c r="N10" s="530">
        <v>15606.9801186273</v>
      </c>
      <c r="O10" s="530">
        <v>20268.1203007484</v>
      </c>
      <c r="P10" s="530">
        <v>13187.4262304474</v>
      </c>
      <c r="Q10" s="530">
        <v>160660.32025947701</v>
      </c>
      <c r="R10" s="530">
        <v>3722.1016764588398</v>
      </c>
      <c r="S10" s="530">
        <v>238612.169741335</v>
      </c>
      <c r="T10" s="530">
        <v>17442.215516</v>
      </c>
      <c r="U10" s="530">
        <v>1977.4997760000001</v>
      </c>
      <c r="V10" s="530">
        <v>258031.88503333501</v>
      </c>
    </row>
    <row r="11" spans="1:22" ht="14.45" customHeight="1">
      <c r="A11" s="520">
        <v>1996</v>
      </c>
      <c r="B11" s="531">
        <v>14664.0182097054</v>
      </c>
      <c r="C11" s="531">
        <v>605.93984599617897</v>
      </c>
      <c r="D11" s="531">
        <v>5888.9079973897497</v>
      </c>
      <c r="E11" s="531">
        <v>47723.427149554896</v>
      </c>
      <c r="F11" s="531">
        <v>5232.4338147091503</v>
      </c>
      <c r="G11" s="531">
        <v>13526.818317476</v>
      </c>
      <c r="H11" s="531">
        <v>87641.545334831302</v>
      </c>
      <c r="I11" s="531">
        <v>37753.6738010626</v>
      </c>
      <c r="J11" s="531">
        <v>6787.2906053209099</v>
      </c>
      <c r="K11" s="531">
        <v>20501.350372458401</v>
      </c>
      <c r="L11" s="531">
        <v>9831.8099808431507</v>
      </c>
      <c r="M11" s="531">
        <v>42543.042312462399</v>
      </c>
      <c r="N11" s="531">
        <v>15497.3177748382</v>
      </c>
      <c r="O11" s="531">
        <v>20451.8727127936</v>
      </c>
      <c r="P11" s="531">
        <v>13600.223397276201</v>
      </c>
      <c r="Q11" s="531">
        <v>166966.58095705599</v>
      </c>
      <c r="R11" s="531">
        <v>3508.5257695809901</v>
      </c>
      <c r="S11" s="531">
        <v>251099.60052230599</v>
      </c>
      <c r="T11" s="531">
        <v>18825.098140999999</v>
      </c>
      <c r="U11" s="531">
        <v>2225.0591479999998</v>
      </c>
      <c r="V11" s="531">
        <v>272149.75781130599</v>
      </c>
    </row>
    <row r="12" spans="1:22" ht="14.45" customHeight="1">
      <c r="A12" s="529">
        <v>1997</v>
      </c>
      <c r="B12" s="530">
        <v>14624.854017342601</v>
      </c>
      <c r="C12" s="530">
        <v>668.16130712891595</v>
      </c>
      <c r="D12" s="530">
        <v>5632.5340608677398</v>
      </c>
      <c r="E12" s="530">
        <v>53382.062494648802</v>
      </c>
      <c r="F12" s="530">
        <v>5501.6995869222101</v>
      </c>
      <c r="G12" s="530">
        <v>15080.2933083963</v>
      </c>
      <c r="H12" s="530">
        <v>94889.604775306594</v>
      </c>
      <c r="I12" s="530">
        <v>41476.846181361798</v>
      </c>
      <c r="J12" s="530">
        <v>7643.6283556870703</v>
      </c>
      <c r="K12" s="530">
        <v>22951.900211674201</v>
      </c>
      <c r="L12" s="530">
        <v>10116.2932509685</v>
      </c>
      <c r="M12" s="530">
        <v>44566.754784269797</v>
      </c>
      <c r="N12" s="530">
        <v>15859.749041844399</v>
      </c>
      <c r="O12" s="530">
        <v>21366.4976693881</v>
      </c>
      <c r="P12" s="530">
        <v>14220.932535694399</v>
      </c>
      <c r="Q12" s="530">
        <v>178202.602030888</v>
      </c>
      <c r="R12" s="530">
        <v>3534.2241416522202</v>
      </c>
      <c r="S12" s="530">
        <v>269557.98266454297</v>
      </c>
      <c r="T12" s="530">
        <v>20473.874016999998</v>
      </c>
      <c r="U12" s="530">
        <v>2827.0206480000002</v>
      </c>
      <c r="V12" s="530">
        <v>292858.877329543</v>
      </c>
    </row>
    <row r="13" spans="1:22" ht="14.45" customHeight="1">
      <c r="A13" s="520">
        <v>1998</v>
      </c>
      <c r="B13" s="531">
        <v>15062.5978338655</v>
      </c>
      <c r="C13" s="531">
        <v>640.32439465112896</v>
      </c>
      <c r="D13" s="531">
        <v>4311.47890078408</v>
      </c>
      <c r="E13" s="531">
        <v>53326.264723170498</v>
      </c>
      <c r="F13" s="531">
        <v>5821.1025083545201</v>
      </c>
      <c r="G13" s="531">
        <v>16396.616297672801</v>
      </c>
      <c r="H13" s="531">
        <v>95558.3846584985</v>
      </c>
      <c r="I13" s="531">
        <v>41983.705945674497</v>
      </c>
      <c r="J13" s="531">
        <v>8250.9296787844396</v>
      </c>
      <c r="K13" s="531">
        <v>24390.3511041376</v>
      </c>
      <c r="L13" s="531">
        <v>11123.2250121777</v>
      </c>
      <c r="M13" s="531">
        <v>45204.733711782901</v>
      </c>
      <c r="N13" s="531">
        <v>16706.406200879399</v>
      </c>
      <c r="O13" s="531">
        <v>22102.102713542201</v>
      </c>
      <c r="P13" s="531">
        <v>14210.3588747537</v>
      </c>
      <c r="Q13" s="531">
        <v>183971.81324173199</v>
      </c>
      <c r="R13" s="531">
        <v>4180.5840237925904</v>
      </c>
      <c r="S13" s="531">
        <v>275349.613876438</v>
      </c>
      <c r="T13" s="531">
        <v>20857.357900579998</v>
      </c>
      <c r="U13" s="531">
        <v>2741.38677719</v>
      </c>
      <c r="V13" s="531">
        <v>298948.35855420801</v>
      </c>
    </row>
    <row r="14" spans="1:22" ht="14.45" customHeight="1">
      <c r="A14" s="529">
        <v>1999</v>
      </c>
      <c r="B14" s="530">
        <v>12080.3921653001</v>
      </c>
      <c r="C14" s="530">
        <v>558.570124595685</v>
      </c>
      <c r="D14" s="530">
        <v>4674.2770562072901</v>
      </c>
      <c r="E14" s="530">
        <v>48089.8246860789</v>
      </c>
      <c r="F14" s="530">
        <v>6132.9985544502397</v>
      </c>
      <c r="G14" s="530">
        <v>15367.866746723799</v>
      </c>
      <c r="H14" s="530">
        <v>86903.929333356107</v>
      </c>
      <c r="I14" s="530">
        <v>37661.849769856497</v>
      </c>
      <c r="J14" s="530">
        <v>7965.6201072153899</v>
      </c>
      <c r="K14" s="530">
        <v>23484.966323426601</v>
      </c>
      <c r="L14" s="530">
        <v>11517.963109305099</v>
      </c>
      <c r="M14" s="530">
        <v>44511.054263954</v>
      </c>
      <c r="N14" s="530">
        <v>17502.956645163998</v>
      </c>
      <c r="O14" s="530">
        <v>23184.347913567399</v>
      </c>
      <c r="P14" s="530">
        <v>14173.560063929999</v>
      </c>
      <c r="Q14" s="530">
        <v>180002.31819641899</v>
      </c>
      <c r="R14" s="530">
        <v>4432.0047936501796</v>
      </c>
      <c r="S14" s="530">
        <v>262474.24273612502</v>
      </c>
      <c r="T14" s="530">
        <v>18771.036628080001</v>
      </c>
      <c r="U14" s="530">
        <v>2277.74461647</v>
      </c>
      <c r="V14" s="530">
        <v>283523.02398067497</v>
      </c>
    </row>
    <row r="15" spans="1:22" ht="14.45" customHeight="1">
      <c r="A15" s="520">
        <v>2000</v>
      </c>
      <c r="B15" s="531">
        <v>12725.346023268299</v>
      </c>
      <c r="C15" s="531">
        <v>575.13633894827205</v>
      </c>
      <c r="D15" s="531">
        <v>7097.5525388989699</v>
      </c>
      <c r="E15" s="531">
        <v>46877.339445250902</v>
      </c>
      <c r="F15" s="531">
        <v>6583.8944520055502</v>
      </c>
      <c r="G15" s="531">
        <v>13308.144114700601</v>
      </c>
      <c r="H15" s="531">
        <v>87167.412913072694</v>
      </c>
      <c r="I15" s="531">
        <v>36110.301437527101</v>
      </c>
      <c r="J15" s="531">
        <v>7795.5377773269702</v>
      </c>
      <c r="K15" s="531">
        <v>24136.642938113298</v>
      </c>
      <c r="L15" s="531">
        <v>11517.4436937751</v>
      </c>
      <c r="M15" s="531">
        <v>44501.139490723799</v>
      </c>
      <c r="N15" s="531">
        <v>17802.6584532099</v>
      </c>
      <c r="O15" s="531">
        <v>24066.9724072891</v>
      </c>
      <c r="P15" s="531">
        <v>14451.4726683716</v>
      </c>
      <c r="Q15" s="531">
        <v>180382.16886633699</v>
      </c>
      <c r="R15" s="531">
        <v>4330.6371415076701</v>
      </c>
      <c r="S15" s="531">
        <v>263218.94463790202</v>
      </c>
      <c r="T15" s="531">
        <v>19008.543596439999</v>
      </c>
      <c r="U15" s="531">
        <v>1976.25108028</v>
      </c>
      <c r="V15" s="531">
        <v>284203.73931462201</v>
      </c>
    </row>
    <row r="16" spans="1:22" ht="14.45" customHeight="1">
      <c r="A16" s="529">
        <v>2001</v>
      </c>
      <c r="B16" s="530">
        <v>11564.895043841299</v>
      </c>
      <c r="C16" s="530">
        <v>710.75676959385396</v>
      </c>
      <c r="D16" s="530">
        <v>6657.3819323715697</v>
      </c>
      <c r="E16" s="530">
        <v>43241.974897491396</v>
      </c>
      <c r="F16" s="530">
        <v>6331.9446175794701</v>
      </c>
      <c r="G16" s="530">
        <v>11596.985257857799</v>
      </c>
      <c r="H16" s="530">
        <v>80103.938518735406</v>
      </c>
      <c r="I16" s="530">
        <v>32830.549503284397</v>
      </c>
      <c r="J16" s="530">
        <v>7308.5308283471704</v>
      </c>
      <c r="K16" s="530">
        <v>22872.548776662501</v>
      </c>
      <c r="L16" s="530">
        <v>13761.520117386901</v>
      </c>
      <c r="M16" s="530">
        <v>42697.4571389099</v>
      </c>
      <c r="N16" s="530">
        <v>17117.243932764501</v>
      </c>
      <c r="O16" s="530">
        <v>24051.6906902683</v>
      </c>
      <c r="P16" s="530">
        <v>14231.682281097301</v>
      </c>
      <c r="Q16" s="530">
        <v>174871.22326872099</v>
      </c>
      <c r="R16" s="530">
        <v>4086.6611519647199</v>
      </c>
      <c r="S16" s="530">
        <v>250888.500635492</v>
      </c>
      <c r="T16" s="530">
        <v>16233.306739060001</v>
      </c>
      <c r="U16" s="530">
        <v>1574.9014597400001</v>
      </c>
      <c r="V16" s="530">
        <v>268696.70883429202</v>
      </c>
    </row>
    <row r="17" spans="1:22" ht="14.45" customHeight="1">
      <c r="A17" s="520">
        <v>2002</v>
      </c>
      <c r="B17" s="531">
        <v>30481.757363199002</v>
      </c>
      <c r="C17" s="531">
        <v>1422.1789036903699</v>
      </c>
      <c r="D17" s="531">
        <v>18674.265666819902</v>
      </c>
      <c r="E17" s="531">
        <v>63603.071689457902</v>
      </c>
      <c r="F17" s="531">
        <v>5352.4344892170102</v>
      </c>
      <c r="G17" s="531">
        <v>7887.6027156153004</v>
      </c>
      <c r="H17" s="531">
        <v>127421.310828</v>
      </c>
      <c r="I17" s="531">
        <v>33690.617469501398</v>
      </c>
      <c r="J17" s="531">
        <v>6680.7225965218504</v>
      </c>
      <c r="K17" s="531">
        <v>23116.168619008102</v>
      </c>
      <c r="L17" s="531">
        <v>16456.899073123001</v>
      </c>
      <c r="M17" s="531">
        <v>39885.0974269246</v>
      </c>
      <c r="N17" s="531">
        <v>16866.949810243801</v>
      </c>
      <c r="O17" s="531">
        <v>22716.554300933502</v>
      </c>
      <c r="P17" s="531">
        <v>11807.2044581469</v>
      </c>
      <c r="Q17" s="531">
        <v>171220.213754403</v>
      </c>
      <c r="R17" s="531">
        <v>3837.05202462528</v>
      </c>
      <c r="S17" s="531">
        <v>294804.47255777702</v>
      </c>
      <c r="T17" s="531">
        <v>16468.106049679998</v>
      </c>
      <c r="U17" s="531">
        <v>1307.56525291</v>
      </c>
      <c r="V17" s="531">
        <v>312580.14386036701</v>
      </c>
    </row>
    <row r="18" spans="1:22" ht="14.45" customHeight="1">
      <c r="A18" s="529">
        <v>2003</v>
      </c>
      <c r="B18" s="530">
        <v>37266.859202497799</v>
      </c>
      <c r="C18" s="530">
        <v>1557.70149937219</v>
      </c>
      <c r="D18" s="530">
        <v>20528.1582991416</v>
      </c>
      <c r="E18" s="530">
        <v>84529.831677749797</v>
      </c>
      <c r="F18" s="530">
        <v>6126.9949014556396</v>
      </c>
      <c r="G18" s="530">
        <v>11531.0439571282</v>
      </c>
      <c r="H18" s="530">
        <v>161540.58953734499</v>
      </c>
      <c r="I18" s="530">
        <v>41183.338013089902</v>
      </c>
      <c r="J18" s="530">
        <v>8231.9702354061792</v>
      </c>
      <c r="K18" s="530">
        <v>29975.292250095201</v>
      </c>
      <c r="L18" s="530">
        <v>13683.2825987825</v>
      </c>
      <c r="M18" s="530">
        <v>42194.627593690799</v>
      </c>
      <c r="N18" s="530">
        <v>18846.221227384998</v>
      </c>
      <c r="O18" s="530">
        <v>24262.7695563173</v>
      </c>
      <c r="P18" s="530">
        <v>13455.485236652599</v>
      </c>
      <c r="Q18" s="530">
        <v>191832.98671142</v>
      </c>
      <c r="R18" s="530">
        <v>1774.4882140555501</v>
      </c>
      <c r="S18" s="530">
        <v>351599.08803470898</v>
      </c>
      <c r="T18" s="530">
        <v>22021.603601489998</v>
      </c>
      <c r="U18" s="530">
        <v>2288.66976045</v>
      </c>
      <c r="V18" s="530">
        <v>375909.36139664898</v>
      </c>
    </row>
    <row r="19" spans="1:22" ht="14.45" customHeight="1">
      <c r="A19" s="520">
        <v>2004</v>
      </c>
      <c r="B19" s="531">
        <v>41886.023484980498</v>
      </c>
      <c r="C19" s="531">
        <v>1262.4446649297299</v>
      </c>
      <c r="D19" s="531">
        <v>23541.533135883299</v>
      </c>
      <c r="E19" s="531">
        <v>99792.7298191749</v>
      </c>
      <c r="F19" s="531">
        <v>6968.6779509175703</v>
      </c>
      <c r="G19" s="531">
        <v>17264.166644589201</v>
      </c>
      <c r="H19" s="531">
        <v>190715.57570047499</v>
      </c>
      <c r="I19" s="531">
        <v>48452.807943015599</v>
      </c>
      <c r="J19" s="531">
        <v>9935.8842162170004</v>
      </c>
      <c r="K19" s="531">
        <v>37523.866347673596</v>
      </c>
      <c r="L19" s="531">
        <v>17043.7051908383</v>
      </c>
      <c r="M19" s="531">
        <v>45986.738268490401</v>
      </c>
      <c r="N19" s="531">
        <v>21337.845335191301</v>
      </c>
      <c r="O19" s="531">
        <v>27100.334420012201</v>
      </c>
      <c r="P19" s="531">
        <v>16277.7521658187</v>
      </c>
      <c r="Q19" s="531">
        <v>223658.93388725701</v>
      </c>
      <c r="R19" s="531">
        <v>2068.0681652532398</v>
      </c>
      <c r="S19" s="531">
        <v>412306.44142247899</v>
      </c>
      <c r="T19" s="531">
        <v>32086.530771731999</v>
      </c>
      <c r="U19" s="531">
        <v>3250.45344763</v>
      </c>
      <c r="V19" s="531">
        <v>447643.42564184102</v>
      </c>
    </row>
    <row r="20" spans="1:22" ht="14.45" customHeight="1">
      <c r="A20" s="529">
        <v>2005</v>
      </c>
      <c r="B20" s="530">
        <v>44759.605415500802</v>
      </c>
      <c r="C20" s="530">
        <v>1570.9882138642699</v>
      </c>
      <c r="D20" s="530">
        <v>28819.9695871972</v>
      </c>
      <c r="E20" s="530">
        <v>114091.122034516</v>
      </c>
      <c r="F20" s="530">
        <v>8519.9801331443596</v>
      </c>
      <c r="G20" s="530">
        <v>24059.3387625705</v>
      </c>
      <c r="H20" s="530">
        <v>221821.00414679301</v>
      </c>
      <c r="I20" s="530">
        <v>57998.767906645298</v>
      </c>
      <c r="J20" s="530">
        <v>12558.8640591412</v>
      </c>
      <c r="K20" s="530">
        <v>44427.9530582156</v>
      </c>
      <c r="L20" s="530">
        <v>21401.9593710548</v>
      </c>
      <c r="M20" s="530">
        <v>53598.792505824298</v>
      </c>
      <c r="N20" s="530">
        <v>26620.899387710298</v>
      </c>
      <c r="O20" s="530">
        <v>34349.749356505199</v>
      </c>
      <c r="P20" s="530">
        <v>20046.705359318199</v>
      </c>
      <c r="Q20" s="530">
        <v>271003.69100441498</v>
      </c>
      <c r="R20" s="530">
        <v>3038.56707837363</v>
      </c>
      <c r="S20" s="530">
        <v>489786.12807283498</v>
      </c>
      <c r="T20" s="530">
        <v>38276.030896670003</v>
      </c>
      <c r="U20" s="530">
        <v>3876.5633269</v>
      </c>
      <c r="V20" s="530">
        <v>531938.722296405</v>
      </c>
    </row>
    <row r="21" spans="1:22" ht="14.45" customHeight="1">
      <c r="A21" s="520">
        <v>2006</v>
      </c>
      <c r="B21" s="531">
        <v>48759.322332217402</v>
      </c>
      <c r="C21" s="531">
        <v>2000.61993124539</v>
      </c>
      <c r="D21" s="531">
        <v>36234.767863204303</v>
      </c>
      <c r="E21" s="531">
        <v>134708.78924066899</v>
      </c>
      <c r="F21" s="531">
        <v>9712.4283943010396</v>
      </c>
      <c r="G21" s="531">
        <v>34896.516567947903</v>
      </c>
      <c r="H21" s="531">
        <v>266312.44432958501</v>
      </c>
      <c r="I21" s="531">
        <v>69127.361189283794</v>
      </c>
      <c r="J21" s="531">
        <v>16343.969296278699</v>
      </c>
      <c r="K21" s="531">
        <v>53564.8210115275</v>
      </c>
      <c r="L21" s="531">
        <v>28048.268197029</v>
      </c>
      <c r="M21" s="531">
        <v>65961.638691289496</v>
      </c>
      <c r="N21" s="531">
        <v>33628.699315656901</v>
      </c>
      <c r="O21" s="531">
        <v>46943.3233038545</v>
      </c>
      <c r="P21" s="531">
        <v>24861.6169788181</v>
      </c>
      <c r="Q21" s="531">
        <v>338479.69798373798</v>
      </c>
      <c r="R21" s="531">
        <v>4536.1768467563297</v>
      </c>
      <c r="S21" s="531">
        <v>600255.96546656697</v>
      </c>
      <c r="T21" s="531">
        <v>49044.023048470001</v>
      </c>
      <c r="U21" s="531">
        <v>5138.9967336099999</v>
      </c>
      <c r="V21" s="531">
        <v>654438.98524864705</v>
      </c>
    </row>
    <row r="22" spans="1:22" ht="14.45" customHeight="1">
      <c r="A22" s="529">
        <v>2007</v>
      </c>
      <c r="B22" s="530">
        <v>68252.778551540701</v>
      </c>
      <c r="C22" s="530">
        <v>1848.7356047085</v>
      </c>
      <c r="D22" s="530">
        <v>35557.2953369975</v>
      </c>
      <c r="E22" s="530">
        <v>158820.960263646</v>
      </c>
      <c r="F22" s="530">
        <v>10991.1683171082</v>
      </c>
      <c r="G22" s="530">
        <v>46359.194198914898</v>
      </c>
      <c r="H22" s="530">
        <v>321830.13227291597</v>
      </c>
      <c r="I22" s="530">
        <v>86317.842772603995</v>
      </c>
      <c r="J22" s="530">
        <v>19968.774708908499</v>
      </c>
      <c r="K22" s="530">
        <v>64106.016702579102</v>
      </c>
      <c r="L22" s="530">
        <v>36366.162717235296</v>
      </c>
      <c r="M22" s="530">
        <v>81907.387837882401</v>
      </c>
      <c r="N22" s="530">
        <v>43697.8115098173</v>
      </c>
      <c r="O22" s="530">
        <v>61343.627660821701</v>
      </c>
      <c r="P22" s="530">
        <v>30629.875612965501</v>
      </c>
      <c r="Q22" s="530">
        <v>424337.499522814</v>
      </c>
      <c r="R22" s="530">
        <v>5851.4500187910598</v>
      </c>
      <c r="S22" s="530">
        <v>740316.18177693896</v>
      </c>
      <c r="T22" s="530">
        <v>65124.354733669999</v>
      </c>
      <c r="U22" s="530">
        <v>7015.2917545226701</v>
      </c>
      <c r="V22" s="530">
        <v>812455.82826513099</v>
      </c>
    </row>
    <row r="23" spans="1:22" ht="14.45" customHeight="1">
      <c r="A23" s="520">
        <v>2008</v>
      </c>
      <c r="B23" s="531">
        <v>90780.074127040105</v>
      </c>
      <c r="C23" s="531">
        <v>2398.6307485733801</v>
      </c>
      <c r="D23" s="531">
        <v>35687.801443137403</v>
      </c>
      <c r="E23" s="531">
        <v>201174.60317048</v>
      </c>
      <c r="F23" s="531">
        <v>12320.7460973612</v>
      </c>
      <c r="G23" s="531">
        <v>56553.961376043699</v>
      </c>
      <c r="H23" s="531">
        <v>398915.81696263602</v>
      </c>
      <c r="I23" s="531">
        <v>112480.805890259</v>
      </c>
      <c r="J23" s="531">
        <v>25083.468986181098</v>
      </c>
      <c r="K23" s="531">
        <v>80278.804119265696</v>
      </c>
      <c r="L23" s="531">
        <v>48648.133005231699</v>
      </c>
      <c r="M23" s="531">
        <v>104244.302870625</v>
      </c>
      <c r="N23" s="531">
        <v>58186.441738517897</v>
      </c>
      <c r="O23" s="531">
        <v>81026.772357320297</v>
      </c>
      <c r="P23" s="531">
        <v>38343.451328463801</v>
      </c>
      <c r="Q23" s="531">
        <v>548292.18029586505</v>
      </c>
      <c r="R23" s="531">
        <v>7702.3687483488102</v>
      </c>
      <c r="S23" s="531">
        <v>939505.62851015199</v>
      </c>
      <c r="T23" s="531">
        <v>84264.722407866895</v>
      </c>
      <c r="U23" s="531">
        <v>8987.9075341499993</v>
      </c>
      <c r="V23" s="531">
        <v>1032758.2584521699</v>
      </c>
    </row>
    <row r="24" spans="1:22" ht="14.45" customHeight="1">
      <c r="A24" s="529">
        <v>2009</v>
      </c>
      <c r="B24" s="530">
        <v>77208.100449852995</v>
      </c>
      <c r="C24" s="530">
        <v>2154.7486786303598</v>
      </c>
      <c r="D24" s="530">
        <v>38511.8842659609</v>
      </c>
      <c r="E24" s="530">
        <v>224188.466363051</v>
      </c>
      <c r="F24" s="530">
        <v>13459.3485863685</v>
      </c>
      <c r="G24" s="530">
        <v>60158.094552815201</v>
      </c>
      <c r="H24" s="530">
        <v>415680.642896679</v>
      </c>
      <c r="I24" s="530">
        <v>128767.15588998199</v>
      </c>
      <c r="J24" s="530">
        <v>27349.238070780499</v>
      </c>
      <c r="K24" s="530">
        <v>86695.293287342705</v>
      </c>
      <c r="L24" s="530">
        <v>59844.6501821563</v>
      </c>
      <c r="M24" s="530">
        <v>121024.494177614</v>
      </c>
      <c r="N24" s="530">
        <v>73169.548214414695</v>
      </c>
      <c r="O24" s="530">
        <v>97229.022503970395</v>
      </c>
      <c r="P24" s="530">
        <v>47883.799596951001</v>
      </c>
      <c r="Q24" s="530">
        <v>641963.20192321204</v>
      </c>
      <c r="R24" s="530">
        <v>10728.4166589917</v>
      </c>
      <c r="S24" s="530">
        <v>1046915.4281609</v>
      </c>
      <c r="T24" s="530">
        <v>90843.119975980793</v>
      </c>
      <c r="U24" s="530">
        <v>7699.7882295099998</v>
      </c>
      <c r="V24" s="530">
        <v>1145458.3363663901</v>
      </c>
    </row>
    <row r="25" spans="1:22" ht="14.45" customHeight="1">
      <c r="A25" s="520">
        <v>2010</v>
      </c>
      <c r="B25" s="531">
        <v>129882.23087388001</v>
      </c>
      <c r="C25" s="531">
        <v>2483.6165558317498</v>
      </c>
      <c r="D25" s="531">
        <v>47727.0829563691</v>
      </c>
      <c r="E25" s="531">
        <v>271664.78346489801</v>
      </c>
      <c r="F25" s="531">
        <v>15716.2677004291</v>
      </c>
      <c r="G25" s="531">
        <v>74212.039228573194</v>
      </c>
      <c r="H25" s="531">
        <v>541686.02077998105</v>
      </c>
      <c r="I25" s="531">
        <v>161325.164096786</v>
      </c>
      <c r="J25" s="531">
        <v>33542.524664575198</v>
      </c>
      <c r="K25" s="531">
        <v>107326.350590656</v>
      </c>
      <c r="L25" s="531">
        <v>76645.889112750694</v>
      </c>
      <c r="M25" s="531">
        <v>140273.05985421099</v>
      </c>
      <c r="N25" s="531">
        <v>91605.884769082797</v>
      </c>
      <c r="O25" s="531">
        <v>115803.42991300199</v>
      </c>
      <c r="P25" s="531">
        <v>54990.851925719202</v>
      </c>
      <c r="Q25" s="531">
        <v>781513.15492678201</v>
      </c>
      <c r="R25" s="531">
        <v>12124.229884799701</v>
      </c>
      <c r="S25" s="531">
        <v>1311074.94582196</v>
      </c>
      <c r="T25" s="531">
        <v>120152.12004982099</v>
      </c>
      <c r="U25" s="531">
        <v>11428.312725379999</v>
      </c>
      <c r="V25" s="531">
        <v>1442655.3785971601</v>
      </c>
    </row>
    <row r="26" spans="1:22" ht="14.45" customHeight="1">
      <c r="A26" s="529">
        <v>2011</v>
      </c>
      <c r="B26" s="530">
        <v>176070.51357184601</v>
      </c>
      <c r="C26" s="530">
        <v>2674.7848924956402</v>
      </c>
      <c r="D26" s="530">
        <v>57584.794980528997</v>
      </c>
      <c r="E26" s="530">
        <v>347309.28353211598</v>
      </c>
      <c r="F26" s="530">
        <v>17902.148199697502</v>
      </c>
      <c r="G26" s="530">
        <v>96770.4843414731</v>
      </c>
      <c r="H26" s="530">
        <v>698312.00951815804</v>
      </c>
      <c r="I26" s="530">
        <v>213361.95894602599</v>
      </c>
      <c r="J26" s="530">
        <v>40240.507597165801</v>
      </c>
      <c r="K26" s="530">
        <v>134288.29719201999</v>
      </c>
      <c r="L26" s="530">
        <v>95513.763820078806</v>
      </c>
      <c r="M26" s="530">
        <v>167997.297250804</v>
      </c>
      <c r="N26" s="530">
        <v>119634.708221635</v>
      </c>
      <c r="O26" s="530">
        <v>150508.60373909399</v>
      </c>
      <c r="P26" s="530">
        <v>64762.118226694402</v>
      </c>
      <c r="Q26" s="530">
        <v>983795.69954513398</v>
      </c>
      <c r="R26" s="530">
        <v>14523.2850935034</v>
      </c>
      <c r="S26" s="530">
        <v>1670095.9794181699</v>
      </c>
      <c r="T26" s="530">
        <v>157333.301970892</v>
      </c>
      <c r="U26" s="530">
        <v>14592.853348160001</v>
      </c>
      <c r="V26" s="530">
        <v>1842022.1347372199</v>
      </c>
    </row>
    <row r="27" spans="1:22" ht="14.45" customHeight="1">
      <c r="A27" s="520">
        <v>2012</v>
      </c>
      <c r="B27" s="531">
        <v>174404.51780979501</v>
      </c>
      <c r="C27" s="531">
        <v>2975.7123284641398</v>
      </c>
      <c r="D27" s="531">
        <v>74593.046214884307</v>
      </c>
      <c r="E27" s="531">
        <v>383965.215478656</v>
      </c>
      <c r="F27" s="531">
        <v>20079.529659019401</v>
      </c>
      <c r="G27" s="531">
        <v>116776.277307058</v>
      </c>
      <c r="H27" s="531">
        <v>772794.29879787704</v>
      </c>
      <c r="I27" s="531">
        <v>263817.59714841598</v>
      </c>
      <c r="J27" s="531">
        <v>46204.828617152103</v>
      </c>
      <c r="K27" s="531">
        <v>155930.06697960899</v>
      </c>
      <c r="L27" s="531">
        <v>126495.393383576</v>
      </c>
      <c r="M27" s="531">
        <v>189537.56482995499</v>
      </c>
      <c r="N27" s="531">
        <v>153281.123520675</v>
      </c>
      <c r="O27" s="531">
        <v>187507.90641740701</v>
      </c>
      <c r="P27" s="531">
        <v>76722.798911342805</v>
      </c>
      <c r="Q27" s="531">
        <v>1199497.2798081301</v>
      </c>
      <c r="R27" s="531">
        <v>20270.394016612601</v>
      </c>
      <c r="S27" s="531">
        <v>1952021.1845894</v>
      </c>
      <c r="T27" s="531">
        <v>195723.339147558</v>
      </c>
      <c r="U27" s="531">
        <v>16501.35217658</v>
      </c>
      <c r="V27" s="531">
        <v>2164245.8759135301</v>
      </c>
    </row>
    <row r="28" spans="1:22" ht="14.45" customHeight="1">
      <c r="B28" s="521"/>
      <c r="C28" s="521"/>
      <c r="D28" s="521"/>
      <c r="E28" s="521"/>
      <c r="F28" s="521"/>
      <c r="G28" s="521"/>
      <c r="H28" s="521"/>
      <c r="I28" s="521"/>
      <c r="J28" s="521"/>
      <c r="K28" s="521"/>
      <c r="L28" s="521"/>
      <c r="M28" s="521"/>
      <c r="N28" s="521"/>
      <c r="O28" s="521"/>
      <c r="P28" s="521"/>
      <c r="Q28" s="521"/>
      <c r="R28" s="521"/>
      <c r="S28" s="521"/>
      <c r="T28" s="521"/>
      <c r="U28" s="521"/>
      <c r="V28" s="521"/>
    </row>
    <row r="29" spans="1:22" ht="14.45" customHeight="1">
      <c r="B29" s="521"/>
      <c r="C29" s="521"/>
      <c r="D29" s="521"/>
      <c r="E29" s="521"/>
      <c r="F29" s="521"/>
      <c r="G29" s="521"/>
      <c r="H29" s="521"/>
      <c r="I29" s="521"/>
      <c r="J29" s="521"/>
      <c r="K29" s="521"/>
      <c r="L29" s="521"/>
      <c r="M29" s="521"/>
      <c r="N29" s="521"/>
      <c r="O29" s="521"/>
      <c r="P29" s="521"/>
      <c r="Q29" s="521"/>
      <c r="R29" s="521"/>
      <c r="S29" s="521"/>
      <c r="T29" s="521"/>
      <c r="U29" s="521"/>
      <c r="V29" s="521"/>
    </row>
    <row r="30" spans="1:22" ht="14.45" customHeight="1">
      <c r="B30" s="521"/>
      <c r="C30" s="521"/>
      <c r="D30" s="521"/>
      <c r="E30" s="521"/>
      <c r="F30" s="521"/>
      <c r="G30" s="521"/>
      <c r="H30" s="521"/>
      <c r="I30" s="521"/>
      <c r="J30" s="521"/>
      <c r="K30" s="521"/>
      <c r="L30" s="521"/>
      <c r="M30" s="521"/>
      <c r="N30" s="521"/>
      <c r="O30" s="521"/>
      <c r="P30" s="521"/>
      <c r="Q30" s="521"/>
      <c r="R30" s="521"/>
      <c r="S30" s="521"/>
      <c r="T30" s="521"/>
      <c r="U30" s="521"/>
      <c r="V30" s="521"/>
    </row>
    <row r="31" spans="1:22" ht="14.45" customHeight="1">
      <c r="B31" s="521"/>
      <c r="C31" s="521"/>
      <c r="D31" s="521"/>
      <c r="E31" s="521"/>
      <c r="F31" s="521"/>
      <c r="G31" s="521"/>
      <c r="H31" s="521"/>
      <c r="I31" s="521"/>
      <c r="J31" s="521"/>
      <c r="K31" s="521"/>
      <c r="L31" s="521"/>
      <c r="M31" s="521"/>
      <c r="N31" s="521"/>
      <c r="O31" s="521"/>
      <c r="P31" s="521"/>
      <c r="Q31" s="521"/>
      <c r="R31" s="521"/>
      <c r="S31" s="521"/>
      <c r="T31" s="521"/>
      <c r="U31" s="521"/>
      <c r="V31" s="521"/>
    </row>
    <row r="32" spans="1:22" ht="14.45" customHeight="1">
      <c r="B32" s="521"/>
      <c r="C32" s="521"/>
      <c r="D32" s="521"/>
      <c r="E32" s="521"/>
      <c r="F32" s="521"/>
      <c r="G32" s="521"/>
      <c r="H32" s="521"/>
      <c r="I32" s="521"/>
      <c r="J32" s="521"/>
      <c r="K32" s="521"/>
      <c r="L32" s="521"/>
      <c r="M32" s="521"/>
      <c r="N32" s="521"/>
      <c r="O32" s="521"/>
      <c r="P32" s="521"/>
      <c r="Q32" s="521"/>
      <c r="R32" s="521"/>
      <c r="S32" s="521"/>
      <c r="T32" s="521"/>
      <c r="U32" s="521"/>
      <c r="V32" s="521"/>
    </row>
    <row r="33" spans="1:22" ht="14.45" customHeight="1">
      <c r="B33" s="521"/>
      <c r="C33" s="521"/>
      <c r="D33" s="521"/>
      <c r="E33" s="521"/>
      <c r="F33" s="521"/>
      <c r="G33" s="521"/>
      <c r="H33" s="521"/>
      <c r="I33" s="521"/>
      <c r="J33" s="521"/>
      <c r="K33" s="521"/>
      <c r="L33" s="521"/>
      <c r="M33" s="521"/>
      <c r="N33" s="521"/>
      <c r="O33" s="521"/>
      <c r="P33" s="521"/>
      <c r="Q33" s="521"/>
      <c r="R33" s="521"/>
      <c r="S33" s="521"/>
      <c r="T33" s="521"/>
      <c r="U33" s="521"/>
      <c r="V33" s="521"/>
    </row>
    <row r="34" spans="1:22" ht="14.45" customHeight="1">
      <c r="B34" s="521"/>
      <c r="C34" s="521"/>
      <c r="D34" s="521"/>
      <c r="E34" s="521"/>
      <c r="F34" s="521"/>
      <c r="G34" s="521"/>
      <c r="H34" s="521"/>
      <c r="I34" s="521"/>
      <c r="J34" s="521"/>
      <c r="K34" s="521"/>
      <c r="L34" s="521"/>
      <c r="M34" s="521"/>
      <c r="N34" s="521"/>
      <c r="O34" s="521"/>
      <c r="P34" s="521"/>
      <c r="Q34" s="521"/>
      <c r="R34" s="521"/>
      <c r="S34" s="521"/>
      <c r="T34" s="521"/>
      <c r="U34" s="521"/>
      <c r="V34" s="521"/>
    </row>
    <row r="35" spans="1:22" ht="14.45" customHeight="1">
      <c r="B35" s="521"/>
      <c r="C35" s="521"/>
      <c r="D35" s="521"/>
      <c r="E35" s="521"/>
      <c r="F35" s="521"/>
      <c r="G35" s="521"/>
      <c r="H35" s="521"/>
      <c r="I35" s="521"/>
      <c r="J35" s="521"/>
      <c r="K35" s="521"/>
      <c r="L35" s="521"/>
      <c r="M35" s="521"/>
      <c r="N35" s="521"/>
      <c r="O35" s="521"/>
      <c r="P35" s="521"/>
      <c r="Q35" s="521"/>
      <c r="R35" s="521"/>
      <c r="S35" s="521"/>
      <c r="T35" s="521"/>
      <c r="U35" s="521"/>
      <c r="V35" s="521"/>
    </row>
    <row r="36" spans="1:22" ht="14.45" customHeight="1">
      <c r="B36" s="521"/>
      <c r="C36" s="521"/>
      <c r="D36" s="521"/>
      <c r="E36" s="521"/>
      <c r="F36" s="521"/>
      <c r="G36" s="521"/>
      <c r="H36" s="521"/>
      <c r="I36" s="521"/>
      <c r="J36" s="521"/>
      <c r="K36" s="521"/>
      <c r="L36" s="521"/>
      <c r="M36" s="521"/>
      <c r="N36" s="521"/>
      <c r="O36" s="521"/>
      <c r="P36" s="521"/>
      <c r="Q36" s="521"/>
      <c r="R36" s="521"/>
      <c r="S36" s="521"/>
      <c r="T36" s="521"/>
      <c r="U36" s="521"/>
      <c r="V36" s="521"/>
    </row>
    <row r="37" spans="1:22" ht="14.45" customHeight="1">
      <c r="B37" s="521"/>
      <c r="C37" s="521"/>
      <c r="D37" s="521"/>
      <c r="E37" s="521"/>
      <c r="F37" s="521"/>
      <c r="G37" s="521"/>
      <c r="H37" s="521"/>
      <c r="I37" s="521"/>
      <c r="J37" s="521"/>
      <c r="K37" s="521"/>
      <c r="L37" s="521"/>
      <c r="M37" s="521"/>
      <c r="N37" s="521"/>
      <c r="O37" s="521"/>
      <c r="P37" s="521"/>
      <c r="Q37" s="521"/>
      <c r="R37" s="521"/>
      <c r="S37" s="521"/>
      <c r="T37" s="521"/>
      <c r="U37" s="521"/>
      <c r="V37" s="521"/>
    </row>
    <row r="38" spans="1:22" ht="14.45" customHeight="1">
      <c r="B38" s="521"/>
      <c r="C38" s="521"/>
      <c r="D38" s="521"/>
      <c r="E38" s="521"/>
      <c r="F38" s="521"/>
      <c r="G38" s="521"/>
      <c r="H38" s="521"/>
      <c r="I38" s="521"/>
      <c r="J38" s="521"/>
      <c r="K38" s="521"/>
      <c r="L38" s="521"/>
      <c r="M38" s="521"/>
      <c r="N38" s="521"/>
      <c r="O38" s="521"/>
      <c r="P38" s="521"/>
      <c r="Q38" s="521"/>
      <c r="R38" s="521"/>
      <c r="S38" s="521"/>
      <c r="T38" s="521"/>
      <c r="U38" s="521"/>
      <c r="V38" s="521"/>
    </row>
    <row r="39" spans="1:22" ht="14.45" customHeight="1">
      <c r="B39" s="521"/>
      <c r="C39" s="521"/>
      <c r="D39" s="521"/>
      <c r="E39" s="521"/>
      <c r="F39" s="521"/>
      <c r="G39" s="521"/>
      <c r="H39" s="521"/>
      <c r="I39" s="521"/>
      <c r="J39" s="521"/>
      <c r="K39" s="521"/>
      <c r="L39" s="521"/>
      <c r="M39" s="521"/>
      <c r="N39" s="521"/>
      <c r="O39" s="521"/>
      <c r="P39" s="521"/>
      <c r="Q39" s="521"/>
      <c r="R39" s="521"/>
      <c r="S39" s="521"/>
      <c r="T39" s="521"/>
      <c r="U39" s="521"/>
      <c r="V39" s="521"/>
    </row>
    <row r="40" spans="1:22" ht="14.45" customHeight="1">
      <c r="B40" s="521"/>
      <c r="C40" s="521"/>
      <c r="D40" s="521"/>
      <c r="E40" s="521"/>
      <c r="F40" s="521"/>
      <c r="G40" s="521"/>
      <c r="H40" s="521"/>
      <c r="I40" s="521"/>
      <c r="J40" s="521"/>
      <c r="K40" s="521"/>
      <c r="L40" s="521"/>
      <c r="M40" s="521"/>
      <c r="N40" s="521"/>
      <c r="O40" s="521"/>
      <c r="P40" s="521"/>
      <c r="Q40" s="521"/>
      <c r="R40" s="521"/>
      <c r="S40" s="521"/>
      <c r="T40" s="521"/>
      <c r="U40" s="521"/>
      <c r="V40" s="521"/>
    </row>
    <row r="41" spans="1:22" ht="14.45" customHeight="1">
      <c r="A41" s="532" t="s">
        <v>684</v>
      </c>
      <c r="B41" s="530">
        <v>10593.3364423192</v>
      </c>
      <c r="C41" s="530">
        <v>347.58182498908099</v>
      </c>
      <c r="D41" s="530">
        <v>3517.9890464559298</v>
      </c>
      <c r="E41" s="530">
        <v>37557.922784680697</v>
      </c>
      <c r="F41" s="530">
        <v>4682.0076250843404</v>
      </c>
      <c r="G41" s="530">
        <v>12705.098560148301</v>
      </c>
      <c r="H41" s="530">
        <v>69403.936283677598</v>
      </c>
      <c r="I41" s="530">
        <v>30076.472608673201</v>
      </c>
      <c r="J41" s="530">
        <v>5407.86969608665</v>
      </c>
      <c r="K41" s="530">
        <v>14633.6789596002</v>
      </c>
      <c r="L41" s="530">
        <v>8842.4335319268503</v>
      </c>
      <c r="M41" s="530">
        <v>29826.370512677098</v>
      </c>
      <c r="N41" s="530">
        <v>14134.9674320128</v>
      </c>
      <c r="O41" s="530">
        <v>14755.0480640527</v>
      </c>
      <c r="P41" s="530">
        <v>11608.4555185599</v>
      </c>
      <c r="Q41" s="530">
        <v>129285.29632358901</v>
      </c>
      <c r="R41" s="530">
        <v>3221.8298945654201</v>
      </c>
      <c r="S41" s="530">
        <v>195467.40271270199</v>
      </c>
      <c r="T41" s="530">
        <v>15056.959296000001</v>
      </c>
      <c r="U41" s="530">
        <v>2102.5320959999999</v>
      </c>
      <c r="V41" s="530">
        <v>212626.89410470199</v>
      </c>
    </row>
    <row r="42" spans="1:22" ht="14.45" customHeight="1">
      <c r="A42" s="533" t="s">
        <v>685</v>
      </c>
      <c r="B42" s="531">
        <v>13966.159540995</v>
      </c>
      <c r="C42" s="531">
        <v>521.570632812903</v>
      </c>
      <c r="D42" s="531">
        <v>3683.9747597677201</v>
      </c>
      <c r="E42" s="531">
        <v>44349.139007684098</v>
      </c>
      <c r="F42" s="531">
        <v>4788.1163429693197</v>
      </c>
      <c r="G42" s="531">
        <v>13361.3771112986</v>
      </c>
      <c r="H42" s="531">
        <v>80670.337395527604</v>
      </c>
      <c r="I42" s="531">
        <v>35434.490669501698</v>
      </c>
      <c r="J42" s="531">
        <v>4994.1711949840701</v>
      </c>
      <c r="K42" s="531">
        <v>15985.456400065401</v>
      </c>
      <c r="L42" s="531">
        <v>8855.0502331951993</v>
      </c>
      <c r="M42" s="531">
        <v>34040.032871546697</v>
      </c>
      <c r="N42" s="531">
        <v>14407.861071454699</v>
      </c>
      <c r="O42" s="531">
        <v>18892.8948442082</v>
      </c>
      <c r="P42" s="531">
        <v>12791.9392884638</v>
      </c>
      <c r="Q42" s="531">
        <v>145401.89657342</v>
      </c>
      <c r="R42" s="531">
        <v>3266.0059781004602</v>
      </c>
      <c r="S42" s="531">
        <v>222806.22799084699</v>
      </c>
      <c r="T42" s="531">
        <v>16048.347943999999</v>
      </c>
      <c r="U42" s="531">
        <v>2400.7033040000001</v>
      </c>
      <c r="V42" s="531">
        <v>241255.279238847</v>
      </c>
    </row>
    <row r="43" spans="1:22" ht="14.45" customHeight="1">
      <c r="A43" s="532" t="s">
        <v>686</v>
      </c>
      <c r="B43" s="530">
        <v>10909.1002181901</v>
      </c>
      <c r="C43" s="530">
        <v>413.50250619798601</v>
      </c>
      <c r="D43" s="530">
        <v>3587.0116107837098</v>
      </c>
      <c r="E43" s="530">
        <v>45211.456999902199</v>
      </c>
      <c r="F43" s="530">
        <v>4811.0352244570504</v>
      </c>
      <c r="G43" s="530">
        <v>13449.393991282999</v>
      </c>
      <c r="H43" s="530">
        <v>78381.500550814002</v>
      </c>
      <c r="I43" s="530">
        <v>34735.818593739401</v>
      </c>
      <c r="J43" s="530">
        <v>5520.2815352181296</v>
      </c>
      <c r="K43" s="530">
        <v>16635.8275197693</v>
      </c>
      <c r="L43" s="530">
        <v>9387.9926452415093</v>
      </c>
      <c r="M43" s="530">
        <v>35562.710257005798</v>
      </c>
      <c r="N43" s="530">
        <v>14501.8190939142</v>
      </c>
      <c r="O43" s="530">
        <v>19149.592308708601</v>
      </c>
      <c r="P43" s="530">
        <v>13227.3462830109</v>
      </c>
      <c r="Q43" s="530">
        <v>148721.38823660801</v>
      </c>
      <c r="R43" s="530">
        <v>3313.0660899345598</v>
      </c>
      <c r="S43" s="530">
        <v>223789.82269748699</v>
      </c>
      <c r="T43" s="530">
        <v>17124.367264</v>
      </c>
      <c r="U43" s="530">
        <v>2580.0396879999798</v>
      </c>
      <c r="V43" s="530">
        <v>243494.22964948701</v>
      </c>
    </row>
    <row r="44" spans="1:22" ht="14.45" customHeight="1">
      <c r="A44" s="533" t="s">
        <v>687</v>
      </c>
      <c r="B44" s="531">
        <v>11479.1638810111</v>
      </c>
      <c r="C44" s="531">
        <v>364.98531304873001</v>
      </c>
      <c r="D44" s="531">
        <v>3319.87719874398</v>
      </c>
      <c r="E44" s="531">
        <v>45434.672958524898</v>
      </c>
      <c r="F44" s="531">
        <v>4114.9797215976696</v>
      </c>
      <c r="G44" s="531">
        <v>14055.862461270201</v>
      </c>
      <c r="H44" s="531">
        <v>78769.5415341966</v>
      </c>
      <c r="I44" s="531">
        <v>35203.206901434198</v>
      </c>
      <c r="J44" s="531">
        <v>5804.8401444834299</v>
      </c>
      <c r="K44" s="531">
        <v>17280.438582335501</v>
      </c>
      <c r="L44" s="531">
        <v>10110.672489241801</v>
      </c>
      <c r="M44" s="531">
        <v>37097.763982723103</v>
      </c>
      <c r="N44" s="531">
        <v>15203.661527268299</v>
      </c>
      <c r="O44" s="531">
        <v>19922.504081137798</v>
      </c>
      <c r="P44" s="531">
        <v>13578.728822920901</v>
      </c>
      <c r="Q44" s="531">
        <v>154201.81653154499</v>
      </c>
      <c r="R44" s="531">
        <v>3843.2063197101902</v>
      </c>
      <c r="S44" s="531">
        <v>229128.15174603101</v>
      </c>
      <c r="T44" s="531">
        <v>16836.885131999999</v>
      </c>
      <c r="U44" s="531">
        <v>2678.4826200000002</v>
      </c>
      <c r="V44" s="531">
        <v>248643.519498031</v>
      </c>
    </row>
    <row r="45" spans="1:22" ht="14.45" customHeight="1">
      <c r="A45" s="532" t="s">
        <v>688</v>
      </c>
      <c r="B45" s="530">
        <v>10925.198698497399</v>
      </c>
      <c r="C45" s="530">
        <v>370.64083609518099</v>
      </c>
      <c r="D45" s="530">
        <v>3091.96696111663</v>
      </c>
      <c r="E45" s="530">
        <v>41438.194537380303</v>
      </c>
      <c r="F45" s="530">
        <v>4440.8801908688201</v>
      </c>
      <c r="G45" s="530">
        <v>13462.926458181701</v>
      </c>
      <c r="H45" s="530">
        <v>73729.807682140105</v>
      </c>
      <c r="I45" s="530">
        <v>33419.802805005304</v>
      </c>
      <c r="J45" s="530">
        <v>6462.4407180180797</v>
      </c>
      <c r="K45" s="530">
        <v>16873.0399702012</v>
      </c>
      <c r="L45" s="530">
        <v>7821.2047863056496</v>
      </c>
      <c r="M45" s="530">
        <v>36496.910184849097</v>
      </c>
      <c r="N45" s="530">
        <v>15233.680233905499</v>
      </c>
      <c r="O45" s="530">
        <v>15942.8526811173</v>
      </c>
      <c r="P45" s="530">
        <v>12390.7591423021</v>
      </c>
      <c r="Q45" s="530">
        <v>144640.690521704</v>
      </c>
      <c r="R45" s="530">
        <v>2488.98107075287</v>
      </c>
      <c r="S45" s="530">
        <v>215881.51713309099</v>
      </c>
      <c r="T45" s="530">
        <v>16747.055727999999</v>
      </c>
      <c r="U45" s="530">
        <v>2454.5419360000001</v>
      </c>
      <c r="V45" s="530">
        <v>235083.114797091</v>
      </c>
    </row>
    <row r="46" spans="1:22" ht="14.45" customHeight="1">
      <c r="A46" s="533" t="s">
        <v>689</v>
      </c>
      <c r="B46" s="531">
        <v>15547.127147085799</v>
      </c>
      <c r="C46" s="531">
        <v>525.12932225893906</v>
      </c>
      <c r="D46" s="531">
        <v>3723.0188645400399</v>
      </c>
      <c r="E46" s="531">
        <v>46218.595816366498</v>
      </c>
      <c r="F46" s="531">
        <v>4878.0299567656903</v>
      </c>
      <c r="G46" s="531">
        <v>14486.984314052101</v>
      </c>
      <c r="H46" s="531">
        <v>85378.885421069106</v>
      </c>
      <c r="I46" s="531">
        <v>38017.637122648499</v>
      </c>
      <c r="J46" s="531">
        <v>5757.2899848083898</v>
      </c>
      <c r="K46" s="531">
        <v>18236.731472908799</v>
      </c>
      <c r="L46" s="531">
        <v>9157.3053953698</v>
      </c>
      <c r="M46" s="531">
        <v>39992.977434077802</v>
      </c>
      <c r="N46" s="531">
        <v>15300.103140412401</v>
      </c>
      <c r="O46" s="531">
        <v>20469.878984989198</v>
      </c>
      <c r="P46" s="531">
        <v>13769.3302730962</v>
      </c>
      <c r="Q46" s="531">
        <v>160701.25380831101</v>
      </c>
      <c r="R46" s="531">
        <v>3315.5650069065</v>
      </c>
      <c r="S46" s="531">
        <v>242764.57422247401</v>
      </c>
      <c r="T46" s="531">
        <v>17948.290364</v>
      </c>
      <c r="U46" s="531">
        <v>2971.5487640000001</v>
      </c>
      <c r="V46" s="531">
        <v>263684.41335047397</v>
      </c>
    </row>
    <row r="47" spans="1:22" ht="14.45" customHeight="1">
      <c r="A47" s="532" t="s">
        <v>690</v>
      </c>
      <c r="B47" s="530">
        <v>11335.007404339</v>
      </c>
      <c r="C47" s="530">
        <v>550.15952945773699</v>
      </c>
      <c r="D47" s="530">
        <v>4131.31414705517</v>
      </c>
      <c r="E47" s="530">
        <v>47620.925528265703</v>
      </c>
      <c r="F47" s="530">
        <v>5244.0600686776197</v>
      </c>
      <c r="G47" s="530">
        <v>14217.5214239815</v>
      </c>
      <c r="H47" s="530">
        <v>83098.988101776704</v>
      </c>
      <c r="I47" s="530">
        <v>37131.904644787501</v>
      </c>
      <c r="J47" s="530">
        <v>6093.1235870246601</v>
      </c>
      <c r="K47" s="530">
        <v>18516.571302675999</v>
      </c>
      <c r="L47" s="530">
        <v>9452.0449721220793</v>
      </c>
      <c r="M47" s="530">
        <v>40453.9660441776</v>
      </c>
      <c r="N47" s="530">
        <v>15477.108432526</v>
      </c>
      <c r="O47" s="530">
        <v>20505.406786906799</v>
      </c>
      <c r="P47" s="530">
        <v>13877.3806377659</v>
      </c>
      <c r="Q47" s="530">
        <v>161507.50640798701</v>
      </c>
      <c r="R47" s="530">
        <v>3758.5058591329098</v>
      </c>
      <c r="S47" s="530">
        <v>240847.98865063</v>
      </c>
      <c r="T47" s="530">
        <v>17219.17654</v>
      </c>
      <c r="U47" s="530">
        <v>2802.4659280000001</v>
      </c>
      <c r="V47" s="530">
        <v>260869.63111863</v>
      </c>
    </row>
    <row r="48" spans="1:22" ht="14.45" customHeight="1">
      <c r="A48" s="533" t="s">
        <v>691</v>
      </c>
      <c r="B48" s="531">
        <v>12629.220037118001</v>
      </c>
      <c r="C48" s="531">
        <v>456.798829288582</v>
      </c>
      <c r="D48" s="531">
        <v>4333.9518450982596</v>
      </c>
      <c r="E48" s="531">
        <v>48216.162766163303</v>
      </c>
      <c r="F48" s="531">
        <v>4925.01803856486</v>
      </c>
      <c r="G48" s="531">
        <v>15078.1924944159</v>
      </c>
      <c r="H48" s="531">
        <v>85639.344010648798</v>
      </c>
      <c r="I48" s="531">
        <v>37702.067169211499</v>
      </c>
      <c r="J48" s="531">
        <v>6607.3519774453098</v>
      </c>
      <c r="K48" s="531">
        <v>19378.991276441098</v>
      </c>
      <c r="L48" s="531">
        <v>9590.2246453377102</v>
      </c>
      <c r="M48" s="531">
        <v>42450.322337754398</v>
      </c>
      <c r="N48" s="531">
        <v>16263.2551430201</v>
      </c>
      <c r="O48" s="531">
        <v>21600.667642206401</v>
      </c>
      <c r="P48" s="531">
        <v>13795.0183502952</v>
      </c>
      <c r="Q48" s="531">
        <v>167387.898541712</v>
      </c>
      <c r="R48" s="531">
        <v>3297.31827813978</v>
      </c>
      <c r="S48" s="531">
        <v>249729.924274221</v>
      </c>
      <c r="T48" s="531">
        <v>17548.186239999999</v>
      </c>
      <c r="U48" s="531">
        <v>2844.5676480000002</v>
      </c>
      <c r="V48" s="531">
        <v>270122.67816222098</v>
      </c>
    </row>
    <row r="49" spans="1:22" ht="14.45" customHeight="1">
      <c r="A49" s="532" t="s">
        <v>692</v>
      </c>
      <c r="B49" s="530">
        <v>12468.735507663599</v>
      </c>
      <c r="C49" s="530">
        <v>489.73753153372098</v>
      </c>
      <c r="D49" s="530">
        <v>4268.4544405380902</v>
      </c>
      <c r="E49" s="530">
        <v>43287.296662032997</v>
      </c>
      <c r="F49" s="530">
        <v>4994.7586736065496</v>
      </c>
      <c r="G49" s="530">
        <v>14064.910365104901</v>
      </c>
      <c r="H49" s="530">
        <v>79573.893180479907</v>
      </c>
      <c r="I49" s="530">
        <v>34700.865929633997</v>
      </c>
      <c r="J49" s="530">
        <v>7135.6127573984604</v>
      </c>
      <c r="K49" s="530">
        <v>18939.987994209401</v>
      </c>
      <c r="L49" s="530">
        <v>10353.942459128901</v>
      </c>
      <c r="M49" s="530">
        <v>39818.127354660101</v>
      </c>
      <c r="N49" s="530">
        <v>15550.3240880171</v>
      </c>
      <c r="O49" s="530">
        <v>16472.741246761801</v>
      </c>
      <c r="P49" s="530">
        <v>12617.452000992</v>
      </c>
      <c r="Q49" s="530">
        <v>155589.053830802</v>
      </c>
      <c r="R49" s="530">
        <v>4013.6401805044302</v>
      </c>
      <c r="S49" s="530">
        <v>231149.306830777</v>
      </c>
      <c r="T49" s="530">
        <v>17205.293816000001</v>
      </c>
      <c r="U49" s="530">
        <v>2051.3455920000001</v>
      </c>
      <c r="V49" s="530">
        <v>250405.94623877699</v>
      </c>
    </row>
    <row r="50" spans="1:22" ht="14.45" customHeight="1">
      <c r="A50" s="533" t="s">
        <v>693</v>
      </c>
      <c r="B50" s="531">
        <v>15424.269186646499</v>
      </c>
      <c r="C50" s="531">
        <v>754.22920066214203</v>
      </c>
      <c r="D50" s="531">
        <v>4962.9163925421699</v>
      </c>
      <c r="E50" s="531">
        <v>44541.228992998302</v>
      </c>
      <c r="F50" s="531">
        <v>5208.24016584946</v>
      </c>
      <c r="G50" s="531">
        <v>13455.5696740765</v>
      </c>
      <c r="H50" s="531">
        <v>84346.453612775105</v>
      </c>
      <c r="I50" s="531">
        <v>35463.205589145902</v>
      </c>
      <c r="J50" s="531">
        <v>5670.0696723811998</v>
      </c>
      <c r="K50" s="531">
        <v>19280.697108693101</v>
      </c>
      <c r="L50" s="531">
        <v>9828.0580124710596</v>
      </c>
      <c r="M50" s="531">
        <v>41008.982341029499</v>
      </c>
      <c r="N50" s="531">
        <v>15151.498462432301</v>
      </c>
      <c r="O50" s="531">
        <v>21540.943908721401</v>
      </c>
      <c r="P50" s="531">
        <v>13398.1973159633</v>
      </c>
      <c r="Q50" s="531">
        <v>161341.652410838</v>
      </c>
      <c r="R50" s="531">
        <v>3720.4399079718601</v>
      </c>
      <c r="S50" s="531">
        <v>241967.66611564101</v>
      </c>
      <c r="T50" s="531">
        <v>17625.275084000001</v>
      </c>
      <c r="U50" s="531">
        <v>2009.9768079999999</v>
      </c>
      <c r="V50" s="531">
        <v>261602.91800764101</v>
      </c>
    </row>
    <row r="51" spans="1:22" ht="14.45" customHeight="1">
      <c r="A51" s="532" t="s">
        <v>694</v>
      </c>
      <c r="B51" s="530">
        <v>10807.5139264259</v>
      </c>
      <c r="C51" s="530">
        <v>500.388073606901</v>
      </c>
      <c r="D51" s="530">
        <v>5279.8238072381901</v>
      </c>
      <c r="E51" s="530">
        <v>45108.811251906904</v>
      </c>
      <c r="F51" s="530">
        <v>5365.9627225396198</v>
      </c>
      <c r="G51" s="530">
        <v>13189.244603614899</v>
      </c>
      <c r="H51" s="530">
        <v>80251.744385332495</v>
      </c>
      <c r="I51" s="530">
        <v>34405.977118429997</v>
      </c>
      <c r="J51" s="530">
        <v>5852.7900353106597</v>
      </c>
      <c r="K51" s="530">
        <v>18770.994059179</v>
      </c>
      <c r="L51" s="530">
        <v>9055.5747086102092</v>
      </c>
      <c r="M51" s="530">
        <v>42460.201476692397</v>
      </c>
      <c r="N51" s="530">
        <v>15464.7259436983</v>
      </c>
      <c r="O51" s="530">
        <v>21365.857934438201</v>
      </c>
      <c r="P51" s="530">
        <v>13563.646384215999</v>
      </c>
      <c r="Q51" s="530">
        <v>160939.76766057499</v>
      </c>
      <c r="R51" s="530">
        <v>3246.4739712099899</v>
      </c>
      <c r="S51" s="530">
        <v>237945.03807469699</v>
      </c>
      <c r="T51" s="530">
        <v>17081.330436</v>
      </c>
      <c r="U51" s="530">
        <v>1841.9712239999999</v>
      </c>
      <c r="V51" s="530">
        <v>256868.33973469699</v>
      </c>
    </row>
    <row r="52" spans="1:22" ht="14.45" customHeight="1">
      <c r="A52" s="533" t="s">
        <v>695</v>
      </c>
      <c r="B52" s="531">
        <v>14313.1407186876</v>
      </c>
      <c r="C52" s="531">
        <v>475.89716672210801</v>
      </c>
      <c r="D52" s="531">
        <v>4842.2082342194699</v>
      </c>
      <c r="E52" s="531">
        <v>45071.048399690902</v>
      </c>
      <c r="F52" s="531">
        <v>4875.1138554591398</v>
      </c>
      <c r="G52" s="531">
        <v>12946.3050799013</v>
      </c>
      <c r="H52" s="531">
        <v>82523.713454680503</v>
      </c>
      <c r="I52" s="531">
        <v>35250.845418495199</v>
      </c>
      <c r="J52" s="531">
        <v>6314.6539554269702</v>
      </c>
      <c r="K52" s="531">
        <v>19248.047395211001</v>
      </c>
      <c r="L52" s="531">
        <v>10239.8342897192</v>
      </c>
      <c r="M52" s="531">
        <v>42592.706762787901</v>
      </c>
      <c r="N52" s="531">
        <v>16261.3719803615</v>
      </c>
      <c r="O52" s="531">
        <v>21692.9381130724</v>
      </c>
      <c r="P52" s="531">
        <v>13170.409220618199</v>
      </c>
      <c r="Q52" s="531">
        <v>164770.80713569201</v>
      </c>
      <c r="R52" s="531">
        <v>3907.8526461490601</v>
      </c>
      <c r="S52" s="531">
        <v>243386.667944224</v>
      </c>
      <c r="T52" s="531">
        <v>17856.962727999999</v>
      </c>
      <c r="U52" s="531">
        <v>2006.7054800000001</v>
      </c>
      <c r="V52" s="531">
        <v>263250.33615222399</v>
      </c>
    </row>
    <row r="53" spans="1:22" ht="14.45" customHeight="1">
      <c r="A53" s="532" t="s">
        <v>696</v>
      </c>
      <c r="B53" s="530">
        <v>12978.1021399776</v>
      </c>
      <c r="C53" s="530">
        <v>465.66116449880599</v>
      </c>
      <c r="D53" s="530">
        <v>5196.1622537783396</v>
      </c>
      <c r="E53" s="530">
        <v>42875.449121911901</v>
      </c>
      <c r="F53" s="530">
        <v>4936.7712883426102</v>
      </c>
      <c r="G53" s="530">
        <v>12769.583873269499</v>
      </c>
      <c r="H53" s="530">
        <v>79221.729841778797</v>
      </c>
      <c r="I53" s="530">
        <v>34040.835045912601</v>
      </c>
      <c r="J53" s="530">
        <v>7253.49649668034</v>
      </c>
      <c r="K53" s="530">
        <v>18871.585665505601</v>
      </c>
      <c r="L53" s="530">
        <v>9653.2271194309906</v>
      </c>
      <c r="M53" s="530">
        <v>40384.308343665602</v>
      </c>
      <c r="N53" s="530">
        <v>15202.049459011399</v>
      </c>
      <c r="O53" s="530">
        <v>16792.0418288744</v>
      </c>
      <c r="P53" s="530">
        <v>12539.9705615494</v>
      </c>
      <c r="Q53" s="530">
        <v>154737.51452063001</v>
      </c>
      <c r="R53" s="530">
        <v>3482.8235579209099</v>
      </c>
      <c r="S53" s="530">
        <v>230476.42080448801</v>
      </c>
      <c r="T53" s="530">
        <v>18853.279731999999</v>
      </c>
      <c r="U53" s="530">
        <v>1870.2881400000001</v>
      </c>
      <c r="V53" s="530">
        <v>251199.98867648799</v>
      </c>
    </row>
    <row r="54" spans="1:22" ht="14.45" customHeight="1">
      <c r="A54" s="533" t="s">
        <v>697</v>
      </c>
      <c r="B54" s="531">
        <v>20909.0307541441</v>
      </c>
      <c r="C54" s="531">
        <v>888.96101894319395</v>
      </c>
      <c r="D54" s="531">
        <v>5909.3456498209898</v>
      </c>
      <c r="E54" s="531">
        <v>48346.304462779197</v>
      </c>
      <c r="F54" s="531">
        <v>5332.0076249697404</v>
      </c>
      <c r="G54" s="531">
        <v>13001.975914946501</v>
      </c>
      <c r="H54" s="531">
        <v>94387.625425603794</v>
      </c>
      <c r="I54" s="531">
        <v>38862.690692860997</v>
      </c>
      <c r="J54" s="531">
        <v>6183.9046037346197</v>
      </c>
      <c r="K54" s="531">
        <v>20354.274890017601</v>
      </c>
      <c r="L54" s="531">
        <v>9737.3444294792898</v>
      </c>
      <c r="M54" s="531">
        <v>43053.388691151398</v>
      </c>
      <c r="N54" s="531">
        <v>15216.4542157329</v>
      </c>
      <c r="O54" s="531">
        <v>21787.957399884999</v>
      </c>
      <c r="P54" s="531">
        <v>13718.9980374066</v>
      </c>
      <c r="Q54" s="531">
        <v>168915.01296026801</v>
      </c>
      <c r="R54" s="531">
        <v>3519.7158081258899</v>
      </c>
      <c r="S54" s="531">
        <v>259782.92257774601</v>
      </c>
      <c r="T54" s="531">
        <v>18323.876476000001</v>
      </c>
      <c r="U54" s="531">
        <v>2060.3373919999999</v>
      </c>
      <c r="V54" s="531">
        <v>280167.136445746</v>
      </c>
    </row>
    <row r="55" spans="1:22" ht="14.45" customHeight="1">
      <c r="A55" s="532" t="s">
        <v>698</v>
      </c>
      <c r="B55" s="530">
        <v>11964.991569603801</v>
      </c>
      <c r="C55" s="530">
        <v>550.43722753968098</v>
      </c>
      <c r="D55" s="530">
        <v>6057.9263826629003</v>
      </c>
      <c r="E55" s="530">
        <v>49181.411477785201</v>
      </c>
      <c r="F55" s="530">
        <v>5643.5222299797697</v>
      </c>
      <c r="G55" s="530">
        <v>13779.5327032638</v>
      </c>
      <c r="H55" s="530">
        <v>87177.821590835098</v>
      </c>
      <c r="I55" s="530">
        <v>38626.089818940804</v>
      </c>
      <c r="J55" s="530">
        <v>6603.9558207024402</v>
      </c>
      <c r="K55" s="530">
        <v>20838.319784496998</v>
      </c>
      <c r="L55" s="530">
        <v>9822.7713744498506</v>
      </c>
      <c r="M55" s="530">
        <v>42636.735946824199</v>
      </c>
      <c r="N55" s="530">
        <v>15192.0742724181</v>
      </c>
      <c r="O55" s="530">
        <v>21556.594293055801</v>
      </c>
      <c r="P55" s="530">
        <v>14093.899183686201</v>
      </c>
      <c r="Q55" s="530">
        <v>169370.440494574</v>
      </c>
      <c r="R55" s="530">
        <v>3461.0388143985201</v>
      </c>
      <c r="S55" s="530">
        <v>253087.223271011</v>
      </c>
      <c r="T55" s="530">
        <v>19035.006000000001</v>
      </c>
      <c r="U55" s="530">
        <v>2380.1174959999998</v>
      </c>
      <c r="V55" s="530">
        <v>274502.34676701098</v>
      </c>
    </row>
    <row r="56" spans="1:22" ht="14.45" customHeight="1">
      <c r="A56" s="533" t="s">
        <v>699</v>
      </c>
      <c r="B56" s="531">
        <v>12803.948375096201</v>
      </c>
      <c r="C56" s="531">
        <v>518.69997300303601</v>
      </c>
      <c r="D56" s="531">
        <v>6392.1977032967598</v>
      </c>
      <c r="E56" s="531">
        <v>50490.543535743098</v>
      </c>
      <c r="F56" s="531">
        <v>5017.4341155444799</v>
      </c>
      <c r="G56" s="531">
        <v>14556.180778424099</v>
      </c>
      <c r="H56" s="531">
        <v>89779.004481107695</v>
      </c>
      <c r="I56" s="531">
        <v>39485.079646536098</v>
      </c>
      <c r="J56" s="531">
        <v>7107.8055001662397</v>
      </c>
      <c r="K56" s="531">
        <v>21941.2211498135</v>
      </c>
      <c r="L56" s="531">
        <v>10113.897000012499</v>
      </c>
      <c r="M56" s="531">
        <v>44097.736268208399</v>
      </c>
      <c r="N56" s="531">
        <v>16378.693152190301</v>
      </c>
      <c r="O56" s="531">
        <v>21670.897329359301</v>
      </c>
      <c r="P56" s="531">
        <v>14048.0258064626</v>
      </c>
      <c r="Q56" s="531">
        <v>174843.35585274899</v>
      </c>
      <c r="R56" s="531">
        <v>3570.5248978786299</v>
      </c>
      <c r="S56" s="531">
        <v>261051.83543597799</v>
      </c>
      <c r="T56" s="531">
        <v>19088.230356</v>
      </c>
      <c r="U56" s="531">
        <v>2589.4935639999899</v>
      </c>
      <c r="V56" s="531">
        <v>282729.55935597798</v>
      </c>
    </row>
    <row r="57" spans="1:22" ht="14.45" customHeight="1">
      <c r="A57" s="532" t="s">
        <v>700</v>
      </c>
      <c r="B57" s="530">
        <v>12782.4121866857</v>
      </c>
      <c r="C57" s="530">
        <v>511.70498965035398</v>
      </c>
      <c r="D57" s="530">
        <v>6187.4096720636699</v>
      </c>
      <c r="E57" s="530">
        <v>48000.235457353199</v>
      </c>
      <c r="F57" s="530">
        <v>5208.9347820892099</v>
      </c>
      <c r="G57" s="530">
        <v>13641.289825275</v>
      </c>
      <c r="H57" s="530">
        <v>86331.9869131171</v>
      </c>
      <c r="I57" s="530">
        <v>37701.468288363903</v>
      </c>
      <c r="J57" s="530">
        <v>8064.2727307510904</v>
      </c>
      <c r="K57" s="530">
        <v>21068.951877810701</v>
      </c>
      <c r="L57" s="530">
        <v>10468.1268498359</v>
      </c>
      <c r="M57" s="530">
        <v>42995.4862192816</v>
      </c>
      <c r="N57" s="530">
        <v>15474.4189469006</v>
      </c>
      <c r="O57" s="530">
        <v>17494.939785387302</v>
      </c>
      <c r="P57" s="530">
        <v>12828.6584921015</v>
      </c>
      <c r="Q57" s="530">
        <v>166096.323190433</v>
      </c>
      <c r="R57" s="530">
        <v>3545.8410663717</v>
      </c>
      <c r="S57" s="530">
        <v>248882.469037178</v>
      </c>
      <c r="T57" s="530">
        <v>19918.501715999999</v>
      </c>
      <c r="U57" s="530">
        <v>2459.4855560000001</v>
      </c>
      <c r="V57" s="530">
        <v>271260.45630917797</v>
      </c>
    </row>
    <row r="58" spans="1:22" ht="14.45" customHeight="1">
      <c r="A58" s="533" t="s">
        <v>701</v>
      </c>
      <c r="B58" s="531">
        <v>19063.519418948199</v>
      </c>
      <c r="C58" s="531">
        <v>1176.82413249154</v>
      </c>
      <c r="D58" s="531">
        <v>5625.6843057471397</v>
      </c>
      <c r="E58" s="531">
        <v>54201.216715032097</v>
      </c>
      <c r="F58" s="531">
        <v>5612.6641222976596</v>
      </c>
      <c r="G58" s="531">
        <v>14843.684176017099</v>
      </c>
      <c r="H58" s="531">
        <v>100523.592870534</v>
      </c>
      <c r="I58" s="531">
        <v>42613.3547172775</v>
      </c>
      <c r="J58" s="531">
        <v>6966.8453038881999</v>
      </c>
      <c r="K58" s="531">
        <v>22648.650837131499</v>
      </c>
      <c r="L58" s="531">
        <v>10310.201611578101</v>
      </c>
      <c r="M58" s="531">
        <v>44940.2052250497</v>
      </c>
      <c r="N58" s="531">
        <v>15522.8093807269</v>
      </c>
      <c r="O58" s="531">
        <v>22236.428287500101</v>
      </c>
      <c r="P58" s="531">
        <v>14748.3651678431</v>
      </c>
      <c r="Q58" s="531">
        <v>179986.86053099501</v>
      </c>
      <c r="R58" s="531">
        <v>3564.18787030475</v>
      </c>
      <c r="S58" s="531">
        <v>276946.26553122402</v>
      </c>
      <c r="T58" s="531">
        <v>20154.633239999999</v>
      </c>
      <c r="U58" s="531">
        <v>2771.64</v>
      </c>
      <c r="V58" s="531">
        <v>299872.53877122398</v>
      </c>
    </row>
    <row r="59" spans="1:22" ht="14.45" customHeight="1">
      <c r="A59" s="532" t="s">
        <v>702</v>
      </c>
      <c r="B59" s="530">
        <v>13075.1487708487</v>
      </c>
      <c r="C59" s="530">
        <v>558.63825905632802</v>
      </c>
      <c r="D59" s="530">
        <v>5401.7843432067802</v>
      </c>
      <c r="E59" s="530">
        <v>55525.2463279039</v>
      </c>
      <c r="F59" s="530">
        <v>5741.9021609522197</v>
      </c>
      <c r="G59" s="530">
        <v>15490.743277957599</v>
      </c>
      <c r="H59" s="530">
        <v>95793.463139925501</v>
      </c>
      <c r="I59" s="530">
        <v>42419.438773726099</v>
      </c>
      <c r="J59" s="530">
        <v>7480.7448905393403</v>
      </c>
      <c r="K59" s="530">
        <v>23742.6790398884</v>
      </c>
      <c r="L59" s="530">
        <v>10049.7239442148</v>
      </c>
      <c r="M59" s="530">
        <v>44798.780705026104</v>
      </c>
      <c r="N59" s="530">
        <v>15833.120548413101</v>
      </c>
      <c r="O59" s="530">
        <v>22756.181595988099</v>
      </c>
      <c r="P59" s="530">
        <v>14633.5293175753</v>
      </c>
      <c r="Q59" s="530">
        <v>181714.198815371</v>
      </c>
      <c r="R59" s="530">
        <v>3570.53738665437</v>
      </c>
      <c r="S59" s="530">
        <v>273937.124568642</v>
      </c>
      <c r="T59" s="530">
        <v>21303.92914</v>
      </c>
      <c r="U59" s="530">
        <v>3023.9378000000002</v>
      </c>
      <c r="V59" s="530">
        <v>298264.99150864198</v>
      </c>
    </row>
    <row r="60" spans="1:22" ht="14.45" customHeight="1">
      <c r="A60" s="533" t="s">
        <v>703</v>
      </c>
      <c r="B60" s="531">
        <v>13578.3356928878</v>
      </c>
      <c r="C60" s="531">
        <v>425.47784731744002</v>
      </c>
      <c r="D60" s="531">
        <v>5315.2579224533702</v>
      </c>
      <c r="E60" s="531">
        <v>55801.551478305999</v>
      </c>
      <c r="F60" s="531">
        <v>5443.2972823497703</v>
      </c>
      <c r="G60" s="531">
        <v>16345.455954335501</v>
      </c>
      <c r="H60" s="531">
        <v>96909.376177649901</v>
      </c>
      <c r="I60" s="531">
        <v>43173.1229460799</v>
      </c>
      <c r="J60" s="531">
        <v>8062.6504975696498</v>
      </c>
      <c r="K60" s="531">
        <v>24347.319091866299</v>
      </c>
      <c r="L60" s="531">
        <v>9637.1205982451993</v>
      </c>
      <c r="M60" s="531">
        <v>45532.546987721798</v>
      </c>
      <c r="N60" s="531">
        <v>16608.6472913371</v>
      </c>
      <c r="O60" s="531">
        <v>22978.441008676698</v>
      </c>
      <c r="P60" s="531">
        <v>14673.177165257801</v>
      </c>
      <c r="Q60" s="531">
        <v>185013.025586754</v>
      </c>
      <c r="R60" s="531">
        <v>3456.3302432780702</v>
      </c>
      <c r="S60" s="531">
        <v>278466.07152112602</v>
      </c>
      <c r="T60" s="531">
        <v>20518.431971999998</v>
      </c>
      <c r="U60" s="531">
        <v>3053.0192360000001</v>
      </c>
      <c r="V60" s="531">
        <v>302037.52272912598</v>
      </c>
    </row>
    <row r="61" spans="1:22" ht="14.45" customHeight="1">
      <c r="A61" s="532" t="s">
        <v>704</v>
      </c>
      <c r="B61" s="530">
        <v>13022.1864547358</v>
      </c>
      <c r="C61" s="530">
        <v>525.78639137163304</v>
      </c>
      <c r="D61" s="530">
        <v>5034.6512049746998</v>
      </c>
      <c r="E61" s="530">
        <v>50139.423066573698</v>
      </c>
      <c r="F61" s="530">
        <v>5586.3540086739604</v>
      </c>
      <c r="G61" s="530">
        <v>15519.4811451277</v>
      </c>
      <c r="H61" s="530">
        <v>89827.882271457507</v>
      </c>
      <c r="I61" s="530">
        <v>39339.043616052702</v>
      </c>
      <c r="J61" s="530">
        <v>8763.97597928908</v>
      </c>
      <c r="K61" s="530">
        <v>23176.010190342899</v>
      </c>
      <c r="L61" s="530">
        <v>10143.9706450673</v>
      </c>
      <c r="M61" s="530">
        <v>44155.167297347201</v>
      </c>
      <c r="N61" s="530">
        <v>16327.5054297238</v>
      </c>
      <c r="O61" s="530">
        <v>17684.222717647699</v>
      </c>
      <c r="P61" s="530">
        <v>13160.639871092601</v>
      </c>
      <c r="Q61" s="530">
        <v>172750.53574656299</v>
      </c>
      <c r="R61" s="530">
        <v>3499.03270289289</v>
      </c>
      <c r="S61" s="530">
        <v>259079.38531512799</v>
      </c>
      <c r="T61" s="530">
        <v>21064.060668279999</v>
      </c>
      <c r="U61" s="530">
        <v>2620.78631516</v>
      </c>
      <c r="V61" s="530">
        <v>282764.23229856801</v>
      </c>
    </row>
    <row r="62" spans="1:22" ht="14.45" customHeight="1">
      <c r="A62" s="533" t="s">
        <v>705</v>
      </c>
      <c r="B62" s="531">
        <v>21520.0285859787</v>
      </c>
      <c r="C62" s="531">
        <v>910.54108369661401</v>
      </c>
      <c r="D62" s="531">
        <v>4368.9199664144599</v>
      </c>
      <c r="E62" s="531">
        <v>55475.899543758896</v>
      </c>
      <c r="F62" s="531">
        <v>5927.4614473411002</v>
      </c>
      <c r="G62" s="531">
        <v>16242.837522653201</v>
      </c>
      <c r="H62" s="531">
        <v>104445.688149843</v>
      </c>
      <c r="I62" s="531">
        <v>44845.715985110903</v>
      </c>
      <c r="J62" s="531">
        <v>7761.9876473321701</v>
      </c>
      <c r="K62" s="531">
        <v>25065.981185077799</v>
      </c>
      <c r="L62" s="531">
        <v>11125.3264145539</v>
      </c>
      <c r="M62" s="531">
        <v>45560.3991723578</v>
      </c>
      <c r="N62" s="531">
        <v>16549.9738238434</v>
      </c>
      <c r="O62" s="531">
        <v>22894.949066685102</v>
      </c>
      <c r="P62" s="531">
        <v>14304.529803143099</v>
      </c>
      <c r="Q62" s="531">
        <v>188108.86309810399</v>
      </c>
      <c r="R62" s="531">
        <v>3959.9160949884899</v>
      </c>
      <c r="S62" s="531">
        <v>288594.63515295897</v>
      </c>
      <c r="T62" s="531">
        <v>20864.938384519999</v>
      </c>
      <c r="U62" s="531">
        <v>2669.53749556</v>
      </c>
      <c r="V62" s="531">
        <v>312129.11103303899</v>
      </c>
    </row>
    <row r="63" spans="1:22" ht="14.45" customHeight="1">
      <c r="A63" s="532" t="s">
        <v>706</v>
      </c>
      <c r="B63" s="530">
        <v>14387.720900693999</v>
      </c>
      <c r="C63" s="530">
        <v>639.19580030433099</v>
      </c>
      <c r="D63" s="530">
        <v>4190.9891897135103</v>
      </c>
      <c r="E63" s="530">
        <v>55015.833165183503</v>
      </c>
      <c r="F63" s="530">
        <v>6001.0746197481903</v>
      </c>
      <c r="G63" s="530">
        <v>16875.334274241301</v>
      </c>
      <c r="H63" s="530">
        <v>97110.147949884806</v>
      </c>
      <c r="I63" s="530">
        <v>43034.882606437197</v>
      </c>
      <c r="J63" s="530">
        <v>8043.4871148689099</v>
      </c>
      <c r="K63" s="530">
        <v>24787.108246446998</v>
      </c>
      <c r="L63" s="530">
        <v>11818.8143385731</v>
      </c>
      <c r="M63" s="530">
        <v>45590.174865117799</v>
      </c>
      <c r="N63" s="530">
        <v>16720.195477602501</v>
      </c>
      <c r="O63" s="530">
        <v>23696.885580714701</v>
      </c>
      <c r="P63" s="530">
        <v>14993.860229976601</v>
      </c>
      <c r="Q63" s="530">
        <v>188685.40845973801</v>
      </c>
      <c r="R63" s="530">
        <v>4775.2534474116501</v>
      </c>
      <c r="S63" s="530">
        <v>281020.30296221102</v>
      </c>
      <c r="T63" s="530">
        <v>21605.409806840002</v>
      </c>
      <c r="U63" s="530">
        <v>2849.0555476</v>
      </c>
      <c r="V63" s="530">
        <v>305474.768316651</v>
      </c>
    </row>
    <row r="64" spans="1:22" ht="14.45" customHeight="1">
      <c r="A64" s="533" t="s">
        <v>707</v>
      </c>
      <c r="B64" s="531">
        <v>11320.455394053401</v>
      </c>
      <c r="C64" s="531">
        <v>485.77430323193801</v>
      </c>
      <c r="D64" s="531">
        <v>3651.35524203363</v>
      </c>
      <c r="E64" s="531">
        <v>52673.903117165901</v>
      </c>
      <c r="F64" s="531">
        <v>5769.5199576548303</v>
      </c>
      <c r="G64" s="531">
        <v>16948.812248669099</v>
      </c>
      <c r="H64" s="531">
        <v>90849.820262808702</v>
      </c>
      <c r="I64" s="531">
        <v>40715.1815750971</v>
      </c>
      <c r="J64" s="531">
        <v>8434.2679736476093</v>
      </c>
      <c r="K64" s="531">
        <v>24532.304794682499</v>
      </c>
      <c r="L64" s="531">
        <v>11404.788650516601</v>
      </c>
      <c r="M64" s="531">
        <v>45513.193512308899</v>
      </c>
      <c r="N64" s="531">
        <v>17227.950072348001</v>
      </c>
      <c r="O64" s="531">
        <v>24132.3534891212</v>
      </c>
      <c r="P64" s="531">
        <v>14382.4055948027</v>
      </c>
      <c r="Q64" s="531">
        <v>186342.44566252499</v>
      </c>
      <c r="R64" s="531">
        <v>4488.1338498773202</v>
      </c>
      <c r="S64" s="531">
        <v>272704.13207545597</v>
      </c>
      <c r="T64" s="531">
        <v>19895.022742680001</v>
      </c>
      <c r="U64" s="531">
        <v>2826.16775044</v>
      </c>
      <c r="V64" s="531">
        <v>295425.32256857603</v>
      </c>
    </row>
    <row r="65" spans="1:22" ht="14.45" customHeight="1">
      <c r="A65" s="532" t="s">
        <v>708</v>
      </c>
      <c r="B65" s="530">
        <v>11594.6603131419</v>
      </c>
      <c r="C65" s="530">
        <v>517.64902748427301</v>
      </c>
      <c r="D65" s="530">
        <v>3703.3100080811701</v>
      </c>
      <c r="E65" s="530">
        <v>46083.466905034002</v>
      </c>
      <c r="F65" s="530">
        <v>5847.89891361635</v>
      </c>
      <c r="G65" s="530">
        <v>15129.4965346558</v>
      </c>
      <c r="H65" s="530">
        <v>82876.481702013494</v>
      </c>
      <c r="I65" s="530">
        <v>35914.697465058198</v>
      </c>
      <c r="J65" s="530">
        <v>8944.2566294827193</v>
      </c>
      <c r="K65" s="530">
        <v>22600.354450770701</v>
      </c>
      <c r="L65" s="530">
        <v>10662.088652722199</v>
      </c>
      <c r="M65" s="530">
        <v>43186.422621619597</v>
      </c>
      <c r="N65" s="530">
        <v>17172.813071647099</v>
      </c>
      <c r="O65" s="530">
        <v>18792.762546841401</v>
      </c>
      <c r="P65" s="530">
        <v>12969.6829732885</v>
      </c>
      <c r="Q65" s="530">
        <v>170243.07841143</v>
      </c>
      <c r="R65" s="530">
        <v>3937.9741341480399</v>
      </c>
      <c r="S65" s="530">
        <v>249181.58597929601</v>
      </c>
      <c r="T65" s="530">
        <v>19331.799132</v>
      </c>
      <c r="U65" s="530">
        <v>2233.0045076400002</v>
      </c>
      <c r="V65" s="530">
        <v>270746.38961893599</v>
      </c>
    </row>
    <row r="66" spans="1:22" ht="14.45" customHeight="1">
      <c r="A66" s="533" t="s">
        <v>709</v>
      </c>
      <c r="B66" s="531">
        <v>16798.5362830269</v>
      </c>
      <c r="C66" s="531">
        <v>835.45286880228696</v>
      </c>
      <c r="D66" s="531">
        <v>4455.9551456954896</v>
      </c>
      <c r="E66" s="531">
        <v>47847.407765413198</v>
      </c>
      <c r="F66" s="531">
        <v>6343.4866908875601</v>
      </c>
      <c r="G66" s="531">
        <v>15937.0961596124</v>
      </c>
      <c r="H66" s="531">
        <v>92217.934913437799</v>
      </c>
      <c r="I66" s="531">
        <v>38624.590533741597</v>
      </c>
      <c r="J66" s="531">
        <v>7287.05952866404</v>
      </c>
      <c r="K66" s="531">
        <v>23464.7948088876</v>
      </c>
      <c r="L66" s="531">
        <v>11542.110793571501</v>
      </c>
      <c r="M66" s="531">
        <v>44565.235025511</v>
      </c>
      <c r="N66" s="531">
        <v>16873.892249651399</v>
      </c>
      <c r="O66" s="531">
        <v>23953.240230585299</v>
      </c>
      <c r="P66" s="531">
        <v>14275.476929857199</v>
      </c>
      <c r="Q66" s="531">
        <v>180586.40010047</v>
      </c>
      <c r="R66" s="531">
        <v>4338.4052749596203</v>
      </c>
      <c r="S66" s="531">
        <v>268465.92973894801</v>
      </c>
      <c r="T66" s="531">
        <v>18248.651224280002</v>
      </c>
      <c r="U66" s="531">
        <v>2115.27497292</v>
      </c>
      <c r="V66" s="531">
        <v>288829.85593614797</v>
      </c>
    </row>
    <row r="67" spans="1:22" ht="14.45" customHeight="1">
      <c r="A67" s="532" t="s">
        <v>710</v>
      </c>
      <c r="B67" s="530">
        <v>10801.237523350501</v>
      </c>
      <c r="C67" s="530">
        <v>461.73066626368097</v>
      </c>
      <c r="D67" s="530">
        <v>5174.4939097378801</v>
      </c>
      <c r="E67" s="530">
        <v>47891.829816512298</v>
      </c>
      <c r="F67" s="530">
        <v>6353.1717852782003</v>
      </c>
      <c r="G67" s="530">
        <v>15144.0050785611</v>
      </c>
      <c r="H67" s="530">
        <v>85826.468779703602</v>
      </c>
      <c r="I67" s="530">
        <v>37546.703293242601</v>
      </c>
      <c r="J67" s="530">
        <v>7495.1443012835198</v>
      </c>
      <c r="K67" s="530">
        <v>23632.435464943199</v>
      </c>
      <c r="L67" s="530">
        <v>12397.357687427701</v>
      </c>
      <c r="M67" s="530">
        <v>44915.170514854297</v>
      </c>
      <c r="N67" s="530">
        <v>17364.927774268301</v>
      </c>
      <c r="O67" s="530">
        <v>24884.589979517201</v>
      </c>
      <c r="P67" s="530">
        <v>14971.977276514999</v>
      </c>
      <c r="Q67" s="530">
        <v>183208.306292052</v>
      </c>
      <c r="R67" s="530">
        <v>5114.3531045671598</v>
      </c>
      <c r="S67" s="530">
        <v>263920.42196718801</v>
      </c>
      <c r="T67" s="530">
        <v>18826.539674560001</v>
      </c>
      <c r="U67" s="530">
        <v>2340.0597489199999</v>
      </c>
      <c r="V67" s="530">
        <v>285087.021390668</v>
      </c>
    </row>
    <row r="68" spans="1:22" ht="14.45" customHeight="1">
      <c r="A68" s="533" t="s">
        <v>711</v>
      </c>
      <c r="B68" s="531">
        <v>9127.1345416812492</v>
      </c>
      <c r="C68" s="531">
        <v>419.44793583249799</v>
      </c>
      <c r="D68" s="531">
        <v>5363.3491613146198</v>
      </c>
      <c r="E68" s="531">
        <v>50536.594257356301</v>
      </c>
      <c r="F68" s="531">
        <v>5987.4368280188401</v>
      </c>
      <c r="G68" s="531">
        <v>15260.8692140658</v>
      </c>
      <c r="H68" s="531">
        <v>86694.831938269301</v>
      </c>
      <c r="I68" s="531">
        <v>38561.407787383403</v>
      </c>
      <c r="J68" s="531">
        <v>8136.0199694312896</v>
      </c>
      <c r="K68" s="531">
        <v>24242.2805691051</v>
      </c>
      <c r="L68" s="531">
        <v>11470.295303499001</v>
      </c>
      <c r="M68" s="531">
        <v>45377.388893831201</v>
      </c>
      <c r="N68" s="531">
        <v>18600.193485089301</v>
      </c>
      <c r="O68" s="531">
        <v>25106.7988973258</v>
      </c>
      <c r="P68" s="531">
        <v>14477.1030760592</v>
      </c>
      <c r="Q68" s="531">
        <v>185971.487981724</v>
      </c>
      <c r="R68" s="531">
        <v>4337.2866609258999</v>
      </c>
      <c r="S68" s="531">
        <v>268329.03325906798</v>
      </c>
      <c r="T68" s="531">
        <v>18677.15648148</v>
      </c>
      <c r="U68" s="531">
        <v>2422.6392363999998</v>
      </c>
      <c r="V68" s="531">
        <v>289428.82897694799</v>
      </c>
    </row>
    <row r="69" spans="1:22" ht="14.45" customHeight="1">
      <c r="A69" s="532" t="s">
        <v>712</v>
      </c>
      <c r="B69" s="530">
        <v>9600.6731943549603</v>
      </c>
      <c r="C69" s="530">
        <v>619.81739908953705</v>
      </c>
      <c r="D69" s="530">
        <v>6686.7593132587999</v>
      </c>
      <c r="E69" s="530">
        <v>45330.312731965802</v>
      </c>
      <c r="F69" s="530">
        <v>6030.5976317110799</v>
      </c>
      <c r="G69" s="530">
        <v>13717.690948108</v>
      </c>
      <c r="H69" s="530">
        <v>81985.851218488096</v>
      </c>
      <c r="I69" s="530">
        <v>34703.730985946102</v>
      </c>
      <c r="J69" s="530">
        <v>8851.4140507169395</v>
      </c>
      <c r="K69" s="530">
        <v>23252.590532964801</v>
      </c>
      <c r="L69" s="530">
        <v>11088.9739766863</v>
      </c>
      <c r="M69" s="530">
        <v>43573.391739906503</v>
      </c>
      <c r="N69" s="530">
        <v>17621.527247423201</v>
      </c>
      <c r="O69" s="530">
        <v>19394.644918500398</v>
      </c>
      <c r="P69" s="530">
        <v>13237.839264243999</v>
      </c>
      <c r="Q69" s="530">
        <v>171724.11271638799</v>
      </c>
      <c r="R69" s="530">
        <v>3850.8484970312102</v>
      </c>
      <c r="S69" s="530">
        <v>249859.115437845</v>
      </c>
      <c r="T69" s="530">
        <v>18579.500307599999</v>
      </c>
      <c r="U69" s="530">
        <v>2005.68231664</v>
      </c>
      <c r="V69" s="530">
        <v>270444.298062085</v>
      </c>
    </row>
    <row r="70" spans="1:22" ht="14.45" customHeight="1">
      <c r="A70" s="533" t="s">
        <v>713</v>
      </c>
      <c r="B70" s="531">
        <v>18974.000628628699</v>
      </c>
      <c r="C70" s="531">
        <v>865.54905403683802</v>
      </c>
      <c r="D70" s="531">
        <v>6924.1350385861197</v>
      </c>
      <c r="E70" s="531">
        <v>46663.644214619701</v>
      </c>
      <c r="F70" s="531">
        <v>6788.5731015322699</v>
      </c>
      <c r="G70" s="531">
        <v>12981.0383550448</v>
      </c>
      <c r="H70" s="531">
        <v>93196.940392448407</v>
      </c>
      <c r="I70" s="531">
        <v>37158.815832996399</v>
      </c>
      <c r="J70" s="531">
        <v>7215.8487651372398</v>
      </c>
      <c r="K70" s="531">
        <v>24381.947760863299</v>
      </c>
      <c r="L70" s="531">
        <v>11630.2327227681</v>
      </c>
      <c r="M70" s="531">
        <v>44263.571131019002</v>
      </c>
      <c r="N70" s="531">
        <v>17477.974166915199</v>
      </c>
      <c r="O70" s="531">
        <v>25077.418366864498</v>
      </c>
      <c r="P70" s="531">
        <v>14400.3168293001</v>
      </c>
      <c r="Q70" s="531">
        <v>181606.12557586399</v>
      </c>
      <c r="R70" s="531">
        <v>4221.8611967585703</v>
      </c>
      <c r="S70" s="531">
        <v>270581.20477155398</v>
      </c>
      <c r="T70" s="531">
        <v>19269.311426600001</v>
      </c>
      <c r="U70" s="531">
        <v>1945.4882486399999</v>
      </c>
      <c r="V70" s="531">
        <v>291796.00444679399</v>
      </c>
    </row>
    <row r="71" spans="1:22" ht="14.45" customHeight="1">
      <c r="A71" s="532" t="s">
        <v>714</v>
      </c>
      <c r="B71" s="530">
        <v>11406.4716904178</v>
      </c>
      <c r="C71" s="530">
        <v>425.93537294157699</v>
      </c>
      <c r="D71" s="530">
        <v>7647.1834528407098</v>
      </c>
      <c r="E71" s="530">
        <v>47001.691941497098</v>
      </c>
      <c r="F71" s="530">
        <v>7399.24138931781</v>
      </c>
      <c r="G71" s="530">
        <v>13123.5692684162</v>
      </c>
      <c r="H71" s="530">
        <v>87004.093115431198</v>
      </c>
      <c r="I71" s="530">
        <v>35954.8450098545</v>
      </c>
      <c r="J71" s="530">
        <v>7378.4568331446699</v>
      </c>
      <c r="K71" s="530">
        <v>24491.466075798598</v>
      </c>
      <c r="L71" s="530">
        <v>12363.8641463569</v>
      </c>
      <c r="M71" s="530">
        <v>45107.308049431398</v>
      </c>
      <c r="N71" s="530">
        <v>17559.910862676501</v>
      </c>
      <c r="O71" s="530">
        <v>25871.9651434927</v>
      </c>
      <c r="P71" s="530">
        <v>15031.707801083199</v>
      </c>
      <c r="Q71" s="530">
        <v>183759.52392183899</v>
      </c>
      <c r="R71" s="530">
        <v>5030.4620696687798</v>
      </c>
      <c r="S71" s="530">
        <v>265733.154967601</v>
      </c>
      <c r="T71" s="530">
        <v>19749.23337192</v>
      </c>
      <c r="U71" s="530">
        <v>2013.25405424</v>
      </c>
      <c r="V71" s="530">
        <v>287495.64239376102</v>
      </c>
    </row>
    <row r="72" spans="1:22" ht="14.45" customHeight="1">
      <c r="A72" s="533" t="s">
        <v>715</v>
      </c>
      <c r="B72" s="531">
        <v>10920.238579671801</v>
      </c>
      <c r="C72" s="531">
        <v>389.24352972513702</v>
      </c>
      <c r="D72" s="531">
        <v>7132.1323509102403</v>
      </c>
      <c r="E72" s="531">
        <v>48513.708892921102</v>
      </c>
      <c r="F72" s="531">
        <v>6117.1656854610401</v>
      </c>
      <c r="G72" s="531">
        <v>13410.2778872336</v>
      </c>
      <c r="H72" s="531">
        <v>86482.766925922901</v>
      </c>
      <c r="I72" s="531">
        <v>36623.813921311303</v>
      </c>
      <c r="J72" s="531">
        <v>7736.4314603090197</v>
      </c>
      <c r="K72" s="531">
        <v>24420.567382826499</v>
      </c>
      <c r="L72" s="531">
        <v>10986.7039292892</v>
      </c>
      <c r="M72" s="531">
        <v>45060.287042538301</v>
      </c>
      <c r="N72" s="531">
        <v>18551.2215358248</v>
      </c>
      <c r="O72" s="531">
        <v>25923.861200298601</v>
      </c>
      <c r="P72" s="531">
        <v>15136.026778859199</v>
      </c>
      <c r="Q72" s="531">
        <v>184438.91325125701</v>
      </c>
      <c r="R72" s="531">
        <v>4219.3768025721301</v>
      </c>
      <c r="S72" s="531">
        <v>266702.30337460799</v>
      </c>
      <c r="T72" s="531">
        <v>18436.129279640001</v>
      </c>
      <c r="U72" s="531">
        <v>1940.5797015999999</v>
      </c>
      <c r="V72" s="531">
        <v>287079.01235584798</v>
      </c>
    </row>
    <row r="73" spans="1:22" ht="14.45" customHeight="1">
      <c r="A73" s="532" t="s">
        <v>716</v>
      </c>
      <c r="B73" s="530">
        <v>9513.8644152714005</v>
      </c>
      <c r="C73" s="530">
        <v>450.29816662948298</v>
      </c>
      <c r="D73" s="530">
        <v>7188.7984534955604</v>
      </c>
      <c r="E73" s="530">
        <v>43027.861795187302</v>
      </c>
      <c r="F73" s="530">
        <v>6141.1770998699503</v>
      </c>
      <c r="G73" s="530">
        <v>12088.817861109301</v>
      </c>
      <c r="H73" s="530">
        <v>78410.817791562993</v>
      </c>
      <c r="I73" s="530">
        <v>33235.510942762798</v>
      </c>
      <c r="J73" s="530">
        <v>8680.1593185940292</v>
      </c>
      <c r="K73" s="530">
        <v>22400.466428709198</v>
      </c>
      <c r="L73" s="530">
        <v>10677.856840340201</v>
      </c>
      <c r="M73" s="530">
        <v>43277.987447551903</v>
      </c>
      <c r="N73" s="530">
        <v>17599.4458150832</v>
      </c>
      <c r="O73" s="530">
        <v>19848.0600075699</v>
      </c>
      <c r="P73" s="530">
        <v>13362.9958998287</v>
      </c>
      <c r="Q73" s="530">
        <v>169082.48270044001</v>
      </c>
      <c r="R73" s="530">
        <v>3587.6758437699</v>
      </c>
      <c r="S73" s="530">
        <v>243905.624648233</v>
      </c>
      <c r="T73" s="530">
        <v>17609.792863319999</v>
      </c>
      <c r="U73" s="530">
        <v>1815.1711754</v>
      </c>
      <c r="V73" s="530">
        <v>263330.58868695301</v>
      </c>
    </row>
    <row r="74" spans="1:22" ht="14.45" customHeight="1">
      <c r="A74" s="533" t="s">
        <v>717</v>
      </c>
      <c r="B74" s="531">
        <v>17228.840958908801</v>
      </c>
      <c r="C74" s="531">
        <v>1133.2975775032401</v>
      </c>
      <c r="D74" s="531">
        <v>7049.4544330177796</v>
      </c>
      <c r="E74" s="531">
        <v>46020.606150323598</v>
      </c>
      <c r="F74" s="531">
        <v>6733.07584911702</v>
      </c>
      <c r="G74" s="531">
        <v>12442.6002789261</v>
      </c>
      <c r="H74" s="531">
        <v>90607.875247796605</v>
      </c>
      <c r="I74" s="531">
        <v>35767.382467962801</v>
      </c>
      <c r="J74" s="531">
        <v>7110.60226299018</v>
      </c>
      <c r="K74" s="531">
        <v>23786.660587987801</v>
      </c>
      <c r="L74" s="531">
        <v>14934.9367509115</v>
      </c>
      <c r="M74" s="531">
        <v>43920.922818477397</v>
      </c>
      <c r="N74" s="531">
        <v>17341.903871603601</v>
      </c>
      <c r="O74" s="531">
        <v>25561.986869023502</v>
      </c>
      <c r="P74" s="531">
        <v>14597.7539244851</v>
      </c>
      <c r="Q74" s="531">
        <v>183022.149553442</v>
      </c>
      <c r="R74" s="531">
        <v>4172.3782919920604</v>
      </c>
      <c r="S74" s="531">
        <v>269457.64650924603</v>
      </c>
      <c r="T74" s="531">
        <v>16759.30183068</v>
      </c>
      <c r="U74" s="531">
        <v>1809.1268898799999</v>
      </c>
      <c r="V74" s="531">
        <v>288026.07522980601</v>
      </c>
    </row>
    <row r="75" spans="1:22" ht="14.45" customHeight="1">
      <c r="A75" s="532" t="s">
        <v>718</v>
      </c>
      <c r="B75" s="530">
        <v>10430.506878929</v>
      </c>
      <c r="C75" s="530">
        <v>698.39709567891998</v>
      </c>
      <c r="D75" s="530">
        <v>6989.3570770488104</v>
      </c>
      <c r="E75" s="530">
        <v>43764.135615475097</v>
      </c>
      <c r="F75" s="530">
        <v>6606.5001807407298</v>
      </c>
      <c r="G75" s="530">
        <v>11571.828815778499</v>
      </c>
      <c r="H75" s="530">
        <v>80060.725663651101</v>
      </c>
      <c r="I75" s="530">
        <v>32521.6918800155</v>
      </c>
      <c r="J75" s="530">
        <v>6767.6515570721403</v>
      </c>
      <c r="K75" s="530">
        <v>23553.9457378644</v>
      </c>
      <c r="L75" s="530">
        <v>16291.990140165</v>
      </c>
      <c r="M75" s="530">
        <v>42469.306733501697</v>
      </c>
      <c r="N75" s="530">
        <v>16580.9271053718</v>
      </c>
      <c r="O75" s="530">
        <v>25501.2749025228</v>
      </c>
      <c r="P75" s="530">
        <v>14823.990490628599</v>
      </c>
      <c r="Q75" s="530">
        <v>178510.77854714199</v>
      </c>
      <c r="R75" s="530">
        <v>5034.2883294932499</v>
      </c>
      <c r="S75" s="530">
        <v>253537.21588130001</v>
      </c>
      <c r="T75" s="530">
        <v>16331.598065079999</v>
      </c>
      <c r="U75" s="530">
        <v>1498.41315248</v>
      </c>
      <c r="V75" s="530">
        <v>271367.22709886002</v>
      </c>
    </row>
    <row r="76" spans="1:22" ht="14.45" customHeight="1">
      <c r="A76" s="533" t="s">
        <v>719</v>
      </c>
      <c r="B76" s="531">
        <v>9086.3679222561004</v>
      </c>
      <c r="C76" s="531">
        <v>561.03423856377105</v>
      </c>
      <c r="D76" s="531">
        <v>5401.9177659241304</v>
      </c>
      <c r="E76" s="531">
        <v>40155.296028979501</v>
      </c>
      <c r="F76" s="531">
        <v>5847.0253405901703</v>
      </c>
      <c r="G76" s="531">
        <v>10284.694075617301</v>
      </c>
      <c r="H76" s="531">
        <v>71336.335371930894</v>
      </c>
      <c r="I76" s="531">
        <v>29797.612722396501</v>
      </c>
      <c r="J76" s="531">
        <v>6675.7101747323104</v>
      </c>
      <c r="K76" s="531">
        <v>21749.122352088601</v>
      </c>
      <c r="L76" s="531">
        <v>13141.296738130801</v>
      </c>
      <c r="M76" s="531">
        <v>41121.611556108597</v>
      </c>
      <c r="N76" s="531">
        <v>16946.698938999401</v>
      </c>
      <c r="O76" s="531">
        <v>25295.440981956901</v>
      </c>
      <c r="P76" s="531">
        <v>14141.988809447001</v>
      </c>
      <c r="Q76" s="531">
        <v>168869.48227385999</v>
      </c>
      <c r="R76" s="531">
        <v>3552.3021426036598</v>
      </c>
      <c r="S76" s="531">
        <v>236653.51550318699</v>
      </c>
      <c r="T76" s="531">
        <v>14232.534197159999</v>
      </c>
      <c r="U76" s="531">
        <v>1176.8946212000001</v>
      </c>
      <c r="V76" s="531">
        <v>252062.94432154699</v>
      </c>
    </row>
    <row r="77" spans="1:22" ht="14.45" customHeight="1">
      <c r="A77" s="532" t="s">
        <v>720</v>
      </c>
      <c r="B77" s="530">
        <v>13597.9011355274</v>
      </c>
      <c r="C77" s="530">
        <v>644.02767065160799</v>
      </c>
      <c r="D77" s="530">
        <v>9316.8643303662302</v>
      </c>
      <c r="E77" s="530">
        <v>38296.190895112697</v>
      </c>
      <c r="F77" s="530">
        <v>4854.6459373767502</v>
      </c>
      <c r="G77" s="530">
        <v>7175.4679889696599</v>
      </c>
      <c r="H77" s="530">
        <v>73885.097958004306</v>
      </c>
      <c r="I77" s="530">
        <v>27517.837783907002</v>
      </c>
      <c r="J77" s="530">
        <v>6689.7618421154002</v>
      </c>
      <c r="K77" s="530">
        <v>20934.018248636799</v>
      </c>
      <c r="L77" s="530">
        <v>11240.5028709447</v>
      </c>
      <c r="M77" s="530">
        <v>38735.578244881603</v>
      </c>
      <c r="N77" s="530">
        <v>15891.0528099124</v>
      </c>
      <c r="O77" s="530">
        <v>19259.972507510502</v>
      </c>
      <c r="P77" s="530">
        <v>10913.0425659334</v>
      </c>
      <c r="Q77" s="530">
        <v>151181.76687384199</v>
      </c>
      <c r="R77" s="530">
        <v>2657.8907134480201</v>
      </c>
      <c r="S77" s="530">
        <v>222408.97411839801</v>
      </c>
      <c r="T77" s="530">
        <v>13817.727682639999</v>
      </c>
      <c r="U77" s="530">
        <v>830.01808788000005</v>
      </c>
      <c r="V77" s="530">
        <v>237056.71988891801</v>
      </c>
    </row>
    <row r="78" spans="1:22" ht="14.45" customHeight="1">
      <c r="A78" s="533" t="s">
        <v>721</v>
      </c>
      <c r="B78" s="531">
        <v>54830.080264702301</v>
      </c>
      <c r="C78" s="531">
        <v>2388.38396676618</v>
      </c>
      <c r="D78" s="531">
        <v>18527.045047047599</v>
      </c>
      <c r="E78" s="531">
        <v>61465.075796322897</v>
      </c>
      <c r="F78" s="531">
        <v>5222.2802860512002</v>
      </c>
      <c r="G78" s="531">
        <v>7344.3831437714898</v>
      </c>
      <c r="H78" s="531">
        <v>149777.24850466201</v>
      </c>
      <c r="I78" s="531">
        <v>35467.416445998897</v>
      </c>
      <c r="J78" s="531">
        <v>5939.3891038064203</v>
      </c>
      <c r="K78" s="531">
        <v>24086.735369381098</v>
      </c>
      <c r="L78" s="531">
        <v>17314.641078734301</v>
      </c>
      <c r="M78" s="531">
        <v>39943.594542480998</v>
      </c>
      <c r="N78" s="531">
        <v>16869.8800673279</v>
      </c>
      <c r="O78" s="531">
        <v>23789.9660692043</v>
      </c>
      <c r="P78" s="531">
        <v>12043.6781472984</v>
      </c>
      <c r="Q78" s="531">
        <v>175455.30082423199</v>
      </c>
      <c r="R78" s="531">
        <v>3776.0023542528202</v>
      </c>
      <c r="S78" s="531">
        <v>321456.54697464098</v>
      </c>
      <c r="T78" s="531">
        <v>16325.843284959999</v>
      </c>
      <c r="U78" s="531">
        <v>1225.81141996</v>
      </c>
      <c r="V78" s="531">
        <v>339008.201679561</v>
      </c>
    </row>
    <row r="79" spans="1:22" ht="14.45" customHeight="1">
      <c r="A79" s="532" t="s">
        <v>722</v>
      </c>
      <c r="B79" s="530">
        <v>26205.111645926401</v>
      </c>
      <c r="C79" s="530">
        <v>1394.6979401318899</v>
      </c>
      <c r="D79" s="530">
        <v>24571.603413302299</v>
      </c>
      <c r="E79" s="530">
        <v>75329.779681766493</v>
      </c>
      <c r="F79" s="530">
        <v>5882.8863413460904</v>
      </c>
      <c r="G79" s="530">
        <v>8061.99327846082</v>
      </c>
      <c r="H79" s="530">
        <v>141446.072300934</v>
      </c>
      <c r="I79" s="530">
        <v>34670.822301104898</v>
      </c>
      <c r="J79" s="530">
        <v>6512.9545811786902</v>
      </c>
      <c r="K79" s="530">
        <v>23996.2077849589</v>
      </c>
      <c r="L79" s="530">
        <v>18950.841092807601</v>
      </c>
      <c r="M79" s="530">
        <v>40092.462521719397</v>
      </c>
      <c r="N79" s="530">
        <v>16979.773599995198</v>
      </c>
      <c r="O79" s="530">
        <v>24102.409033482101</v>
      </c>
      <c r="P79" s="530">
        <v>12428.200385708</v>
      </c>
      <c r="Q79" s="530">
        <v>177733.671300955</v>
      </c>
      <c r="R79" s="530">
        <v>4369.7622700001402</v>
      </c>
      <c r="S79" s="530">
        <v>314809.98133188899</v>
      </c>
      <c r="T79" s="530">
        <v>17670.74464356</v>
      </c>
      <c r="U79" s="530">
        <v>1525.5048735600001</v>
      </c>
      <c r="V79" s="530">
        <v>334006.23084900901</v>
      </c>
    </row>
    <row r="80" spans="1:22" ht="14.45" customHeight="1">
      <c r="A80" s="533" t="s">
        <v>723</v>
      </c>
      <c r="B80" s="531">
        <v>27293.936406640099</v>
      </c>
      <c r="C80" s="531">
        <v>1261.60603721181</v>
      </c>
      <c r="D80" s="531">
        <v>22281.549876563498</v>
      </c>
      <c r="E80" s="531">
        <v>79321.240384629695</v>
      </c>
      <c r="F80" s="531">
        <v>5449.925392094</v>
      </c>
      <c r="G80" s="531">
        <v>8968.5664512592193</v>
      </c>
      <c r="H80" s="531">
        <v>144576.824548398</v>
      </c>
      <c r="I80" s="531">
        <v>37106.393346994802</v>
      </c>
      <c r="J80" s="531">
        <v>7580.78485898691</v>
      </c>
      <c r="K80" s="531">
        <v>23447.713073055598</v>
      </c>
      <c r="L80" s="531">
        <v>18321.6112500052</v>
      </c>
      <c r="M80" s="531">
        <v>40768.754398616496</v>
      </c>
      <c r="N80" s="531">
        <v>17727.092763739602</v>
      </c>
      <c r="O80" s="531">
        <v>23713.869593537202</v>
      </c>
      <c r="P80" s="531">
        <v>11843.8967336478</v>
      </c>
      <c r="Q80" s="531">
        <v>180510.116018584</v>
      </c>
      <c r="R80" s="531">
        <v>4544.5527608001503</v>
      </c>
      <c r="S80" s="531">
        <v>320542.38780618203</v>
      </c>
      <c r="T80" s="531">
        <v>18058.10858756</v>
      </c>
      <c r="U80" s="531">
        <v>1648.9266302399999</v>
      </c>
      <c r="V80" s="531">
        <v>340249.42302398197</v>
      </c>
    </row>
    <row r="81" spans="1:22" ht="14.45" customHeight="1">
      <c r="A81" s="532" t="s">
        <v>724</v>
      </c>
      <c r="B81" s="530">
        <v>23436.512475432901</v>
      </c>
      <c r="C81" s="530">
        <v>1195.90442555865</v>
      </c>
      <c r="D81" s="530">
        <v>21119.118045267402</v>
      </c>
      <c r="E81" s="530">
        <v>75086.561977724195</v>
      </c>
      <c r="F81" s="530">
        <v>5516.94136401171</v>
      </c>
      <c r="G81" s="530">
        <v>8827.35327837558</v>
      </c>
      <c r="H81" s="530">
        <v>135182.39156637</v>
      </c>
      <c r="I81" s="530">
        <v>35495.602262880799</v>
      </c>
      <c r="J81" s="530">
        <v>9463.0796794054095</v>
      </c>
      <c r="K81" s="530">
        <v>26529.7897286394</v>
      </c>
      <c r="L81" s="530">
        <v>13265.564414464299</v>
      </c>
      <c r="M81" s="530">
        <v>40178.914250643502</v>
      </c>
      <c r="N81" s="530">
        <v>17804.759579424801</v>
      </c>
      <c r="O81" s="530">
        <v>19155.641973883001</v>
      </c>
      <c r="P81" s="530">
        <v>10892.537987010801</v>
      </c>
      <c r="Q81" s="530">
        <v>172785.88987635201</v>
      </c>
      <c r="R81" s="530">
        <v>1624.1637182055299</v>
      </c>
      <c r="S81" s="530">
        <v>306344.11772451701</v>
      </c>
      <c r="T81" s="530">
        <v>19381.638185920001</v>
      </c>
      <c r="U81" s="530">
        <v>1636.0111495199999</v>
      </c>
      <c r="V81" s="530">
        <v>327361.76705995703</v>
      </c>
    </row>
    <row r="82" spans="1:22" ht="14.45" customHeight="1">
      <c r="A82" s="533" t="s">
        <v>725</v>
      </c>
      <c r="B82" s="531">
        <v>67858.782389994798</v>
      </c>
      <c r="C82" s="531">
        <v>2215.18921184901</v>
      </c>
      <c r="D82" s="531">
        <v>17774.285151299198</v>
      </c>
      <c r="E82" s="531">
        <v>80788.747680419794</v>
      </c>
      <c r="F82" s="531">
        <v>5860.6091116358002</v>
      </c>
      <c r="G82" s="531">
        <v>10898.2203280428</v>
      </c>
      <c r="H82" s="531">
        <v>185395.833873241</v>
      </c>
      <c r="I82" s="531">
        <v>42729.828527796097</v>
      </c>
      <c r="J82" s="531">
        <v>7091.3365715407999</v>
      </c>
      <c r="K82" s="531">
        <v>32211.106944429601</v>
      </c>
      <c r="L82" s="531">
        <v>10918.6369556751</v>
      </c>
      <c r="M82" s="531">
        <v>41329.242418827998</v>
      </c>
      <c r="N82" s="531">
        <v>19422.466894597099</v>
      </c>
      <c r="O82" s="531">
        <v>25786.445927701399</v>
      </c>
      <c r="P82" s="531">
        <v>13143.216926347301</v>
      </c>
      <c r="Q82" s="531">
        <v>192632.281166915</v>
      </c>
      <c r="R82" s="531">
        <v>588.19174486133102</v>
      </c>
      <c r="S82" s="531">
        <v>377439.92329529498</v>
      </c>
      <c r="T82" s="531">
        <v>19713.220371759999</v>
      </c>
      <c r="U82" s="531">
        <v>1965.6930142799999</v>
      </c>
      <c r="V82" s="531">
        <v>399118.836681335</v>
      </c>
    </row>
    <row r="83" spans="1:22" ht="14.45" customHeight="1">
      <c r="A83" s="532" t="s">
        <v>726</v>
      </c>
      <c r="B83" s="530">
        <v>27319.750957664201</v>
      </c>
      <c r="C83" s="530">
        <v>1465.9947730177701</v>
      </c>
      <c r="D83" s="530">
        <v>21222.23</v>
      </c>
      <c r="E83" s="530">
        <v>89035.732938041299</v>
      </c>
      <c r="F83" s="530">
        <v>6895.9013806849798</v>
      </c>
      <c r="G83" s="530">
        <v>12308.446003023</v>
      </c>
      <c r="H83" s="530">
        <v>158248.056052431</v>
      </c>
      <c r="I83" s="530">
        <v>41142.359504691201</v>
      </c>
      <c r="J83" s="530">
        <v>7700.1905091456001</v>
      </c>
      <c r="K83" s="530">
        <v>30741.516484821499</v>
      </c>
      <c r="L83" s="530">
        <v>12303.615431227299</v>
      </c>
      <c r="M83" s="530">
        <v>43274.908340958798</v>
      </c>
      <c r="N83" s="530">
        <v>18788.6922983759</v>
      </c>
      <c r="O83" s="530">
        <v>25934.444265273502</v>
      </c>
      <c r="P83" s="530">
        <v>14602.302575203999</v>
      </c>
      <c r="Q83" s="530">
        <v>194488.02940969801</v>
      </c>
      <c r="R83" s="530">
        <v>1286.2882095013999</v>
      </c>
      <c r="S83" s="530">
        <v>351449.79725262802</v>
      </c>
      <c r="T83" s="530">
        <v>23930.535379360001</v>
      </c>
      <c r="U83" s="530">
        <v>2506.9101954399998</v>
      </c>
      <c r="V83" s="530">
        <v>377887.24282742798</v>
      </c>
    </row>
    <row r="84" spans="1:22" ht="14.45" customHeight="1">
      <c r="A84" s="533" t="s">
        <v>727</v>
      </c>
      <c r="B84" s="531">
        <v>30452.390986899201</v>
      </c>
      <c r="C84" s="531">
        <v>1353.71758706332</v>
      </c>
      <c r="D84" s="531">
        <v>21997</v>
      </c>
      <c r="E84" s="531">
        <v>93208.284114813898</v>
      </c>
      <c r="F84" s="531">
        <v>6234.5277494900802</v>
      </c>
      <c r="G84" s="531">
        <v>14090.156219071399</v>
      </c>
      <c r="H84" s="531">
        <v>167336.07665733801</v>
      </c>
      <c r="I84" s="531">
        <v>45365.561756991498</v>
      </c>
      <c r="J84" s="531">
        <v>8673.27418153289</v>
      </c>
      <c r="K84" s="531">
        <v>30418.7558424903</v>
      </c>
      <c r="L84" s="531">
        <v>18245.313593763502</v>
      </c>
      <c r="M84" s="531">
        <v>43995.445364332903</v>
      </c>
      <c r="N84" s="531">
        <v>19368.966137142099</v>
      </c>
      <c r="O84" s="531">
        <v>26174.546058411499</v>
      </c>
      <c r="P84" s="531">
        <v>15183.8834580483</v>
      </c>
      <c r="Q84" s="531">
        <v>207425.74639271299</v>
      </c>
      <c r="R84" s="531">
        <v>3599.3091836539302</v>
      </c>
      <c r="S84" s="531">
        <v>371162.51386639703</v>
      </c>
      <c r="T84" s="531">
        <v>25061.02046892</v>
      </c>
      <c r="U84" s="531">
        <v>3046.0646825600002</v>
      </c>
      <c r="V84" s="531">
        <v>399269.59901787702</v>
      </c>
    </row>
    <row r="85" spans="1:22" ht="14.45" customHeight="1">
      <c r="A85" s="532" t="s">
        <v>619</v>
      </c>
      <c r="B85" s="530">
        <v>31877.549841745698</v>
      </c>
      <c r="C85" s="530">
        <v>1240.3191669607099</v>
      </c>
      <c r="D85" s="530">
        <v>20104.148633508401</v>
      </c>
      <c r="E85" s="530">
        <v>88876.474122281797</v>
      </c>
      <c r="F85" s="530">
        <v>6345.0659360223099</v>
      </c>
      <c r="G85" s="530">
        <v>14140.783714822501</v>
      </c>
      <c r="H85" s="530">
        <v>162584.34141534101</v>
      </c>
      <c r="I85" s="530">
        <v>42526.976080173103</v>
      </c>
      <c r="J85" s="530">
        <v>10825.437805977201</v>
      </c>
      <c r="K85" s="530">
        <v>33684.438656715298</v>
      </c>
      <c r="L85" s="530">
        <v>16969.517715913898</v>
      </c>
      <c r="M85" s="530">
        <v>43433.995358150903</v>
      </c>
      <c r="N85" s="530">
        <v>19416.500836599698</v>
      </c>
      <c r="O85" s="530">
        <v>20817.127687006101</v>
      </c>
      <c r="P85" s="530">
        <v>13244.862371227</v>
      </c>
      <c r="Q85" s="530">
        <v>200918.85651176301</v>
      </c>
      <c r="R85" s="530">
        <v>2316.7808019218901</v>
      </c>
      <c r="S85" s="530">
        <v>361186.41712518298</v>
      </c>
      <c r="T85" s="530">
        <v>28925.608229519999</v>
      </c>
      <c r="U85" s="530">
        <v>2705.4046422000001</v>
      </c>
      <c r="V85" s="530">
        <v>392817.42999690201</v>
      </c>
    </row>
    <row r="86" spans="1:22" ht="14.45" customHeight="1">
      <c r="A86" s="533" t="s">
        <v>620</v>
      </c>
      <c r="B86" s="531">
        <v>77393.548787625798</v>
      </c>
      <c r="C86" s="531">
        <v>1557.70149937219</v>
      </c>
      <c r="D86" s="531">
        <v>21175.983910024799</v>
      </c>
      <c r="E86" s="531">
        <v>95910.821931440194</v>
      </c>
      <c r="F86" s="531">
        <v>6458.4168101866399</v>
      </c>
      <c r="G86" s="531">
        <v>16916.503238331399</v>
      </c>
      <c r="H86" s="531">
        <v>219412.976176981</v>
      </c>
      <c r="I86" s="531">
        <v>48833.512139324303</v>
      </c>
      <c r="J86" s="531">
        <v>8325.9185105065208</v>
      </c>
      <c r="K86" s="531">
        <v>38500.532605350098</v>
      </c>
      <c r="L86" s="531">
        <v>17222.4773118007</v>
      </c>
      <c r="M86" s="531">
        <v>44144.886867113397</v>
      </c>
      <c r="N86" s="531">
        <v>21105.5219240279</v>
      </c>
      <c r="O86" s="531">
        <v>28191.082025822401</v>
      </c>
      <c r="P86" s="531">
        <v>15695.3597066859</v>
      </c>
      <c r="Q86" s="531">
        <v>222019.29109063101</v>
      </c>
      <c r="R86" s="531">
        <v>2035.94605500853</v>
      </c>
      <c r="S86" s="531">
        <v>439396.321212604</v>
      </c>
      <c r="T86" s="531">
        <v>31696.233997488001</v>
      </c>
      <c r="U86" s="531">
        <v>3120.52485308</v>
      </c>
      <c r="V86" s="531">
        <v>474213.08006317198</v>
      </c>
    </row>
    <row r="87" spans="1:22" ht="14.45" customHeight="1">
      <c r="A87" s="532" t="s">
        <v>621</v>
      </c>
      <c r="B87" s="530">
        <v>30971.7839598481</v>
      </c>
      <c r="C87" s="530">
        <v>1254.9121917581699</v>
      </c>
      <c r="D87" s="530">
        <v>25330</v>
      </c>
      <c r="E87" s="530">
        <v>103997.768332338</v>
      </c>
      <c r="F87" s="530">
        <v>7359.3558422085098</v>
      </c>
      <c r="G87" s="530">
        <v>18108.067536629202</v>
      </c>
      <c r="H87" s="530">
        <v>187021.88786278199</v>
      </c>
      <c r="I87" s="530">
        <v>48613.871877629303</v>
      </c>
      <c r="J87" s="530">
        <v>9534.8786327088492</v>
      </c>
      <c r="K87" s="530">
        <v>38369.120419844898</v>
      </c>
      <c r="L87" s="530">
        <v>16956.604091655001</v>
      </c>
      <c r="M87" s="530">
        <v>46861.083929639397</v>
      </c>
      <c r="N87" s="530">
        <v>21628.856566875002</v>
      </c>
      <c r="O87" s="530">
        <v>29215.322824259099</v>
      </c>
      <c r="P87" s="530">
        <v>17348.198431658398</v>
      </c>
      <c r="Q87" s="530">
        <v>228527.93677427</v>
      </c>
      <c r="R87" s="530">
        <v>1970.22330216511</v>
      </c>
      <c r="S87" s="530">
        <v>413579.60133488697</v>
      </c>
      <c r="T87" s="530">
        <v>34952.702852440001</v>
      </c>
      <c r="U87" s="530">
        <v>3547.3596535199999</v>
      </c>
      <c r="V87" s="530">
        <v>452079.66384084697</v>
      </c>
    </row>
    <row r="88" spans="1:22" ht="14.45" customHeight="1">
      <c r="A88" s="533" t="s">
        <v>622</v>
      </c>
      <c r="B88" s="531">
        <v>27301.211350702299</v>
      </c>
      <c r="C88" s="531">
        <v>996.84580162784505</v>
      </c>
      <c r="D88" s="531">
        <v>27556</v>
      </c>
      <c r="E88" s="531">
        <v>110385.85489064</v>
      </c>
      <c r="F88" s="531">
        <v>7711.87321525281</v>
      </c>
      <c r="G88" s="531">
        <v>19891.312088573701</v>
      </c>
      <c r="H88" s="531">
        <v>193843.097346797</v>
      </c>
      <c r="I88" s="531">
        <v>53836.871674935697</v>
      </c>
      <c r="J88" s="531">
        <v>11057.3019156754</v>
      </c>
      <c r="K88" s="531">
        <v>39541.3737087841</v>
      </c>
      <c r="L88" s="531">
        <v>17026.221643983499</v>
      </c>
      <c r="M88" s="531">
        <v>49506.986919057803</v>
      </c>
      <c r="N88" s="531">
        <v>23200.502013262601</v>
      </c>
      <c r="O88" s="531">
        <v>30177.805142961101</v>
      </c>
      <c r="P88" s="531">
        <v>18822.5881537034</v>
      </c>
      <c r="Q88" s="531">
        <v>243169.651172363</v>
      </c>
      <c r="R88" s="531">
        <v>1949.3225019174399</v>
      </c>
      <c r="S88" s="531">
        <v>435063.42601724301</v>
      </c>
      <c r="T88" s="531">
        <v>32771.578007479999</v>
      </c>
      <c r="U88" s="531">
        <v>3628.5246417200001</v>
      </c>
      <c r="V88" s="531">
        <v>471463.52866644302</v>
      </c>
    </row>
    <row r="89" spans="1:22" ht="14.45" customHeight="1">
      <c r="A89" s="532" t="s">
        <v>623</v>
      </c>
      <c r="B89" s="530">
        <v>32102.076218526101</v>
      </c>
      <c r="C89" s="530">
        <v>1412.1429849563699</v>
      </c>
      <c r="D89" s="530">
        <v>24991.379004979499</v>
      </c>
      <c r="E89" s="530">
        <v>100954.469885139</v>
      </c>
      <c r="F89" s="530">
        <v>8397.5509733906401</v>
      </c>
      <c r="G89" s="530">
        <v>18024.469124800999</v>
      </c>
      <c r="H89" s="530">
        <v>185882.08819179301</v>
      </c>
      <c r="I89" s="530">
        <v>49380.714344771397</v>
      </c>
      <c r="J89" s="530">
        <v>13594.9716267558</v>
      </c>
      <c r="K89" s="530">
        <v>41020.707469453198</v>
      </c>
      <c r="L89" s="530">
        <v>18523.5019044767</v>
      </c>
      <c r="M89" s="530">
        <v>47751.881743641097</v>
      </c>
      <c r="N89" s="530">
        <v>23805.829384835601</v>
      </c>
      <c r="O89" s="530">
        <v>25669.973728956102</v>
      </c>
      <c r="P89" s="530">
        <v>16041.426216989201</v>
      </c>
      <c r="Q89" s="530">
        <v>235789.00641987901</v>
      </c>
      <c r="R89" s="530">
        <v>2439.0167729079399</v>
      </c>
      <c r="S89" s="530">
        <v>419232.077838764</v>
      </c>
      <c r="T89" s="530">
        <v>34323.590730759999</v>
      </c>
      <c r="U89" s="530">
        <v>3208.0700018799998</v>
      </c>
      <c r="V89" s="530">
        <v>456763.73857140401</v>
      </c>
    </row>
    <row r="90" spans="1:22" ht="14.45" customHeight="1">
      <c r="A90" s="533" t="s">
        <v>624</v>
      </c>
      <c r="B90" s="531">
        <v>77337.5732029918</v>
      </c>
      <c r="C90" s="531">
        <v>2625.0074218804898</v>
      </c>
      <c r="D90" s="531">
        <v>25980.495405665501</v>
      </c>
      <c r="E90" s="531">
        <v>108690.833109228</v>
      </c>
      <c r="F90" s="531">
        <v>7937.1041246220902</v>
      </c>
      <c r="G90" s="531">
        <v>23031.5333043951</v>
      </c>
      <c r="H90" s="531">
        <v>245602.54656878201</v>
      </c>
      <c r="I90" s="531">
        <v>59773.613864044601</v>
      </c>
      <c r="J90" s="531">
        <v>10603.909220404599</v>
      </c>
      <c r="K90" s="531">
        <v>47103.850847927897</v>
      </c>
      <c r="L90" s="531">
        <v>20969.185316679701</v>
      </c>
      <c r="M90" s="531">
        <v>49539.745526596402</v>
      </c>
      <c r="N90" s="531">
        <v>25857.639043076899</v>
      </c>
      <c r="O90" s="531">
        <v>34344.552249342501</v>
      </c>
      <c r="P90" s="531">
        <v>19601.245543188201</v>
      </c>
      <c r="Q90" s="531">
        <v>267793.74161126098</v>
      </c>
      <c r="R90" s="531">
        <v>2696.15200458236</v>
      </c>
      <c r="S90" s="531">
        <v>510700.136175461</v>
      </c>
      <c r="T90" s="531">
        <v>37986.878726880001</v>
      </c>
      <c r="U90" s="531">
        <v>3724.8147715999999</v>
      </c>
      <c r="V90" s="531">
        <v>552411.82967394101</v>
      </c>
    </row>
    <row r="91" spans="1:22" ht="14.45" customHeight="1">
      <c r="A91" s="532" t="s">
        <v>625</v>
      </c>
      <c r="B91" s="530">
        <v>37381.409745596902</v>
      </c>
      <c r="C91" s="530">
        <v>1062.7113923419299</v>
      </c>
      <c r="D91" s="530">
        <v>32871.0457400589</v>
      </c>
      <c r="E91" s="530">
        <v>115006.473433274</v>
      </c>
      <c r="F91" s="530">
        <v>9021.5070773576899</v>
      </c>
      <c r="G91" s="530">
        <v>25239.662620781299</v>
      </c>
      <c r="H91" s="530">
        <v>220582.81000941101</v>
      </c>
      <c r="I91" s="530">
        <v>58770.512922269598</v>
      </c>
      <c r="J91" s="530">
        <v>11801.918603279801</v>
      </c>
      <c r="K91" s="530">
        <v>45403.759230636701</v>
      </c>
      <c r="L91" s="530">
        <v>23488.375889503299</v>
      </c>
      <c r="M91" s="530">
        <v>56597.394178753901</v>
      </c>
      <c r="N91" s="530">
        <v>27373.835989167299</v>
      </c>
      <c r="O91" s="530">
        <v>37845.318686989798</v>
      </c>
      <c r="P91" s="530">
        <v>21410.561679689399</v>
      </c>
      <c r="Q91" s="530">
        <v>282691.67718028999</v>
      </c>
      <c r="R91" s="530">
        <v>3570.5966571271701</v>
      </c>
      <c r="S91" s="530">
        <v>499703.89053257398</v>
      </c>
      <c r="T91" s="530">
        <v>40392.24791056</v>
      </c>
      <c r="U91" s="530">
        <v>4132.0284224799998</v>
      </c>
      <c r="V91" s="530">
        <v>544228.16686561401</v>
      </c>
    </row>
    <row r="92" spans="1:22" ht="14.45" customHeight="1">
      <c r="A92" s="533" t="s">
        <v>626</v>
      </c>
      <c r="B92" s="531">
        <v>32217.362494888301</v>
      </c>
      <c r="C92" s="531">
        <v>1184.0910562782799</v>
      </c>
      <c r="D92" s="531">
        <v>31436.958198085002</v>
      </c>
      <c r="E92" s="531">
        <v>131712.71171042399</v>
      </c>
      <c r="F92" s="531">
        <v>8723.7583572069907</v>
      </c>
      <c r="G92" s="531">
        <v>29941.690000304901</v>
      </c>
      <c r="H92" s="531">
        <v>235216.57181718701</v>
      </c>
      <c r="I92" s="531">
        <v>64070.230495495598</v>
      </c>
      <c r="J92" s="531">
        <v>14234.6567861244</v>
      </c>
      <c r="K92" s="531">
        <v>44183.494684844503</v>
      </c>
      <c r="L92" s="531">
        <v>22626.7743735595</v>
      </c>
      <c r="M92" s="531">
        <v>60506.148574305698</v>
      </c>
      <c r="N92" s="531">
        <v>29446.293133761301</v>
      </c>
      <c r="O92" s="531">
        <v>39539.152760732599</v>
      </c>
      <c r="P92" s="531">
        <v>23133.587997406201</v>
      </c>
      <c r="Q92" s="531">
        <v>297740.33880622999</v>
      </c>
      <c r="R92" s="531">
        <v>3448.5028788770601</v>
      </c>
      <c r="S92" s="531">
        <v>529508.40774454002</v>
      </c>
      <c r="T92" s="531">
        <v>40401.406218479999</v>
      </c>
      <c r="U92" s="531">
        <v>4441.34011164</v>
      </c>
      <c r="V92" s="531">
        <v>574351.15407466004</v>
      </c>
    </row>
    <row r="93" spans="1:22" ht="14.45" customHeight="1">
      <c r="A93" s="532" t="s">
        <v>627</v>
      </c>
      <c r="B93" s="530">
        <v>37808.822579373496</v>
      </c>
      <c r="C93" s="530">
        <v>1658.56312778652</v>
      </c>
      <c r="D93" s="530">
        <v>32576.1694218218</v>
      </c>
      <c r="E93" s="530">
        <v>117607.035161889</v>
      </c>
      <c r="F93" s="530">
        <v>9710.8315320709808</v>
      </c>
      <c r="G93" s="530">
        <v>26935.659251052301</v>
      </c>
      <c r="H93" s="530">
        <v>226297.08107399399</v>
      </c>
      <c r="I93" s="530">
        <v>58409.8726811054</v>
      </c>
      <c r="J93" s="530">
        <v>17769.8473490535</v>
      </c>
      <c r="K93" s="530">
        <v>49790.049025609398</v>
      </c>
      <c r="L93" s="530">
        <v>25227.334046165401</v>
      </c>
      <c r="M93" s="530">
        <v>60363.222806017402</v>
      </c>
      <c r="N93" s="530">
        <v>29845.808436944099</v>
      </c>
      <c r="O93" s="530">
        <v>35629.352279407001</v>
      </c>
      <c r="P93" s="530">
        <v>20327.5579624233</v>
      </c>
      <c r="Q93" s="530">
        <v>297363.04458672501</v>
      </c>
      <c r="R93" s="530">
        <v>4055.6483368444501</v>
      </c>
      <c r="S93" s="530">
        <v>519604.47732387501</v>
      </c>
      <c r="T93" s="530">
        <v>43842.746960359997</v>
      </c>
      <c r="U93" s="530">
        <v>4547.0914227200001</v>
      </c>
      <c r="V93" s="530">
        <v>567994.31570695504</v>
      </c>
    </row>
    <row r="94" spans="1:22" ht="14.45" customHeight="1">
      <c r="A94" s="533" t="s">
        <v>628</v>
      </c>
      <c r="B94" s="531">
        <v>84913.646159107098</v>
      </c>
      <c r="C94" s="531">
        <v>2723.24247142175</v>
      </c>
      <c r="D94" s="531">
        <v>35318.477003619897</v>
      </c>
      <c r="E94" s="531">
        <v>127343.27713052199</v>
      </c>
      <c r="F94" s="531">
        <v>9188.0660674267801</v>
      </c>
      <c r="G94" s="531">
        <v>34516.802637497101</v>
      </c>
      <c r="H94" s="531">
        <v>294003.51146959502</v>
      </c>
      <c r="I94" s="531">
        <v>70788.025283339506</v>
      </c>
      <c r="J94" s="531">
        <v>13870.242084944601</v>
      </c>
      <c r="K94" s="531">
        <v>54938.080740784797</v>
      </c>
      <c r="L94" s="531">
        <v>25642.2353917935</v>
      </c>
      <c r="M94" s="531">
        <v>63446.334254351597</v>
      </c>
      <c r="N94" s="531">
        <v>32599.888793338199</v>
      </c>
      <c r="O94" s="531">
        <v>50388.716112672701</v>
      </c>
      <c r="P94" s="531">
        <v>24668.0429562184</v>
      </c>
      <c r="Q94" s="531">
        <v>336341.565617443</v>
      </c>
      <c r="R94" s="531">
        <v>3310.0012408587099</v>
      </c>
      <c r="S94" s="531">
        <v>627035.07584617904</v>
      </c>
      <c r="T94" s="531">
        <v>46436.088962959999</v>
      </c>
      <c r="U94" s="531">
        <v>4807.3104753999996</v>
      </c>
      <c r="V94" s="531">
        <v>678278.47528453905</v>
      </c>
    </row>
    <row r="95" spans="1:22" ht="14.45" customHeight="1">
      <c r="A95" s="532" t="s">
        <v>629</v>
      </c>
      <c r="B95" s="530">
        <v>36806.965236047399</v>
      </c>
      <c r="C95" s="530">
        <v>2369.7014463503601</v>
      </c>
      <c r="D95" s="530">
        <v>42929.826375928998</v>
      </c>
      <c r="E95" s="530">
        <v>137379.60663420899</v>
      </c>
      <c r="F95" s="530">
        <v>10316.0005325439</v>
      </c>
      <c r="G95" s="530">
        <v>37508.815673137004</v>
      </c>
      <c r="H95" s="530">
        <v>267310.915898217</v>
      </c>
      <c r="I95" s="530">
        <v>70072.655344345796</v>
      </c>
      <c r="J95" s="530">
        <v>15619.0077204839</v>
      </c>
      <c r="K95" s="530">
        <v>55836.829544133798</v>
      </c>
      <c r="L95" s="530">
        <v>28925.504245449301</v>
      </c>
      <c r="M95" s="530">
        <v>68097.235301271299</v>
      </c>
      <c r="N95" s="530">
        <v>34660.979012571501</v>
      </c>
      <c r="O95" s="530">
        <v>49782.736253663999</v>
      </c>
      <c r="P95" s="530">
        <v>26418.7124332684</v>
      </c>
      <c r="Q95" s="530">
        <v>349413.65985518799</v>
      </c>
      <c r="R95" s="530">
        <v>4645.2777633710502</v>
      </c>
      <c r="S95" s="530">
        <v>612079.29799003399</v>
      </c>
      <c r="T95" s="530">
        <v>50684.085553279998</v>
      </c>
      <c r="U95" s="530">
        <v>5433.8456212800002</v>
      </c>
      <c r="V95" s="530">
        <v>668197.22916459397</v>
      </c>
    </row>
    <row r="96" spans="1:22" ht="14.45" customHeight="1">
      <c r="A96" s="533" t="s">
        <v>630</v>
      </c>
      <c r="B96" s="531">
        <v>35507.855354341402</v>
      </c>
      <c r="C96" s="531">
        <v>1250.97267942294</v>
      </c>
      <c r="D96" s="531">
        <v>34114.598651446599</v>
      </c>
      <c r="E96" s="531">
        <v>156505.23803605599</v>
      </c>
      <c r="F96" s="531">
        <v>9634.8154451625105</v>
      </c>
      <c r="G96" s="531">
        <v>40624.788710105197</v>
      </c>
      <c r="H96" s="531">
        <v>277638.268876535</v>
      </c>
      <c r="I96" s="531">
        <v>77238.891448344599</v>
      </c>
      <c r="J96" s="531">
        <v>18116.780030632799</v>
      </c>
      <c r="K96" s="531">
        <v>53694.324735582202</v>
      </c>
      <c r="L96" s="531">
        <v>32397.9991047078</v>
      </c>
      <c r="M96" s="531">
        <v>71939.762403517496</v>
      </c>
      <c r="N96" s="531">
        <v>37408.1210197736</v>
      </c>
      <c r="O96" s="531">
        <v>51972.488569674497</v>
      </c>
      <c r="P96" s="531">
        <v>28032.154563362401</v>
      </c>
      <c r="Q96" s="531">
        <v>370800.52187559498</v>
      </c>
      <c r="R96" s="531">
        <v>6133.7800459511</v>
      </c>
      <c r="S96" s="531">
        <v>642305.01070617896</v>
      </c>
      <c r="T96" s="531">
        <v>55213.170717280002</v>
      </c>
      <c r="U96" s="531">
        <v>5767.7394150399996</v>
      </c>
      <c r="V96" s="531">
        <v>703285.92083849898</v>
      </c>
    </row>
    <row r="97" spans="1:22" ht="14.45" customHeight="1">
      <c r="A97" s="532" t="s">
        <v>631</v>
      </c>
      <c r="B97" s="530">
        <v>44752.399165848597</v>
      </c>
      <c r="C97" s="530">
        <v>1531.7904009415299</v>
      </c>
      <c r="D97" s="530">
        <v>30080.316719160299</v>
      </c>
      <c r="E97" s="530">
        <v>134348.248045496</v>
      </c>
      <c r="F97" s="530">
        <v>10831.142513358</v>
      </c>
      <c r="G97" s="530">
        <v>36139.7186570708</v>
      </c>
      <c r="H97" s="530">
        <v>257683.61550187599</v>
      </c>
      <c r="I97" s="530">
        <v>71719.581379294294</v>
      </c>
      <c r="J97" s="530">
        <v>21412.721116663401</v>
      </c>
      <c r="K97" s="530">
        <v>59082.101058285902</v>
      </c>
      <c r="L97" s="530">
        <v>33774.324205298501</v>
      </c>
      <c r="M97" s="530">
        <v>74387.5030450333</v>
      </c>
      <c r="N97" s="530">
        <v>37178.123194343701</v>
      </c>
      <c r="O97" s="530">
        <v>45651.149209541203</v>
      </c>
      <c r="P97" s="530">
        <v>24637.812709051301</v>
      </c>
      <c r="Q97" s="530">
        <v>367843.31591751199</v>
      </c>
      <c r="R97" s="530">
        <v>6235.0332741243601</v>
      </c>
      <c r="S97" s="530">
        <v>619291.89814526297</v>
      </c>
      <c r="T97" s="530">
        <v>55886.240740000001</v>
      </c>
      <c r="U97" s="530">
        <v>5941.7155884800004</v>
      </c>
      <c r="V97" s="530">
        <v>681119.85447374301</v>
      </c>
    </row>
    <row r="98" spans="1:22" ht="14.45" customHeight="1">
      <c r="A98" s="533" t="s">
        <v>632</v>
      </c>
      <c r="B98" s="531">
        <v>120479.25060677899</v>
      </c>
      <c r="C98" s="531">
        <v>2698.58036169754</v>
      </c>
      <c r="D98" s="531">
        <v>30595.455223105</v>
      </c>
      <c r="E98" s="531">
        <v>145475.844300545</v>
      </c>
      <c r="F98" s="531">
        <v>10466.382719193</v>
      </c>
      <c r="G98" s="531">
        <v>45037.577494092999</v>
      </c>
      <c r="H98" s="531">
        <v>354753.09070541302</v>
      </c>
      <c r="I98" s="531">
        <v>87069.264765693501</v>
      </c>
      <c r="J98" s="531">
        <v>17344.525891765301</v>
      </c>
      <c r="K98" s="531">
        <v>64237.063242089498</v>
      </c>
      <c r="L98" s="531">
        <v>33434.010200606303</v>
      </c>
      <c r="M98" s="531">
        <v>78127.961684956696</v>
      </c>
      <c r="N98" s="531">
        <v>41781.002434391303</v>
      </c>
      <c r="O98" s="531">
        <v>66259.256935837606</v>
      </c>
      <c r="P98" s="531">
        <v>30340.466259716399</v>
      </c>
      <c r="Q98" s="531">
        <v>418593.55141505698</v>
      </c>
      <c r="R98" s="531">
        <v>4606.0369941342697</v>
      </c>
      <c r="S98" s="531">
        <v>768740.60512633505</v>
      </c>
      <c r="T98" s="531">
        <v>60210.565668440002</v>
      </c>
      <c r="U98" s="531">
        <v>6174.0995175600001</v>
      </c>
      <c r="V98" s="531">
        <v>835125.27031233499</v>
      </c>
    </row>
    <row r="99" spans="1:22" ht="14.45" customHeight="1">
      <c r="A99" s="532" t="s">
        <v>633</v>
      </c>
      <c r="B99" s="530">
        <v>52690.533027314203</v>
      </c>
      <c r="C99" s="530">
        <v>1874.37157655239</v>
      </c>
      <c r="D99" s="530">
        <v>42287.842352633001</v>
      </c>
      <c r="E99" s="530">
        <v>158556.650623536</v>
      </c>
      <c r="F99" s="530">
        <v>11815.007109189601</v>
      </c>
      <c r="G99" s="530">
        <v>49655.705511692402</v>
      </c>
      <c r="H99" s="530">
        <v>316880.11020091799</v>
      </c>
      <c r="I99" s="530">
        <v>88514.653892698596</v>
      </c>
      <c r="J99" s="530">
        <v>19143.509717438999</v>
      </c>
      <c r="K99" s="530">
        <v>66232.584593630803</v>
      </c>
      <c r="L99" s="530">
        <v>36985.009324181803</v>
      </c>
      <c r="M99" s="530">
        <v>84913.1730677866</v>
      </c>
      <c r="N99" s="530">
        <v>45332.327589564396</v>
      </c>
      <c r="O99" s="530">
        <v>64559.917184369799</v>
      </c>
      <c r="P99" s="530">
        <v>32859.122516504001</v>
      </c>
      <c r="Q99" s="530">
        <v>438540.29788617499</v>
      </c>
      <c r="R99" s="530">
        <v>5008.5421496114604</v>
      </c>
      <c r="S99" s="530">
        <v>750411.86593748198</v>
      </c>
      <c r="T99" s="530">
        <v>69577.941284440007</v>
      </c>
      <c r="U99" s="530">
        <v>7473.4574837706796</v>
      </c>
      <c r="V99" s="530">
        <v>827463.26470569195</v>
      </c>
    </row>
    <row r="100" spans="1:22" ht="14.45" customHeight="1">
      <c r="A100" s="533" t="s">
        <v>634</v>
      </c>
      <c r="B100" s="531">
        <v>55088.931406220901</v>
      </c>
      <c r="C100" s="531">
        <v>1290.20007964254</v>
      </c>
      <c r="D100" s="531">
        <v>39265.567053091698</v>
      </c>
      <c r="E100" s="531">
        <v>196903.09808500699</v>
      </c>
      <c r="F100" s="531">
        <v>10852.1409266921</v>
      </c>
      <c r="G100" s="531">
        <v>54603.775132803399</v>
      </c>
      <c r="H100" s="531">
        <v>358003.71268345701</v>
      </c>
      <c r="I100" s="531">
        <v>97967.871052729606</v>
      </c>
      <c r="J100" s="531">
        <v>21974.342109766101</v>
      </c>
      <c r="K100" s="531">
        <v>66872.317916310305</v>
      </c>
      <c r="L100" s="531">
        <v>41271.307138854601</v>
      </c>
      <c r="M100" s="531">
        <v>90200.913553752893</v>
      </c>
      <c r="N100" s="531">
        <v>50499.792820969997</v>
      </c>
      <c r="O100" s="531">
        <v>68904.187313538001</v>
      </c>
      <c r="P100" s="531">
        <v>34682.100966590398</v>
      </c>
      <c r="Q100" s="531">
        <v>472372.83287251199</v>
      </c>
      <c r="R100" s="531">
        <v>7556.1876572941601</v>
      </c>
      <c r="S100" s="531">
        <v>822820.35789867502</v>
      </c>
      <c r="T100" s="531">
        <v>74822.671241799995</v>
      </c>
      <c r="U100" s="531">
        <v>8471.8944282800003</v>
      </c>
      <c r="V100" s="531">
        <v>906114.92356875504</v>
      </c>
    </row>
    <row r="101" spans="1:22" ht="14.45" customHeight="1">
      <c r="A101" s="532" t="s">
        <v>635</v>
      </c>
      <c r="B101" s="530">
        <v>71440.259016022494</v>
      </c>
      <c r="C101" s="530">
        <v>1276.3998753997801</v>
      </c>
      <c r="D101" s="530">
        <v>35912.777383142602</v>
      </c>
      <c r="E101" s="530">
        <v>173744.14542207599</v>
      </c>
      <c r="F101" s="530">
        <v>12359.855935789899</v>
      </c>
      <c r="G101" s="530">
        <v>46931.964493756102</v>
      </c>
      <c r="H101" s="530">
        <v>341665.40212618699</v>
      </c>
      <c r="I101" s="530">
        <v>93019.356093765193</v>
      </c>
      <c r="J101" s="530">
        <v>25834.6143442957</v>
      </c>
      <c r="K101" s="530">
        <v>74319.136144756994</v>
      </c>
      <c r="L101" s="530">
        <v>44547.316157635803</v>
      </c>
      <c r="M101" s="530">
        <v>93525.785930954007</v>
      </c>
      <c r="N101" s="530">
        <v>47842.9607021423</v>
      </c>
      <c r="O101" s="530">
        <v>58839.883541689902</v>
      </c>
      <c r="P101" s="530">
        <v>31082.599374608399</v>
      </c>
      <c r="Q101" s="530">
        <v>469011.65228984802</v>
      </c>
      <c r="R101" s="530">
        <v>8023.1774595653296</v>
      </c>
      <c r="S101" s="530">
        <v>802653.87695646996</v>
      </c>
      <c r="T101" s="530">
        <v>76702.359561239995</v>
      </c>
      <c r="U101" s="530">
        <v>8286.7742610000005</v>
      </c>
      <c r="V101" s="530">
        <v>887643.01077871001</v>
      </c>
    </row>
    <row r="102" spans="1:22" ht="14.45" customHeight="1">
      <c r="A102" s="533" t="s">
        <v>636</v>
      </c>
      <c r="B102" s="531">
        <v>180086.49348798199</v>
      </c>
      <c r="C102" s="531">
        <v>3101.9506144955299</v>
      </c>
      <c r="D102" s="531">
        <v>28444.559519742099</v>
      </c>
      <c r="E102" s="531">
        <v>192847.2898379</v>
      </c>
      <c r="F102" s="531">
        <v>11366.534626484699</v>
      </c>
      <c r="G102" s="531">
        <v>57223.192296196401</v>
      </c>
      <c r="H102" s="531">
        <v>473070.02038280101</v>
      </c>
      <c r="I102" s="531">
        <v>117429.624320517</v>
      </c>
      <c r="J102" s="531">
        <v>21760.838983099798</v>
      </c>
      <c r="K102" s="531">
        <v>80781.261567065594</v>
      </c>
      <c r="L102" s="531">
        <v>46777.0283424109</v>
      </c>
      <c r="M102" s="531">
        <v>98329.564208688796</v>
      </c>
      <c r="N102" s="531">
        <v>56722.931649590202</v>
      </c>
      <c r="O102" s="531">
        <v>89310.501250501999</v>
      </c>
      <c r="P102" s="531">
        <v>38433.672681500197</v>
      </c>
      <c r="Q102" s="531">
        <v>549545.42300337402</v>
      </c>
      <c r="R102" s="531">
        <v>6293.31431354701</v>
      </c>
      <c r="S102" s="531">
        <v>1016322.12907263</v>
      </c>
      <c r="T102" s="531">
        <v>82670.8874086</v>
      </c>
      <c r="U102" s="531">
        <v>8949.8238708000008</v>
      </c>
      <c r="V102" s="531">
        <v>1107942.84035203</v>
      </c>
    </row>
    <row r="103" spans="1:22" ht="14.45" customHeight="1">
      <c r="A103" s="532" t="s">
        <v>637</v>
      </c>
      <c r="B103" s="530">
        <v>65672.517399945893</v>
      </c>
      <c r="C103" s="530">
        <v>2829.8461530680502</v>
      </c>
      <c r="D103" s="530">
        <v>41379.034822740497</v>
      </c>
      <c r="E103" s="530">
        <v>205795.57941592499</v>
      </c>
      <c r="F103" s="530">
        <v>12812.854429954101</v>
      </c>
      <c r="G103" s="530">
        <v>60154.159907171401</v>
      </c>
      <c r="H103" s="530">
        <v>388643.99212880502</v>
      </c>
      <c r="I103" s="530">
        <v>117179.430676939</v>
      </c>
      <c r="J103" s="530">
        <v>24558.940699118099</v>
      </c>
      <c r="K103" s="530">
        <v>83748.257898941796</v>
      </c>
      <c r="L103" s="530">
        <v>52291.398230537103</v>
      </c>
      <c r="M103" s="530">
        <v>111106.352300983</v>
      </c>
      <c r="N103" s="530">
        <v>62283.389544283702</v>
      </c>
      <c r="O103" s="530">
        <v>87001.687242196494</v>
      </c>
      <c r="P103" s="530">
        <v>40497.1680696822</v>
      </c>
      <c r="Q103" s="530">
        <v>578666.62466268102</v>
      </c>
      <c r="R103" s="530">
        <v>7704.1493978101898</v>
      </c>
      <c r="S103" s="530">
        <v>959606.46739367605</v>
      </c>
      <c r="T103" s="530">
        <v>88521.835999679999</v>
      </c>
      <c r="U103" s="530">
        <v>9422.4901011999991</v>
      </c>
      <c r="V103" s="530">
        <v>1057550.7934945601</v>
      </c>
    </row>
    <row r="104" spans="1:22" ht="14.45" customHeight="1">
      <c r="A104" s="533" t="s">
        <v>638</v>
      </c>
      <c r="B104" s="531">
        <v>45921.026604209503</v>
      </c>
      <c r="C104" s="531">
        <v>2386.3263513301899</v>
      </c>
      <c r="D104" s="531">
        <v>37014.834046924603</v>
      </c>
      <c r="E104" s="531">
        <v>232311.39800602</v>
      </c>
      <c r="F104" s="531">
        <v>12743.739397216101</v>
      </c>
      <c r="G104" s="531">
        <v>61906.528807051</v>
      </c>
      <c r="H104" s="531">
        <v>392283.85321275098</v>
      </c>
      <c r="I104" s="531">
        <v>122294.812469817</v>
      </c>
      <c r="J104" s="531">
        <v>28179.481918210899</v>
      </c>
      <c r="K104" s="531">
        <v>82266.5608662983</v>
      </c>
      <c r="L104" s="531">
        <v>50976.789290342902</v>
      </c>
      <c r="M104" s="531">
        <v>114015.509041873</v>
      </c>
      <c r="N104" s="531">
        <v>65896.485058055201</v>
      </c>
      <c r="O104" s="531">
        <v>88955.0173948929</v>
      </c>
      <c r="P104" s="531">
        <v>43360.365188064301</v>
      </c>
      <c r="Q104" s="531">
        <v>595945.02122755395</v>
      </c>
      <c r="R104" s="531">
        <v>8788.8338224726995</v>
      </c>
      <c r="S104" s="531">
        <v>979440.04061783198</v>
      </c>
      <c r="T104" s="531">
        <v>89163.806661947601</v>
      </c>
      <c r="U104" s="531">
        <v>9292.5419036000003</v>
      </c>
      <c r="V104" s="531">
        <v>1077896.3891833799</v>
      </c>
    </row>
    <row r="105" spans="1:22" ht="14.45" customHeight="1">
      <c r="A105" s="532" t="s">
        <v>639</v>
      </c>
      <c r="B105" s="530">
        <v>48069.5609158636</v>
      </c>
      <c r="C105" s="530">
        <v>1139.0867080271801</v>
      </c>
      <c r="D105" s="530">
        <v>35229.713779983002</v>
      </c>
      <c r="E105" s="530">
        <v>190327.38137888801</v>
      </c>
      <c r="F105" s="530">
        <v>13539.159181909299</v>
      </c>
      <c r="G105" s="530">
        <v>51876.469171426601</v>
      </c>
      <c r="H105" s="530">
        <v>340181.37113609799</v>
      </c>
      <c r="I105" s="530">
        <v>109487.40658015</v>
      </c>
      <c r="J105" s="530">
        <v>31648.254529210899</v>
      </c>
      <c r="K105" s="530">
        <v>82903.376655596294</v>
      </c>
      <c r="L105" s="530">
        <v>53241.676287161499</v>
      </c>
      <c r="M105" s="530">
        <v>114154.89524924201</v>
      </c>
      <c r="N105" s="530">
        <v>63312.734214987497</v>
      </c>
      <c r="O105" s="530">
        <v>76605.518020249699</v>
      </c>
      <c r="P105" s="530">
        <v>40368.461448393798</v>
      </c>
      <c r="Q105" s="530">
        <v>571722.32298499194</v>
      </c>
      <c r="R105" s="530">
        <v>9915.9333946504794</v>
      </c>
      <c r="S105" s="530">
        <v>901987.76072643895</v>
      </c>
      <c r="T105" s="530">
        <v>84202.757569120004</v>
      </c>
      <c r="U105" s="530">
        <v>6771.7303031600004</v>
      </c>
      <c r="V105" s="530">
        <v>992962.24859871902</v>
      </c>
    </row>
    <row r="106" spans="1:22" ht="14.45" customHeight="1">
      <c r="A106" s="533" t="s">
        <v>640</v>
      </c>
      <c r="B106" s="531">
        <v>140907.48110739799</v>
      </c>
      <c r="C106" s="531">
        <v>2843.51692412088</v>
      </c>
      <c r="D106" s="531">
        <v>32020.3588639806</v>
      </c>
      <c r="E106" s="531">
        <v>211928.93375369799</v>
      </c>
      <c r="F106" s="531">
        <v>13227.4924869076</v>
      </c>
      <c r="G106" s="531">
        <v>60492.201702869403</v>
      </c>
      <c r="H106" s="531">
        <v>461419.98483897402</v>
      </c>
      <c r="I106" s="531">
        <v>136762.4021414</v>
      </c>
      <c r="J106" s="531">
        <v>23174.4642750739</v>
      </c>
      <c r="K106" s="531">
        <v>86516.649185375398</v>
      </c>
      <c r="L106" s="531">
        <v>58972.664675505897</v>
      </c>
      <c r="M106" s="531">
        <v>114798.782919712</v>
      </c>
      <c r="N106" s="531">
        <v>70571.351447808906</v>
      </c>
      <c r="O106" s="531">
        <v>107189.64722831899</v>
      </c>
      <c r="P106" s="531">
        <v>50774.401252707903</v>
      </c>
      <c r="Q106" s="531">
        <v>648760.36312590295</v>
      </c>
      <c r="R106" s="531">
        <v>8981.7510867314795</v>
      </c>
      <c r="S106" s="531">
        <v>1101198.59687815</v>
      </c>
      <c r="T106" s="531">
        <v>87048.108191197301</v>
      </c>
      <c r="U106" s="531">
        <v>7125.73374556</v>
      </c>
      <c r="V106" s="531">
        <v>1195372.4388148999</v>
      </c>
    </row>
    <row r="107" spans="1:22" ht="14.45" customHeight="1">
      <c r="A107" s="532" t="s">
        <v>641</v>
      </c>
      <c r="B107" s="530">
        <v>60325.976474375399</v>
      </c>
      <c r="C107" s="530">
        <v>2526.8087761524898</v>
      </c>
      <c r="D107" s="530">
        <v>43517.709998824997</v>
      </c>
      <c r="E107" s="530">
        <v>231564.65021256401</v>
      </c>
      <c r="F107" s="530">
        <v>13713.629870139201</v>
      </c>
      <c r="G107" s="530">
        <v>62138.711881853997</v>
      </c>
      <c r="H107" s="530">
        <v>413787.48721391102</v>
      </c>
      <c r="I107" s="530">
        <v>129666.178087066</v>
      </c>
      <c r="J107" s="530">
        <v>24562.572347305799</v>
      </c>
      <c r="K107" s="530">
        <v>86545.075952255604</v>
      </c>
      <c r="L107" s="530">
        <v>63835.371955557697</v>
      </c>
      <c r="M107" s="530">
        <v>128031.215195892</v>
      </c>
      <c r="N107" s="530">
        <v>76892.434272950195</v>
      </c>
      <c r="O107" s="530">
        <v>102227.75538473501</v>
      </c>
      <c r="P107" s="530">
        <v>50117.052181492501</v>
      </c>
      <c r="Q107" s="530">
        <v>661877.65537725401</v>
      </c>
      <c r="R107" s="530">
        <v>11329.516944040701</v>
      </c>
      <c r="S107" s="530">
        <v>1064335.6256471199</v>
      </c>
      <c r="T107" s="530">
        <v>96322.720415420496</v>
      </c>
      <c r="U107" s="530">
        <v>8136.5613970000004</v>
      </c>
      <c r="V107" s="530">
        <v>1168794.9074595401</v>
      </c>
    </row>
    <row r="108" spans="1:22" ht="14.45" customHeight="1">
      <c r="A108" s="533" t="s">
        <v>642</v>
      </c>
      <c r="B108" s="531">
        <v>59529.383301775197</v>
      </c>
      <c r="C108" s="531">
        <v>2109.5823062209001</v>
      </c>
      <c r="D108" s="531">
        <v>43279.754421054997</v>
      </c>
      <c r="E108" s="531">
        <v>262932.900107052</v>
      </c>
      <c r="F108" s="531">
        <v>13357.1128065181</v>
      </c>
      <c r="G108" s="531">
        <v>66124.995455110504</v>
      </c>
      <c r="H108" s="531">
        <v>447333.72839773202</v>
      </c>
      <c r="I108" s="531">
        <v>139152.63675131201</v>
      </c>
      <c r="J108" s="531">
        <v>30011.661131531499</v>
      </c>
      <c r="K108" s="531">
        <v>90816.071356143395</v>
      </c>
      <c r="L108" s="531">
        <v>63328.887810400003</v>
      </c>
      <c r="M108" s="531">
        <v>127113.083345611</v>
      </c>
      <c r="N108" s="531">
        <v>81901.672921912294</v>
      </c>
      <c r="O108" s="531">
        <v>102893.16938257799</v>
      </c>
      <c r="P108" s="531">
        <v>50275.283505209802</v>
      </c>
      <c r="Q108" s="531">
        <v>685492.46620469796</v>
      </c>
      <c r="R108" s="531">
        <v>12686.4652105443</v>
      </c>
      <c r="S108" s="531">
        <v>1120139.7293918901</v>
      </c>
      <c r="T108" s="531">
        <v>95798.893728185401</v>
      </c>
      <c r="U108" s="531">
        <v>8765.1274723200004</v>
      </c>
      <c r="V108" s="531">
        <v>1224703.7505923901</v>
      </c>
    </row>
    <row r="109" spans="1:22" ht="14.45" customHeight="1">
      <c r="A109" s="532" t="s">
        <v>643</v>
      </c>
      <c r="B109" s="530">
        <v>77890.488864602405</v>
      </c>
      <c r="C109" s="530">
        <v>932.42039212991097</v>
      </c>
      <c r="D109" s="530">
        <v>45153.860949594004</v>
      </c>
      <c r="E109" s="530">
        <v>229141.26077666899</v>
      </c>
      <c r="F109" s="530">
        <v>14011.4723058857</v>
      </c>
      <c r="G109" s="530">
        <v>59702.314068582004</v>
      </c>
      <c r="H109" s="530">
        <v>426831.81735746301</v>
      </c>
      <c r="I109" s="530">
        <v>130178.451210888</v>
      </c>
      <c r="J109" s="530">
        <v>37106.978678892803</v>
      </c>
      <c r="K109" s="530">
        <v>99745.0244953043</v>
      </c>
      <c r="L109" s="530">
        <v>67094.698879338495</v>
      </c>
      <c r="M109" s="530">
        <v>129302.585212055</v>
      </c>
      <c r="N109" s="530">
        <v>83449.105391792997</v>
      </c>
      <c r="O109" s="530">
        <v>95785.259090955398</v>
      </c>
      <c r="P109" s="530">
        <v>47478.349831074498</v>
      </c>
      <c r="Q109" s="530">
        <v>690140.45279030094</v>
      </c>
      <c r="R109" s="530">
        <v>12203.661914284299</v>
      </c>
      <c r="S109" s="530">
        <v>1104768.60823348</v>
      </c>
      <c r="T109" s="530">
        <v>103733.03184810501</v>
      </c>
      <c r="U109" s="530">
        <v>8879.1538672400002</v>
      </c>
      <c r="V109" s="530">
        <v>1217380.7939488301</v>
      </c>
    </row>
    <row r="110" spans="1:22" ht="14.45" customHeight="1">
      <c r="A110" s="533" t="s">
        <v>644</v>
      </c>
      <c r="B110" s="531">
        <v>223431.11494582699</v>
      </c>
      <c r="C110" s="531">
        <v>3438.5648023666399</v>
      </c>
      <c r="D110" s="531">
        <v>38711.573266154999</v>
      </c>
      <c r="E110" s="531">
        <v>255254.633347036</v>
      </c>
      <c r="F110" s="531">
        <v>16020.208271981701</v>
      </c>
      <c r="G110" s="531">
        <v>74026.157678094605</v>
      </c>
      <c r="H110" s="531">
        <v>610882.25231146102</v>
      </c>
      <c r="I110" s="531">
        <v>170622.138635179</v>
      </c>
      <c r="J110" s="531">
        <v>28566.878242062699</v>
      </c>
      <c r="K110" s="531">
        <v>110748.558350269</v>
      </c>
      <c r="L110" s="531">
        <v>71526.836372471298</v>
      </c>
      <c r="M110" s="531">
        <v>132094.410386061</v>
      </c>
      <c r="N110" s="531">
        <v>85837.695469584098</v>
      </c>
      <c r="O110" s="531">
        <v>125840.21421740801</v>
      </c>
      <c r="P110" s="531">
        <v>56597.325332943503</v>
      </c>
      <c r="Q110" s="531">
        <v>781834.057005979</v>
      </c>
      <c r="R110" s="531">
        <v>9012.0395048953505</v>
      </c>
      <c r="S110" s="531">
        <v>1383704.2698125399</v>
      </c>
      <c r="T110" s="531">
        <v>114363.32876150501</v>
      </c>
      <c r="U110" s="531">
        <v>10218.06643984</v>
      </c>
      <c r="V110" s="531">
        <v>1508285.66501389</v>
      </c>
    </row>
    <row r="111" spans="1:22" ht="14.45" customHeight="1">
      <c r="A111" s="532" t="s">
        <v>645</v>
      </c>
      <c r="B111" s="530">
        <v>110514.844192672</v>
      </c>
      <c r="C111" s="530">
        <v>3357.6652697259301</v>
      </c>
      <c r="D111" s="530">
        <v>55491.830627045703</v>
      </c>
      <c r="E111" s="530">
        <v>273184.84367732098</v>
      </c>
      <c r="F111" s="530">
        <v>16710.820333436001</v>
      </c>
      <c r="G111" s="530">
        <v>76572.059380058097</v>
      </c>
      <c r="H111" s="530">
        <v>535832.06348025904</v>
      </c>
      <c r="I111" s="530">
        <v>161920.418619459</v>
      </c>
      <c r="J111" s="530">
        <v>31175.7187213855</v>
      </c>
      <c r="K111" s="530">
        <v>104014.638253351</v>
      </c>
      <c r="L111" s="530">
        <v>82804.439836114107</v>
      </c>
      <c r="M111" s="530">
        <v>148863.35396902301</v>
      </c>
      <c r="N111" s="530">
        <v>94795.801931134498</v>
      </c>
      <c r="O111" s="530">
        <v>117106.080635167</v>
      </c>
      <c r="P111" s="530">
        <v>58638.392080793703</v>
      </c>
      <c r="Q111" s="530">
        <v>799318.84404642705</v>
      </c>
      <c r="R111" s="530">
        <v>10535.353195748299</v>
      </c>
      <c r="S111" s="530">
        <v>1324615.5543309399</v>
      </c>
      <c r="T111" s="530">
        <v>128218.86505726499</v>
      </c>
      <c r="U111" s="530">
        <v>13022.24991416</v>
      </c>
      <c r="V111" s="530">
        <v>1465856.6693023599</v>
      </c>
    </row>
    <row r="112" spans="1:22" ht="14.45" customHeight="1">
      <c r="A112" s="533" t="s">
        <v>646</v>
      </c>
      <c r="B112" s="531">
        <v>107692.475492417</v>
      </c>
      <c r="C112" s="531">
        <v>2205.8157591045201</v>
      </c>
      <c r="D112" s="531">
        <v>51551.066982681798</v>
      </c>
      <c r="E112" s="531">
        <v>329078.396058566</v>
      </c>
      <c r="F112" s="531">
        <v>16122.569890413</v>
      </c>
      <c r="G112" s="531">
        <v>86547.625787557801</v>
      </c>
      <c r="H112" s="531">
        <v>593197.94997074001</v>
      </c>
      <c r="I112" s="531">
        <v>182579.64792161799</v>
      </c>
      <c r="J112" s="531">
        <v>37320.5230159598</v>
      </c>
      <c r="K112" s="531">
        <v>114797.1812637</v>
      </c>
      <c r="L112" s="531">
        <v>85157.581363079007</v>
      </c>
      <c r="M112" s="531">
        <v>150831.889849703</v>
      </c>
      <c r="N112" s="531">
        <v>102340.936283819</v>
      </c>
      <c r="O112" s="531">
        <v>124482.16570847599</v>
      </c>
      <c r="P112" s="531">
        <v>57249.340458065002</v>
      </c>
      <c r="Q112" s="531">
        <v>854759.26586442103</v>
      </c>
      <c r="R112" s="531">
        <v>16745.8649242709</v>
      </c>
      <c r="S112" s="531">
        <v>1431211.3509108899</v>
      </c>
      <c r="T112" s="531">
        <v>134293.25453241001</v>
      </c>
      <c r="U112" s="531">
        <v>13593.780680280001</v>
      </c>
      <c r="V112" s="531">
        <v>1579098.3861235799</v>
      </c>
    </row>
    <row r="113" spans="1:22" ht="14.45" customHeight="1">
      <c r="A113" s="532" t="s">
        <v>647</v>
      </c>
      <c r="B113" s="530">
        <v>114228.426772276</v>
      </c>
      <c r="C113" s="530">
        <v>1028.8011344233601</v>
      </c>
      <c r="D113" s="530">
        <v>53952.471320546902</v>
      </c>
      <c r="E113" s="530">
        <v>302012.260534067</v>
      </c>
      <c r="F113" s="530">
        <v>15709.706934756599</v>
      </c>
      <c r="G113" s="530">
        <v>79315.166656864807</v>
      </c>
      <c r="H113" s="530">
        <v>566246.83335293503</v>
      </c>
      <c r="I113" s="530">
        <v>173089.40193322999</v>
      </c>
      <c r="J113" s="530">
        <v>45859.346131374798</v>
      </c>
      <c r="K113" s="530">
        <v>125259.911566624</v>
      </c>
      <c r="L113" s="530">
        <v>81445.663354111297</v>
      </c>
      <c r="M113" s="530">
        <v>153133.56141903301</v>
      </c>
      <c r="N113" s="530">
        <v>106314.49932343401</v>
      </c>
      <c r="O113" s="530">
        <v>119193.708622441</v>
      </c>
      <c r="P113" s="530">
        <v>58397.400681268096</v>
      </c>
      <c r="Q113" s="530">
        <v>862693.49303151597</v>
      </c>
      <c r="R113" s="530">
        <v>14208.7098519297</v>
      </c>
      <c r="S113" s="530">
        <v>1414731.6165325199</v>
      </c>
      <c r="T113" s="530">
        <v>139912.69851730499</v>
      </c>
      <c r="U113" s="530">
        <v>12935.861853079999</v>
      </c>
      <c r="V113" s="530">
        <v>1567580.17690291</v>
      </c>
    </row>
    <row r="114" spans="1:22" ht="14.45" customHeight="1">
      <c r="A114" s="533" t="s">
        <v>648</v>
      </c>
      <c r="B114" s="531">
        <v>330678.68741372402</v>
      </c>
      <c r="C114" s="531">
        <v>3753.4998199760998</v>
      </c>
      <c r="D114" s="531">
        <v>40033.500488783502</v>
      </c>
      <c r="E114" s="531">
        <v>335721.820159761</v>
      </c>
      <c r="F114" s="531">
        <v>18754.791810738701</v>
      </c>
      <c r="G114" s="531">
        <v>97813.577702555107</v>
      </c>
      <c r="H114" s="531">
        <v>826755.87739553803</v>
      </c>
      <c r="I114" s="531">
        <v>228409.78452930399</v>
      </c>
      <c r="J114" s="531">
        <v>33771.1957527759</v>
      </c>
      <c r="K114" s="531">
        <v>141778.83865960201</v>
      </c>
      <c r="L114" s="531">
        <v>91837.571155867307</v>
      </c>
      <c r="M114" s="531">
        <v>158596.07129517201</v>
      </c>
      <c r="N114" s="531">
        <v>113283.432873313</v>
      </c>
      <c r="O114" s="531">
        <v>164504.38851575699</v>
      </c>
      <c r="P114" s="531">
        <v>65623.087253318299</v>
      </c>
      <c r="Q114" s="531">
        <v>997804.37003510899</v>
      </c>
      <c r="R114" s="531">
        <v>12138.885980676499</v>
      </c>
      <c r="S114" s="531">
        <v>1812421.3614499699</v>
      </c>
      <c r="T114" s="531">
        <v>150144.90487009301</v>
      </c>
      <c r="U114" s="531">
        <v>13661.069328559999</v>
      </c>
      <c r="V114" s="531">
        <v>1976227.33564862</v>
      </c>
    </row>
    <row r="115" spans="1:22" ht="14.45" customHeight="1">
      <c r="A115" s="532" t="s">
        <v>649</v>
      </c>
      <c r="B115" s="530">
        <v>152834.44275082299</v>
      </c>
      <c r="C115" s="530">
        <v>3905.7706331169902</v>
      </c>
      <c r="D115" s="530">
        <v>65538.883220724194</v>
      </c>
      <c r="E115" s="530">
        <v>352893.45598206698</v>
      </c>
      <c r="F115" s="530">
        <v>19134.752120265399</v>
      </c>
      <c r="G115" s="530">
        <v>100172.204621392</v>
      </c>
      <c r="H115" s="530">
        <v>694479.50932838803</v>
      </c>
      <c r="I115" s="530">
        <v>214523.111900474</v>
      </c>
      <c r="J115" s="530">
        <v>37368.6739543355</v>
      </c>
      <c r="K115" s="530">
        <v>129427.317628492</v>
      </c>
      <c r="L115" s="530">
        <v>97682.629761644494</v>
      </c>
      <c r="M115" s="530">
        <v>177824.20178777701</v>
      </c>
      <c r="N115" s="530">
        <v>123652.94941041101</v>
      </c>
      <c r="O115" s="530">
        <v>153418.55603265</v>
      </c>
      <c r="P115" s="530">
        <v>63962.342600546799</v>
      </c>
      <c r="Q115" s="530">
        <v>997859.78307632997</v>
      </c>
      <c r="R115" s="530">
        <v>10098.435451785699</v>
      </c>
      <c r="S115" s="530">
        <v>1682240.8569529301</v>
      </c>
      <c r="T115" s="530">
        <v>167904.455584465</v>
      </c>
      <c r="U115" s="530">
        <v>15245.588755479999</v>
      </c>
      <c r="V115" s="530">
        <v>1865390.9012928801</v>
      </c>
    </row>
    <row r="116" spans="1:22" ht="14.45" customHeight="1">
      <c r="A116" s="533" t="s">
        <v>650</v>
      </c>
      <c r="B116" s="531">
        <v>106540.497350561</v>
      </c>
      <c r="C116" s="531">
        <v>2011.0679824661199</v>
      </c>
      <c r="D116" s="531">
        <v>70814.324892061297</v>
      </c>
      <c r="E116" s="531">
        <v>398609.59745257098</v>
      </c>
      <c r="F116" s="531">
        <v>18009.3419330293</v>
      </c>
      <c r="G116" s="531">
        <v>109780.988385081</v>
      </c>
      <c r="H116" s="531">
        <v>705765.81799577002</v>
      </c>
      <c r="I116" s="531">
        <v>237425.53742109501</v>
      </c>
      <c r="J116" s="531">
        <v>43962.814550176801</v>
      </c>
      <c r="K116" s="531">
        <v>140687.12091336399</v>
      </c>
      <c r="L116" s="531">
        <v>111089.191008692</v>
      </c>
      <c r="M116" s="531">
        <v>182435.354501233</v>
      </c>
      <c r="N116" s="531">
        <v>135287.951279381</v>
      </c>
      <c r="O116" s="531">
        <v>164917.76178552699</v>
      </c>
      <c r="P116" s="531">
        <v>71065.642371644397</v>
      </c>
      <c r="Q116" s="531">
        <v>1076825.15203758</v>
      </c>
      <c r="R116" s="531">
        <v>21647.109089621899</v>
      </c>
      <c r="S116" s="531">
        <v>1770990.08273726</v>
      </c>
      <c r="T116" s="531">
        <v>171371.14891170501</v>
      </c>
      <c r="U116" s="531">
        <v>16528.893455519999</v>
      </c>
      <c r="V116" s="531">
        <v>1958890.12510449</v>
      </c>
    </row>
    <row r="117" spans="1:22" ht="14.45" customHeight="1">
      <c r="A117" s="532" t="s">
        <v>651</v>
      </c>
      <c r="B117" s="530">
        <v>92061.560995019696</v>
      </c>
      <c r="C117" s="530">
        <v>1679.2213626483101</v>
      </c>
      <c r="D117" s="530">
        <v>74981.788579673506</v>
      </c>
      <c r="E117" s="530">
        <v>346989.73419028899</v>
      </c>
      <c r="F117" s="530">
        <v>17740.9614380327</v>
      </c>
      <c r="G117" s="530">
        <v>98776.291088469807</v>
      </c>
      <c r="H117" s="530">
        <v>632229.55765413295</v>
      </c>
      <c r="I117" s="530">
        <v>214719.79653203499</v>
      </c>
      <c r="J117" s="530">
        <v>53170.341451419699</v>
      </c>
      <c r="K117" s="530">
        <v>151795.18435947399</v>
      </c>
      <c r="L117" s="530">
        <v>114225.212255292</v>
      </c>
      <c r="M117" s="530">
        <v>179831.24577241999</v>
      </c>
      <c r="N117" s="530">
        <v>141415.793564691</v>
      </c>
      <c r="O117" s="530">
        <v>155622.08421097399</v>
      </c>
      <c r="P117" s="530">
        <v>66045.493891277205</v>
      </c>
      <c r="Q117" s="530">
        <v>1076825.15203758</v>
      </c>
      <c r="R117" s="530">
        <v>21514.712395693601</v>
      </c>
      <c r="S117" s="530">
        <v>1687539.9972960199</v>
      </c>
      <c r="T117" s="530">
        <v>173897.03565142499</v>
      </c>
      <c r="U117" s="530">
        <v>13497.988572959999</v>
      </c>
      <c r="V117" s="530">
        <v>1874935.02152041</v>
      </c>
    </row>
    <row r="118" spans="1:22" ht="14.45" customHeight="1">
      <c r="A118" s="533" t="s">
        <v>652</v>
      </c>
      <c r="B118" s="531">
        <v>315564.16332000803</v>
      </c>
      <c r="C118" s="531">
        <v>2407.9145350176</v>
      </c>
      <c r="D118" s="531">
        <v>62097.7213192895</v>
      </c>
      <c r="E118" s="531">
        <v>352733.68511228199</v>
      </c>
      <c r="F118" s="531">
        <v>19961.2126403027</v>
      </c>
      <c r="G118" s="531">
        <v>118265.13645944399</v>
      </c>
      <c r="H118" s="531">
        <v>871029.83338634402</v>
      </c>
      <c r="I118" s="531">
        <v>280137.27706251998</v>
      </c>
      <c r="J118" s="531">
        <v>37403.699452180197</v>
      </c>
      <c r="K118" s="531">
        <v>158647.123435338</v>
      </c>
      <c r="L118" s="531">
        <v>125069.893935167</v>
      </c>
      <c r="M118" s="531">
        <v>183645.16222148601</v>
      </c>
      <c r="N118" s="531">
        <v>147674.07067584101</v>
      </c>
      <c r="O118" s="531">
        <v>208181.72109727899</v>
      </c>
      <c r="P118" s="531">
        <v>82985.1756200784</v>
      </c>
      <c r="Q118" s="531">
        <v>1223744.1234998901</v>
      </c>
      <c r="R118" s="531">
        <v>18466.350258115501</v>
      </c>
      <c r="S118" s="531">
        <v>2076307.6066281199</v>
      </c>
      <c r="T118" s="531">
        <v>183804.246924265</v>
      </c>
      <c r="U118" s="531">
        <v>13049.83932008</v>
      </c>
      <c r="V118" s="531">
        <v>2273161.69287246</v>
      </c>
    </row>
    <row r="119" spans="1:22" ht="14.45" customHeight="1">
      <c r="A119" s="532" t="s">
        <v>653</v>
      </c>
      <c r="B119" s="530">
        <v>158152.617490278</v>
      </c>
      <c r="C119" s="530">
        <v>4841.3710927276697</v>
      </c>
      <c r="D119" s="530">
        <v>84590.411887460199</v>
      </c>
      <c r="E119" s="530">
        <v>388077.32883585198</v>
      </c>
      <c r="F119" s="530">
        <v>21417.3794700281</v>
      </c>
      <c r="G119" s="530">
        <v>120185.52060215001</v>
      </c>
      <c r="H119" s="530">
        <v>777264.62937849597</v>
      </c>
      <c r="I119" s="530">
        <v>262923.21249358298</v>
      </c>
      <c r="J119" s="530">
        <v>42811.695171890497</v>
      </c>
      <c r="K119" s="530">
        <v>145843.87722429199</v>
      </c>
      <c r="L119" s="530">
        <v>130352.332112834</v>
      </c>
      <c r="M119" s="530">
        <v>197747.02752031799</v>
      </c>
      <c r="N119" s="530">
        <v>156048.50369322801</v>
      </c>
      <c r="O119" s="530">
        <v>189697.04358320299</v>
      </c>
      <c r="P119" s="530">
        <v>73742.396412950096</v>
      </c>
      <c r="Q119" s="530">
        <v>1199166.0882123001</v>
      </c>
      <c r="R119" s="530">
        <v>15940.7093667934</v>
      </c>
      <c r="S119" s="530">
        <v>1960490.008224</v>
      </c>
      <c r="T119" s="530">
        <v>203947.75939751</v>
      </c>
      <c r="U119" s="530">
        <v>18471.629291640002</v>
      </c>
      <c r="V119" s="530">
        <v>2182909.3969131499</v>
      </c>
    </row>
    <row r="120" spans="1:22" ht="14.45" customHeight="1">
      <c r="A120" s="533" t="s">
        <v>654</v>
      </c>
      <c r="B120" s="531">
        <v>131839.729433876</v>
      </c>
      <c r="C120" s="531">
        <v>2974.3423234629799</v>
      </c>
      <c r="D120" s="531">
        <v>76702.263073114096</v>
      </c>
      <c r="E120" s="531">
        <v>448060.11377620097</v>
      </c>
      <c r="F120" s="531">
        <v>21198.565087713901</v>
      </c>
      <c r="G120" s="531">
        <v>129878.16107816801</v>
      </c>
      <c r="H120" s="531">
        <v>810653.17477253499</v>
      </c>
      <c r="I120" s="531">
        <v>297490.10250552697</v>
      </c>
      <c r="J120" s="531">
        <v>51433.578393117903</v>
      </c>
      <c r="K120" s="531">
        <v>167434.082899331</v>
      </c>
      <c r="L120" s="531">
        <v>136334.13523101</v>
      </c>
      <c r="M120" s="531">
        <v>196926.82380559499</v>
      </c>
      <c r="N120" s="531">
        <v>167986.12614894001</v>
      </c>
      <c r="O120" s="531">
        <v>196530.776778172</v>
      </c>
      <c r="P120" s="531">
        <v>84118.129721065401</v>
      </c>
      <c r="Q120" s="531">
        <v>1298253.75548276</v>
      </c>
      <c r="R120" s="531">
        <v>25159.804045847799</v>
      </c>
      <c r="S120" s="531">
        <v>2083747.1262094399</v>
      </c>
      <c r="T120" s="531">
        <v>221244.31461703</v>
      </c>
      <c r="U120" s="531">
        <v>20985.95152164</v>
      </c>
      <c r="V120" s="531">
        <v>2325977.39234812</v>
      </c>
    </row>
    <row r="121" spans="1:22" ht="14.45" customHeight="1">
      <c r="A121" s="532" t="s">
        <v>655</v>
      </c>
      <c r="B121" s="530">
        <v>124063.418244398</v>
      </c>
      <c r="C121" s="530">
        <v>3241.7228500875999</v>
      </c>
      <c r="D121" s="530">
        <v>79799.497474423595</v>
      </c>
      <c r="E121" s="530">
        <v>391988.72152775299</v>
      </c>
      <c r="F121" s="530">
        <v>20479.427059492598</v>
      </c>
      <c r="G121" s="530">
        <v>115070.66569625599</v>
      </c>
      <c r="H121" s="530">
        <v>734643.45285241096</v>
      </c>
      <c r="I121" s="530">
        <v>269720.99434901302</v>
      </c>
      <c r="J121" s="530">
        <v>60408.440368707001</v>
      </c>
      <c r="K121" s="530">
        <v>183209.187464032</v>
      </c>
      <c r="L121" s="530">
        <v>146469.04000867301</v>
      </c>
      <c r="M121" s="530">
        <v>196625.83418674799</v>
      </c>
      <c r="N121" s="530">
        <v>177671.392685364</v>
      </c>
      <c r="O121" s="530">
        <v>188841.18918565899</v>
      </c>
      <c r="P121" s="530">
        <v>84620.569483698098</v>
      </c>
      <c r="Q121" s="530">
        <v>1307566.64773189</v>
      </c>
      <c r="R121" s="530">
        <v>31299.236811287399</v>
      </c>
      <c r="S121" s="530">
        <v>2010910.86377302</v>
      </c>
      <c r="T121" s="530">
        <v>248191.77448763</v>
      </c>
      <c r="U121" s="530">
        <v>20386.70942576</v>
      </c>
      <c r="V121" s="530">
        <v>2279489.34768641</v>
      </c>
    </row>
    <row r="122" spans="1:22" ht="14.45" customHeight="1">
      <c r="A122" s="533" t="s">
        <v>656</v>
      </c>
      <c r="B122" s="531">
        <v>456653.034292189</v>
      </c>
      <c r="C122" s="531">
        <v>9511.3143607870607</v>
      </c>
      <c r="D122" s="531">
        <v>71253.257015773896</v>
      </c>
      <c r="E122" s="531">
        <v>412572.93730331497</v>
      </c>
      <c r="F122" s="531">
        <v>22719.912643028601</v>
      </c>
      <c r="G122" s="531">
        <v>141484.661783068</v>
      </c>
      <c r="H122" s="531">
        <v>1114195.11739816</v>
      </c>
      <c r="I122" s="531">
        <v>361364.28070400399</v>
      </c>
      <c r="J122" s="531">
        <v>43275.631246967801</v>
      </c>
      <c r="K122" s="531">
        <v>200220.47130664199</v>
      </c>
      <c r="L122" s="531">
        <v>159778.942120914</v>
      </c>
      <c r="M122" s="531">
        <v>203461.60883005999</v>
      </c>
      <c r="N122" s="531">
        <v>183391.15943604099</v>
      </c>
      <c r="O122" s="531">
        <v>259691.55844013501</v>
      </c>
      <c r="P122" s="531">
        <v>121615.919294887</v>
      </c>
      <c r="Q122" s="531">
        <v>1532799.5713796499</v>
      </c>
      <c r="R122" s="531">
        <v>22716.925661117199</v>
      </c>
      <c r="S122" s="531">
        <v>2624277.7631166899</v>
      </c>
      <c r="T122" s="531">
        <v>260944.57836367001</v>
      </c>
      <c r="U122" s="531">
        <v>22056.028922279998</v>
      </c>
      <c r="V122" s="531">
        <v>2907278.3704026402</v>
      </c>
    </row>
    <row r="123" spans="1:22" ht="14.45" customHeight="1">
      <c r="A123" s="532" t="s">
        <v>657</v>
      </c>
      <c r="B123" s="530">
        <v>185303.59645662201</v>
      </c>
      <c r="C123" s="530">
        <v>10689.458540412999</v>
      </c>
      <c r="D123" s="530">
        <v>99280.072952914197</v>
      </c>
      <c r="E123" s="530">
        <v>450564.313195366</v>
      </c>
      <c r="F123" s="530">
        <v>25898.1032702376</v>
      </c>
      <c r="G123" s="530">
        <v>148030.870942468</v>
      </c>
      <c r="H123" s="530">
        <v>919766.41535802104</v>
      </c>
      <c r="I123" s="530">
        <v>323718.61712657497</v>
      </c>
      <c r="J123" s="530">
        <v>48455.231450337902</v>
      </c>
      <c r="K123" s="530">
        <v>182209.18917632301</v>
      </c>
      <c r="L123" s="530">
        <v>175591.321700837</v>
      </c>
      <c r="M123" s="530">
        <v>222893.88654690699</v>
      </c>
      <c r="N123" s="530">
        <v>200128.742522096</v>
      </c>
      <c r="O123" s="530">
        <v>233340.13546208601</v>
      </c>
      <c r="P123" s="530">
        <v>109504.682236533</v>
      </c>
      <c r="Q123" s="530">
        <v>1495841.80622169</v>
      </c>
      <c r="R123" s="530">
        <v>22649.291288973302</v>
      </c>
      <c r="S123" s="530">
        <v>2392958.93029074</v>
      </c>
      <c r="T123" s="530">
        <v>293485.57069586997</v>
      </c>
      <c r="U123" s="530">
        <v>25012.986663600001</v>
      </c>
      <c r="V123" s="530">
        <v>2711457.48765021</v>
      </c>
    </row>
    <row r="124" spans="1:22" ht="14.45" customHeight="1">
      <c r="A124" s="520"/>
      <c r="B124" s="517"/>
      <c r="C124" s="517"/>
      <c r="D124" s="517"/>
      <c r="E124" s="517"/>
      <c r="F124" s="517"/>
      <c r="G124" s="517"/>
      <c r="H124" s="517"/>
      <c r="I124" s="517"/>
      <c r="J124" s="517"/>
      <c r="K124" s="517"/>
      <c r="L124" s="517"/>
      <c r="M124" s="517"/>
      <c r="N124" s="517"/>
      <c r="O124" s="517"/>
      <c r="P124" s="517"/>
      <c r="Q124" s="517"/>
      <c r="R124" s="517"/>
      <c r="S124" s="517"/>
      <c r="T124" s="517"/>
      <c r="U124" s="517"/>
      <c r="V124" s="517"/>
    </row>
    <row r="125" spans="1:22" ht="14.45" customHeight="1">
      <c r="A125" s="520"/>
      <c r="B125" s="517"/>
      <c r="C125" s="517"/>
      <c r="D125" s="517"/>
      <c r="E125" s="517"/>
      <c r="F125" s="517"/>
      <c r="G125" s="517"/>
      <c r="H125" s="517"/>
      <c r="I125" s="517"/>
      <c r="J125" s="517"/>
      <c r="K125" s="517"/>
      <c r="L125" s="517"/>
      <c r="M125" s="517"/>
      <c r="N125" s="517"/>
      <c r="O125" s="517"/>
      <c r="P125" s="517"/>
      <c r="Q125" s="517"/>
      <c r="R125" s="517"/>
      <c r="S125" s="517"/>
      <c r="T125" s="517"/>
      <c r="U125" s="517"/>
      <c r="V125" s="517"/>
    </row>
    <row r="126" spans="1:22" ht="14.45" customHeight="1">
      <c r="A126" s="520"/>
      <c r="B126" s="517"/>
      <c r="C126" s="517"/>
      <c r="D126" s="517"/>
      <c r="E126" s="517"/>
      <c r="F126" s="517"/>
      <c r="G126" s="517"/>
      <c r="H126" s="517"/>
      <c r="I126" s="517"/>
      <c r="J126" s="517"/>
      <c r="K126" s="517"/>
      <c r="L126" s="517"/>
      <c r="M126" s="517"/>
      <c r="N126" s="517"/>
      <c r="O126" s="517"/>
      <c r="P126" s="517"/>
      <c r="Q126" s="517"/>
      <c r="R126" s="517"/>
      <c r="S126" s="517"/>
      <c r="T126" s="517"/>
      <c r="U126" s="517"/>
      <c r="V126" s="517"/>
    </row>
    <row r="127" spans="1:22" ht="14.45" customHeight="1">
      <c r="A127" s="520"/>
      <c r="B127" s="517"/>
      <c r="C127" s="517"/>
      <c r="D127" s="517"/>
      <c r="E127" s="517"/>
      <c r="F127" s="517"/>
      <c r="G127" s="517"/>
      <c r="H127" s="517"/>
      <c r="I127" s="517"/>
      <c r="J127" s="517"/>
      <c r="K127" s="517"/>
      <c r="L127" s="517"/>
      <c r="M127" s="517"/>
      <c r="N127" s="517"/>
      <c r="O127" s="517"/>
      <c r="P127" s="517"/>
      <c r="Q127" s="517"/>
      <c r="R127" s="517"/>
      <c r="S127" s="517"/>
      <c r="T127" s="517"/>
      <c r="U127" s="517"/>
      <c r="V127" s="517"/>
    </row>
    <row r="128" spans="1:22" ht="14.45" customHeight="1">
      <c r="A128" s="520"/>
      <c r="B128" s="517"/>
      <c r="C128" s="517"/>
      <c r="D128" s="517"/>
      <c r="E128" s="517"/>
      <c r="F128" s="517"/>
      <c r="G128" s="517"/>
      <c r="H128" s="517"/>
      <c r="I128" s="517"/>
      <c r="J128" s="517"/>
      <c r="K128" s="517"/>
      <c r="L128" s="517"/>
      <c r="M128" s="517"/>
      <c r="N128" s="517"/>
      <c r="O128" s="517"/>
      <c r="P128" s="517"/>
      <c r="Q128" s="517"/>
      <c r="R128" s="517"/>
      <c r="S128" s="517"/>
      <c r="T128" s="517"/>
      <c r="U128" s="517"/>
      <c r="V128" s="517"/>
    </row>
    <row r="129" spans="1:22" ht="14.45" customHeight="1">
      <c r="A129" s="534"/>
      <c r="B129" s="535" t="s">
        <v>728</v>
      </c>
      <c r="C129" s="521"/>
      <c r="D129" s="521"/>
      <c r="E129" s="521"/>
      <c r="F129" s="521"/>
      <c r="G129" s="521"/>
      <c r="H129" s="521"/>
      <c r="I129" s="521"/>
      <c r="J129" s="521"/>
      <c r="K129" s="521"/>
      <c r="L129" s="521"/>
      <c r="M129" s="521"/>
      <c r="N129" s="521"/>
      <c r="O129" s="521"/>
      <c r="P129" s="521"/>
      <c r="Q129" s="521"/>
      <c r="R129" s="521"/>
      <c r="S129" s="521"/>
      <c r="T129" s="521"/>
      <c r="U129" s="521"/>
      <c r="V129" s="521"/>
    </row>
    <row r="130" spans="1:22" ht="14.45" customHeight="1">
      <c r="A130" s="534"/>
      <c r="B130" s="535" t="s">
        <v>729</v>
      </c>
      <c r="C130" s="521"/>
      <c r="D130" s="521"/>
      <c r="E130" s="521"/>
      <c r="F130" s="521"/>
      <c r="G130" s="521"/>
      <c r="H130" s="521"/>
      <c r="I130" s="521"/>
      <c r="J130" s="521"/>
      <c r="K130" s="521"/>
      <c r="L130" s="521"/>
      <c r="M130" s="521"/>
      <c r="N130" s="521"/>
      <c r="O130" s="521"/>
      <c r="P130" s="521"/>
      <c r="Q130" s="521"/>
      <c r="R130" s="521"/>
      <c r="S130" s="521"/>
      <c r="T130" s="521"/>
      <c r="U130" s="521"/>
      <c r="V130" s="521"/>
    </row>
    <row r="131" spans="1:22" ht="14.45" customHeight="1">
      <c r="A131" s="534"/>
      <c r="B131" s="536" t="s">
        <v>730</v>
      </c>
      <c r="C131" s="521"/>
      <c r="D131" s="521"/>
      <c r="E131" s="521"/>
      <c r="F131" s="521"/>
      <c r="G131" s="521"/>
      <c r="H131" s="521"/>
      <c r="I131" s="521"/>
      <c r="J131" s="521"/>
      <c r="K131" s="521"/>
      <c r="L131" s="521"/>
      <c r="M131" s="521"/>
      <c r="N131" s="521"/>
      <c r="O131" s="521"/>
      <c r="P131" s="521"/>
      <c r="Q131" s="521"/>
      <c r="R131" s="521"/>
      <c r="S131" s="521"/>
      <c r="T131" s="521"/>
      <c r="U131" s="521"/>
      <c r="V131" s="521"/>
    </row>
    <row r="132" spans="1:22" ht="14.45" customHeight="1">
      <c r="A132" s="534"/>
      <c r="B132" s="521"/>
      <c r="C132" s="521"/>
      <c r="D132" s="521"/>
      <c r="E132" s="521"/>
      <c r="F132" s="521"/>
      <c r="G132" s="521"/>
      <c r="H132" s="521"/>
      <c r="I132" s="521"/>
      <c r="J132" s="521"/>
      <c r="K132" s="521"/>
      <c r="L132" s="521"/>
      <c r="M132" s="521"/>
      <c r="N132" s="521"/>
      <c r="O132" s="521"/>
      <c r="P132" s="521"/>
      <c r="Q132" s="521"/>
      <c r="R132" s="521"/>
      <c r="S132" s="521"/>
      <c r="T132" s="521"/>
      <c r="U132" s="521"/>
      <c r="V132" s="521"/>
    </row>
  </sheetData>
  <hyperlinks>
    <hyperlink ref="B1" location="Indice!A1" display="CUADRO 1.6"/>
    <hyperlink ref="J1" location="Indice!A1" display="Índice"/>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5"/>
  <sheetViews>
    <sheetView topLeftCell="R4" zoomScale="95" zoomScaleNormal="95" workbookViewId="0">
      <selection activeCell="X30" sqref="X30"/>
    </sheetView>
    <sheetView workbookViewId="1"/>
  </sheetViews>
  <sheetFormatPr baseColWidth="10" defaultColWidth="11.5703125" defaultRowHeight="15"/>
  <cols>
    <col min="1" max="1" width="11.5703125" style="1"/>
    <col min="2" max="2" width="13.85546875" style="1" customWidth="1"/>
    <col min="3" max="5" width="11.5703125" style="1"/>
    <col min="6" max="6" width="15" style="1" customWidth="1"/>
    <col min="7" max="7" width="11.5703125" style="1"/>
    <col min="8" max="8" width="15" style="1" customWidth="1"/>
    <col min="9" max="12" width="11.5703125" style="1"/>
    <col min="13" max="25" width="18.7109375" style="1" customWidth="1"/>
    <col min="26" max="26" width="14.85546875" style="1" customWidth="1"/>
    <col min="27" max="257" width="11.5703125" style="1"/>
    <col min="258" max="258" width="13.85546875" style="1" customWidth="1"/>
    <col min="259" max="261" width="11.5703125" style="1"/>
    <col min="262" max="262" width="15" style="1" customWidth="1"/>
    <col min="263" max="263" width="11.5703125" style="1"/>
    <col min="264" max="264" width="15" style="1" customWidth="1"/>
    <col min="265" max="268" width="11.5703125" style="1"/>
    <col min="269" max="281" width="18.7109375" style="1" customWidth="1"/>
    <col min="282" max="513" width="11.5703125" style="1"/>
    <col min="514" max="514" width="13.85546875" style="1" customWidth="1"/>
    <col min="515" max="517" width="11.5703125" style="1"/>
    <col min="518" max="518" width="15" style="1" customWidth="1"/>
    <col min="519" max="519" width="11.5703125" style="1"/>
    <col min="520" max="520" width="15" style="1" customWidth="1"/>
    <col min="521" max="524" width="11.5703125" style="1"/>
    <col min="525" max="537" width="18.7109375" style="1" customWidth="1"/>
    <col min="538" max="769" width="11.5703125" style="1"/>
    <col min="770" max="770" width="13.85546875" style="1" customWidth="1"/>
    <col min="771" max="773" width="11.5703125" style="1"/>
    <col min="774" max="774" width="15" style="1" customWidth="1"/>
    <col min="775" max="775" width="11.5703125" style="1"/>
    <col min="776" max="776" width="15" style="1" customWidth="1"/>
    <col min="777" max="780" width="11.5703125" style="1"/>
    <col min="781" max="793" width="18.7109375" style="1" customWidth="1"/>
    <col min="794" max="1025" width="11.5703125" style="1"/>
  </cols>
  <sheetData>
    <row r="1" spans="2:26">
      <c r="C1" s="1" t="s">
        <v>731</v>
      </c>
    </row>
    <row r="2" spans="2:26">
      <c r="C2" s="1" t="s">
        <v>732</v>
      </c>
      <c r="D2" s="1" t="s">
        <v>733</v>
      </c>
      <c r="H2" s="1" t="s">
        <v>734</v>
      </c>
      <c r="I2" s="1" t="s">
        <v>735</v>
      </c>
      <c r="L2" s="537"/>
      <c r="M2" s="537"/>
      <c r="N2" s="537" t="s">
        <v>736</v>
      </c>
      <c r="O2" s="537"/>
      <c r="P2" s="537"/>
      <c r="Q2" s="537"/>
      <c r="R2" s="537"/>
      <c r="S2" s="537"/>
      <c r="T2" s="537"/>
      <c r="U2" s="537"/>
      <c r="V2" s="537"/>
      <c r="W2" s="537"/>
      <c r="X2" s="537"/>
      <c r="Y2" s="537"/>
    </row>
    <row r="3" spans="2:26" ht="11.85" customHeight="1">
      <c r="B3" s="1">
        <v>1993</v>
      </c>
      <c r="C3" s="1">
        <v>8148.7</v>
      </c>
      <c r="H3" s="310">
        <f>(('Cálculo masa impuestos copartic'!C3+'Cálculo masa impuestos copartic'!D3)/0.5666+45.8*12)/0.85</f>
        <v>17566.29505201304</v>
      </c>
      <c r="I3" s="28">
        <f>'Cálculo masa impuestos copartic'!H3*0.15*1000</f>
        <v>2634944.2578019556</v>
      </c>
      <c r="L3" s="537"/>
      <c r="M3" s="537"/>
      <c r="N3" s="537"/>
      <c r="O3" s="537"/>
      <c r="P3" s="537"/>
      <c r="Q3" s="537"/>
      <c r="R3" s="537"/>
      <c r="S3" s="537"/>
      <c r="T3" s="537"/>
      <c r="U3" s="537"/>
      <c r="V3" s="537"/>
      <c r="W3" s="537"/>
      <c r="X3" s="537"/>
      <c r="Y3" s="538"/>
    </row>
    <row r="4" spans="2:26" ht="64.5">
      <c r="B4" s="1">
        <f>'Cálculo masa impuestos copartic'!B3+1</f>
        <v>1994</v>
      </c>
      <c r="C4" s="1">
        <v>8862.7999999999993</v>
      </c>
      <c r="H4" s="310">
        <f>(('Cálculo masa impuestos copartic'!C4+'Cálculo masa impuestos copartic'!D4)/0.5666+45.8*12)/0.85</f>
        <v>19049.030045057203</v>
      </c>
      <c r="I4" s="28">
        <f>'Cálculo masa impuestos copartic'!H4*0.15*1000</f>
        <v>2857354.5067585804</v>
      </c>
      <c r="L4" s="537"/>
      <c r="M4" s="539" t="s">
        <v>737</v>
      </c>
      <c r="N4" s="539" t="s">
        <v>738</v>
      </c>
      <c r="O4" s="539" t="s">
        <v>739</v>
      </c>
      <c r="P4" s="539" t="s">
        <v>740</v>
      </c>
      <c r="Q4" s="539" t="s">
        <v>741</v>
      </c>
      <c r="R4" s="539" t="s">
        <v>742</v>
      </c>
      <c r="S4" s="539" t="s">
        <v>743</v>
      </c>
      <c r="T4" s="539" t="s">
        <v>744</v>
      </c>
      <c r="U4" s="539" t="s">
        <v>745</v>
      </c>
      <c r="V4" s="539" t="s">
        <v>746</v>
      </c>
      <c r="W4" s="539" t="s">
        <v>747</v>
      </c>
      <c r="X4" s="539" t="s">
        <v>748</v>
      </c>
      <c r="Y4" s="540" t="s">
        <v>749</v>
      </c>
    </row>
    <row r="5" spans="2:26">
      <c r="B5" s="1">
        <f>'Cálculo masa impuestos copartic'!B4+1</f>
        <v>1995</v>
      </c>
      <c r="C5" s="1">
        <v>8092.1</v>
      </c>
      <c r="H5" s="310">
        <f>(('Cálculo masa impuestos copartic'!C5+'Cálculo masa impuestos copartic'!D5)/0.5666+45.8*12)/0.85</f>
        <v>17448.772575320283</v>
      </c>
      <c r="I5" s="28">
        <f>'Cálculo masa impuestos copartic'!H5*0.15*1000</f>
        <v>2617315.8862980423</v>
      </c>
      <c r="L5" s="541">
        <v>1993</v>
      </c>
      <c r="M5" s="542">
        <v>8148.7</v>
      </c>
      <c r="N5" s="542">
        <v>660.7</v>
      </c>
      <c r="O5" s="542">
        <v>0</v>
      </c>
      <c r="P5" s="542">
        <v>1295.5999999999999</v>
      </c>
      <c r="Q5" s="542">
        <v>534.9</v>
      </c>
      <c r="R5" s="542">
        <v>0</v>
      </c>
      <c r="S5" s="542">
        <f>((SUM('Cálculo masa impuestos copartic'!M5:R5)-'Cálculo masa impuestos copartic'!Q5-'Cálculo masa impuestos copartic'!N5)/(0.5666+0.00388)+'Cálculo masa impuestos copartic'!Q5)/0.85</f>
        <v>20105.77212997105</v>
      </c>
      <c r="T5" s="542"/>
      <c r="U5" s="542">
        <f>'Cálculo masa impuestos copartic'!S5*0.15</f>
        <v>3015.8658194956574</v>
      </c>
      <c r="V5" s="542"/>
      <c r="W5" s="542"/>
      <c r="X5" s="542">
        <f>'Cálculo masa impuestos copartic'!U5</f>
        <v>3015.8658194956574</v>
      </c>
      <c r="Y5" s="543">
        <v>2950.9</v>
      </c>
    </row>
    <row r="6" spans="2:26">
      <c r="B6" s="1">
        <f>'Cálculo masa impuestos copartic'!B5+1</f>
        <v>1996</v>
      </c>
      <c r="C6" s="1">
        <v>8872.5</v>
      </c>
      <c r="H6" s="310">
        <f>(('Cálculo masa impuestos copartic'!C6+'Cálculo masa impuestos copartic'!D6)/0.5666+45.8*12)/0.85</f>
        <v>19069.170822864973</v>
      </c>
      <c r="I6" s="28">
        <f>'Cálculo masa impuestos copartic'!H6*0.15*1000</f>
        <v>2860375.6234297459</v>
      </c>
      <c r="K6" s="544">
        <v>3531272.1660000002</v>
      </c>
      <c r="L6" s="545">
        <f>'Cálculo masa impuestos copartic'!L5+1</f>
        <v>1994</v>
      </c>
      <c r="M6" s="546">
        <v>8862.7999999999993</v>
      </c>
      <c r="N6" s="546">
        <v>246.3</v>
      </c>
      <c r="O6" s="546">
        <v>0</v>
      </c>
      <c r="P6" s="546">
        <v>1318</v>
      </c>
      <c r="Q6" s="546">
        <v>534.6</v>
      </c>
      <c r="R6" s="546">
        <v>0</v>
      </c>
      <c r="S6" s="546">
        <f>((SUM('Cálculo masa impuestos copartic'!M6:R6)-'Cálculo masa impuestos copartic'!Q6-'Cálculo masa impuestos copartic'!N6)/(0.5666+0.007)+'Cálculo masa impuestos copartic'!Q6)/0.85</f>
        <v>21510.063499876938</v>
      </c>
      <c r="T6" s="546"/>
      <c r="U6" s="546">
        <f>'Cálculo masa impuestos copartic'!S6*0.15</f>
        <v>3226.5095249815408</v>
      </c>
      <c r="V6" s="546"/>
      <c r="W6" s="546"/>
      <c r="X6" s="546">
        <f>'Cálculo masa impuestos copartic'!U6</f>
        <v>3226.5095249815408</v>
      </c>
      <c r="Y6" s="547">
        <v>2655.1856894100001</v>
      </c>
      <c r="Z6" s="28"/>
    </row>
    <row r="7" spans="2:26">
      <c r="B7" s="1">
        <f>'Cálculo masa impuestos copartic'!B6+1</f>
        <v>1997</v>
      </c>
      <c r="C7" s="1">
        <v>10062.299999999999</v>
      </c>
      <c r="H7" s="310">
        <f>(('Cálculo masa impuestos copartic'!C7+'Cálculo masa impuestos copartic'!D7)/0.5666+45.8*12)/0.85</f>
        <v>21539.634476028317</v>
      </c>
      <c r="I7" s="28">
        <f>'Cálculo masa impuestos copartic'!H7*0.15*1000</f>
        <v>3230945.1714042476</v>
      </c>
      <c r="K7" s="548">
        <v>3644130.7683132598</v>
      </c>
      <c r="L7" s="541">
        <f>'Cálculo masa impuestos copartic'!L6+1</f>
        <v>1995</v>
      </c>
      <c r="M7" s="542">
        <v>8092.1</v>
      </c>
      <c r="N7" s="542">
        <v>845.5</v>
      </c>
      <c r="O7" s="542">
        <v>0</v>
      </c>
      <c r="P7" s="542">
        <v>1318</v>
      </c>
      <c r="Q7" s="542">
        <v>543.6</v>
      </c>
      <c r="R7" s="542">
        <v>0</v>
      </c>
      <c r="S7" s="542">
        <f>((SUM('Cálculo masa impuestos copartic'!M7:R7)-'Cálculo masa impuestos copartic'!Q7-'Cálculo masa impuestos copartic'!N7)/(0.5666+0.007)+'Cálculo masa impuestos copartic'!Q7)/0.85</f>
        <v>19939.923209451146</v>
      </c>
      <c r="T7" s="542"/>
      <c r="U7" s="542">
        <f>'Cálculo masa impuestos copartic'!S7*0.15</f>
        <v>2990.9884814176717</v>
      </c>
      <c r="V7" s="542"/>
      <c r="W7" s="542"/>
      <c r="X7" s="542">
        <f>'Cálculo masa impuestos copartic'!U7</f>
        <v>2990.9884814176717</v>
      </c>
      <c r="Y7" s="543">
        <f>(3218608826.88/1000)/1000</f>
        <v>3218.6088268799999</v>
      </c>
      <c r="Z7" s="28"/>
    </row>
    <row r="8" spans="2:26">
      <c r="B8" s="1">
        <f>'Cálculo masa impuestos copartic'!B7+1</f>
        <v>1998</v>
      </c>
      <c r="C8" s="1">
        <v>10710.6</v>
      </c>
      <c r="H8" s="310">
        <f>(('Cálculo masa impuestos copartic'!C8+'Cálculo masa impuestos copartic'!D8)/0.5666+45.8*12)/0.85</f>
        <v>22885.744398995037</v>
      </c>
      <c r="I8" s="28">
        <f>'Cálculo masa impuestos copartic'!H8*0.15*1000</f>
        <v>3432861.6598492553</v>
      </c>
      <c r="K8" s="544">
        <v>3812556.12680422</v>
      </c>
      <c r="L8" s="545">
        <f>'Cálculo masa impuestos copartic'!L7+1</f>
        <v>1996</v>
      </c>
      <c r="M8" s="546">
        <v>8872.5</v>
      </c>
      <c r="N8" s="546">
        <v>413</v>
      </c>
      <c r="O8" s="546">
        <v>0</v>
      </c>
      <c r="P8" s="546">
        <v>1318</v>
      </c>
      <c r="Q8" s="546">
        <v>545.1</v>
      </c>
      <c r="R8" s="546">
        <v>72</v>
      </c>
      <c r="S8" s="546">
        <f>((SUM('Cálculo masa impuestos copartic'!M8:R8)-'Cálculo masa impuestos copartic'!Q8-'Cálculo masa impuestos copartic'!N8-'Cálculo masa impuestos copartic'!R8)/(0.5666+0.007)+'Cálculo masa impuestos copartic'!Q8)/0.85</f>
        <v>21542.311428337023</v>
      </c>
      <c r="T8" s="546"/>
      <c r="U8" s="546">
        <f>'Cálculo masa impuestos copartic'!S8*0.15</f>
        <v>3231.3467142505533</v>
      </c>
      <c r="V8" s="546"/>
      <c r="W8" s="546"/>
      <c r="X8" s="546">
        <f>'Cálculo masa impuestos copartic'!U8</f>
        <v>3231.3467142505533</v>
      </c>
      <c r="Y8" s="547">
        <f>(6027771273/1000)/1000</f>
        <v>6027.7712730000003</v>
      </c>
    </row>
    <row r="9" spans="2:26">
      <c r="B9" s="1">
        <f>'Cálculo masa impuestos copartic'!B8+1</f>
        <v>1999</v>
      </c>
      <c r="C9" s="1">
        <v>10401.5</v>
      </c>
      <c r="H9" s="310">
        <f>(('Cálculo masa impuestos copartic'!C9+'Cálculo masa impuestos copartic'!D9)/0.5666+45.8*12)/0.85</f>
        <v>22243.938788646414</v>
      </c>
      <c r="I9" s="28">
        <f>'Cálculo masa impuestos copartic'!H9*0.15*1000</f>
        <v>3336590.818296962</v>
      </c>
      <c r="K9" s="548">
        <v>3611341.30398252</v>
      </c>
      <c r="L9" s="541">
        <f>'Cálculo masa impuestos copartic'!L8+1</f>
        <v>1997</v>
      </c>
      <c r="M9" s="542">
        <v>10062.299999999999</v>
      </c>
      <c r="N9" s="542">
        <v>4.4000000000000004</v>
      </c>
      <c r="O9" s="542">
        <v>0</v>
      </c>
      <c r="P9" s="542">
        <v>1318</v>
      </c>
      <c r="Q9" s="542">
        <v>549.6</v>
      </c>
      <c r="R9" s="542">
        <v>210</v>
      </c>
      <c r="S9" s="542">
        <f>((SUM('Cálculo masa impuestos copartic'!M9:R9)-'Cálculo masa impuestos copartic'!Q9-'Cálculo masa impuestos copartic'!N9-'Cálculo masa impuestos copartic'!R9)/(0.5666+0.007)+'Cálculo masa impuestos copartic'!Q9)/0.85</f>
        <v>23987.920584133233</v>
      </c>
      <c r="T9" s="542"/>
      <c r="U9" s="542">
        <f>'Cálculo masa impuestos copartic'!S9*0.15</f>
        <v>3598.1880876199848</v>
      </c>
      <c r="V9" s="542"/>
      <c r="W9" s="542"/>
      <c r="X9" s="542">
        <f>'Cálculo masa impuestos copartic'!U9</f>
        <v>3598.1880876199848</v>
      </c>
      <c r="Y9" s="543">
        <v>4254.6031139999996</v>
      </c>
    </row>
    <row r="10" spans="2:26">
      <c r="B10" s="1">
        <f>'Cálculo masa impuestos copartic'!B9+1</f>
        <v>2000</v>
      </c>
      <c r="C10" s="1">
        <v>10615.4</v>
      </c>
      <c r="H10" s="310">
        <f>(('Cálculo masa impuestos copartic'!C10+'Cálculo masa impuestos copartic'!D10)/0.5666+45.8*12)/0.85</f>
        <v>22688.074084840431</v>
      </c>
      <c r="I10" s="28">
        <f>'Cálculo masa impuestos copartic'!H10*0.15*1000</f>
        <v>3403211.1127260644</v>
      </c>
      <c r="K10" s="544">
        <v>3825019.25377315</v>
      </c>
      <c r="L10" s="545">
        <f>'Cálculo masa impuestos copartic'!L9+1</f>
        <v>1998</v>
      </c>
      <c r="M10" s="546">
        <v>10710.6</v>
      </c>
      <c r="N10" s="546">
        <v>0</v>
      </c>
      <c r="O10" s="546">
        <v>0</v>
      </c>
      <c r="P10" s="546">
        <v>1318</v>
      </c>
      <c r="Q10" s="546">
        <v>549.6</v>
      </c>
      <c r="R10" s="546">
        <v>6</v>
      </c>
      <c r="S10" s="546">
        <f>((SUM('Cálculo masa impuestos copartic'!M10:R10)-'Cálculo masa impuestos copartic'!Q10-'Cálculo masa impuestos copartic'!N10-'Cálculo masa impuestos copartic'!R10)/(0.5666+0.007)+'Cálculo masa impuestos copartic'!Q10)/0.85</f>
        <v>25317.603084748545</v>
      </c>
      <c r="T10" s="546"/>
      <c r="U10" s="546">
        <f>'Cálculo masa impuestos copartic'!S10*0.15</f>
        <v>3797.6404627122815</v>
      </c>
      <c r="V10" s="546"/>
      <c r="W10" s="546"/>
      <c r="X10" s="546">
        <f>'Cálculo masa impuestos copartic'!U10</f>
        <v>3797.6404627122815</v>
      </c>
      <c r="Y10" s="547">
        <v>5469.3055207400002</v>
      </c>
    </row>
    <row r="11" spans="2:26">
      <c r="B11" s="1">
        <f>'Cálculo masa impuestos copartic'!B10+1</f>
        <v>2001</v>
      </c>
      <c r="C11" s="1">
        <v>9401.5</v>
      </c>
      <c r="H11" s="310">
        <f>(('Cálculo masa impuestos copartic'!C11+'Cálculo masa impuestos copartic'!D11)/0.5666+45.8*12)/0.85</f>
        <v>20167.569942484581</v>
      </c>
      <c r="I11" s="28">
        <f>'Cálculo masa impuestos copartic'!H11*0.15*1000</f>
        <v>3025135.4913726868</v>
      </c>
      <c r="K11" s="548">
        <v>3436536.7654805202</v>
      </c>
      <c r="L11" s="541">
        <f>'Cálculo masa impuestos copartic'!L10+1</f>
        <v>1999</v>
      </c>
      <c r="M11" s="542">
        <v>10401.5</v>
      </c>
      <c r="N11" s="542">
        <v>0</v>
      </c>
      <c r="O11" s="542">
        <v>0</v>
      </c>
      <c r="P11" s="542">
        <v>1318</v>
      </c>
      <c r="Q11" s="542">
        <v>549.6</v>
      </c>
      <c r="R11" s="542">
        <v>0</v>
      </c>
      <c r="S11" s="542">
        <f>((SUM('Cálculo masa impuestos copartic'!M11:R11)-'Cálculo masa impuestos copartic'!Q11-'Cálculo masa impuestos copartic'!N11)/(0.5666+0.007)+'Cálculo masa impuestos copartic'!Q11)/0.85</f>
        <v>24683.629830174748</v>
      </c>
      <c r="T11" s="542"/>
      <c r="U11" s="542">
        <f>'Cálculo masa impuestos copartic'!S11*0.15</f>
        <v>3702.5444745262121</v>
      </c>
      <c r="V11" s="542"/>
      <c r="W11" s="542"/>
      <c r="X11" s="542">
        <f>'Cálculo masa impuestos copartic'!U11</f>
        <v>3702.5444745262121</v>
      </c>
      <c r="Y11" s="543">
        <v>6958.9665070000001</v>
      </c>
    </row>
    <row r="12" spans="2:26">
      <c r="B12" s="1">
        <f>'Cálculo masa impuestos copartic'!B11+1</f>
        <v>2002</v>
      </c>
      <c r="C12" s="1">
        <v>8581.5</v>
      </c>
      <c r="H12" s="310">
        <f>(('Cálculo masa impuestos copartic'!C12+'Cálculo masa impuestos copartic'!D12)/0.5666+45.8*12)/0.85</f>
        <v>18464.947488631882</v>
      </c>
      <c r="I12" s="28">
        <f>'Cálculo masa impuestos copartic'!H12*0.15*1000</f>
        <v>2769742.1232947824</v>
      </c>
      <c r="K12" s="544">
        <v>3408322.4737063302</v>
      </c>
      <c r="L12" s="545">
        <f>'Cálculo masa impuestos copartic'!L11+1</f>
        <v>2000</v>
      </c>
      <c r="M12" s="546">
        <v>10615.4</v>
      </c>
      <c r="N12" s="546">
        <v>0</v>
      </c>
      <c r="O12" s="546">
        <v>0</v>
      </c>
      <c r="P12" s="546">
        <v>1307.8</v>
      </c>
      <c r="Q12" s="546">
        <v>549.6</v>
      </c>
      <c r="R12" s="546">
        <v>0</v>
      </c>
      <c r="S12" s="546">
        <f>((SUM('Cálculo masa impuestos copartic'!M12:R12)-'Cálculo masa impuestos copartic'!Q12-'Cálculo masa impuestos copartic'!N12)/(0.5666+0.007)+'Cálculo masa impuestos copartic'!Q12)/0.85</f>
        <v>25101.424563130688</v>
      </c>
      <c r="T12" s="546"/>
      <c r="U12" s="546">
        <f>'Cálculo masa impuestos copartic'!S12*0.15</f>
        <v>3765.2136844696029</v>
      </c>
      <c r="V12" s="546"/>
      <c r="W12" s="546"/>
      <c r="X12" s="546">
        <f>'Cálculo masa impuestos copartic'!U12</f>
        <v>3765.2136844696029</v>
      </c>
      <c r="Y12" s="547">
        <v>6052.6193359999997</v>
      </c>
    </row>
    <row r="13" spans="2:26">
      <c r="B13" s="1">
        <f>'Cálculo masa impuestos copartic'!B12+1</f>
        <v>2003</v>
      </c>
      <c r="C13" s="1">
        <v>13142.2</v>
      </c>
      <c r="H13" s="310">
        <f>(('Cálculo masa impuestos copartic'!C13+'Cálculo masa impuestos copartic'!D13)/0.5666+45.8*12)/0.85</f>
        <v>27934.642885322148</v>
      </c>
      <c r="I13" s="28">
        <f>'Cálculo masa impuestos copartic'!H13*0.15*1000</f>
        <v>4190196.4327983223</v>
      </c>
      <c r="K13" s="548">
        <v>4976814.3364556497</v>
      </c>
      <c r="L13" s="541">
        <f>'Cálculo masa impuestos copartic'!L12+1</f>
        <v>2001</v>
      </c>
      <c r="M13" s="542">
        <v>9401.5</v>
      </c>
      <c r="N13" s="542">
        <v>0</v>
      </c>
      <c r="O13" s="542">
        <v>0</v>
      </c>
      <c r="P13" s="542">
        <v>1152.4000000000001</v>
      </c>
      <c r="Q13" s="542">
        <v>549.6</v>
      </c>
      <c r="R13" s="542">
        <v>0</v>
      </c>
      <c r="S13" s="542">
        <f>((SUM('Cálculo masa impuestos copartic'!M13:R13)-'Cálculo masa impuestos copartic'!Q13-'Cálculo masa impuestos copartic'!N13)/(0.5666+0.007)+'Cálculo masa impuestos copartic'!Q13)/0.85</f>
        <v>22292.949708753793</v>
      </c>
      <c r="T13" s="542"/>
      <c r="U13" s="542">
        <f>'Cálculo masa impuestos copartic'!S13*0.15</f>
        <v>3343.9424563130688</v>
      </c>
      <c r="V13" s="542"/>
      <c r="W13" s="542"/>
      <c r="X13" s="542">
        <f>'Cálculo masa impuestos copartic'!U13</f>
        <v>3343.9424563130688</v>
      </c>
      <c r="Y13" s="543">
        <v>6487.1305739999998</v>
      </c>
    </row>
    <row r="14" spans="2:26">
      <c r="B14" s="1">
        <f>'Cálculo masa impuestos copartic'!B13+1</f>
        <v>2004</v>
      </c>
      <c r="C14" s="1">
        <v>20390.099999999999</v>
      </c>
      <c r="D14" s="457"/>
      <c r="E14" s="457"/>
      <c r="F14" s="457"/>
      <c r="H14" s="310">
        <f>(('Cálculo masa impuestos copartic'!C14+'Cálculo masa impuestos copartic'!D14)/0.5666+45.8*12)/0.85</f>
        <v>42983.95664541849</v>
      </c>
      <c r="I14" s="28">
        <f>'Cálculo masa impuestos copartic'!H14*0.15*1000</f>
        <v>6447593.4968127729</v>
      </c>
      <c r="K14" s="544">
        <v>7221262.9263346903</v>
      </c>
      <c r="L14" s="545">
        <f>'Cálculo masa impuestos copartic'!L13+1</f>
        <v>2002</v>
      </c>
      <c r="M14" s="546">
        <v>8581.5</v>
      </c>
      <c r="N14" s="546">
        <v>0</v>
      </c>
      <c r="O14" s="546">
        <v>0</v>
      </c>
      <c r="P14" s="546">
        <v>894.5</v>
      </c>
      <c r="Q14" s="546">
        <v>549.6</v>
      </c>
      <c r="R14" s="546">
        <v>0</v>
      </c>
      <c r="S14" s="546">
        <f>((SUM('Cálculo masa impuestos copartic'!M14:R14)-'Cálculo masa impuestos copartic'!Q14-'Cálculo masa impuestos copartic'!N14)/(0.5666+0.007)+'Cálculo masa impuestos copartic'!Q14)/0.85</f>
        <v>20082.144884732134</v>
      </c>
      <c r="T14" s="546"/>
      <c r="U14" s="546">
        <f>'Cálculo masa impuestos copartic'!S14*0.15</f>
        <v>3012.32173270982</v>
      </c>
      <c r="V14" s="546"/>
      <c r="W14" s="546"/>
      <c r="X14" s="546">
        <f>'Cálculo masa impuestos copartic'!U14</f>
        <v>3012.32173270982</v>
      </c>
      <c r="Y14" s="547">
        <v>7316.8198860000002</v>
      </c>
    </row>
    <row r="15" spans="2:26">
      <c r="B15" s="1">
        <f>'Cálculo masa impuestos copartic'!B14+1</f>
        <v>2005</v>
      </c>
      <c r="C15" s="1">
        <v>25494.2</v>
      </c>
      <c r="H15" s="310">
        <f>(('Cálculo masa impuestos copartic'!C15+'Cálculo masa impuestos copartic'!D16)/0.5666+45.8*12)/0.85</f>
        <v>55569.212973152549</v>
      </c>
      <c r="I15" s="28">
        <f>'Cálculo masa impuestos copartic'!H15*0.15*1000</f>
        <v>8335381.9459728822</v>
      </c>
      <c r="K15" s="548">
        <v>8716294.1827130001</v>
      </c>
      <c r="L15" s="541">
        <f>'Cálculo masa impuestos copartic'!L14+1</f>
        <v>2003</v>
      </c>
      <c r="M15" s="542">
        <v>13142.2</v>
      </c>
      <c r="N15" s="542">
        <v>0</v>
      </c>
      <c r="O15" s="542">
        <v>0</v>
      </c>
      <c r="P15" s="542">
        <v>1308</v>
      </c>
      <c r="Q15" s="542">
        <v>549.6</v>
      </c>
      <c r="R15" s="542">
        <v>0</v>
      </c>
      <c r="S15" s="542">
        <f>((SUM('Cálculo masa impuestos copartic'!M15:R15)-'Cálculo masa impuestos copartic'!Q15-'Cálculo masa impuestos copartic'!N15)/(0.5666+0.007+0.014)+'Cálculo masa impuestos copartic'!Q15)/0.85</f>
        <v>29578.234413166221</v>
      </c>
      <c r="T15" s="542"/>
      <c r="U15" s="542">
        <f>'Cálculo masa impuestos copartic'!S15*0.15</f>
        <v>4436.7351619749334</v>
      </c>
      <c r="V15" s="542"/>
      <c r="W15" s="542"/>
      <c r="X15" s="542">
        <f>'Cálculo masa impuestos copartic'!U15</f>
        <v>4436.7351619749334</v>
      </c>
      <c r="Y15" s="543">
        <v>7420.9107270000004</v>
      </c>
    </row>
    <row r="16" spans="2:26">
      <c r="B16" s="1">
        <f>'Cálculo masa impuestos copartic'!B15+1</f>
        <v>2006</v>
      </c>
      <c r="C16" s="549">
        <v>31054.5</v>
      </c>
      <c r="D16" s="549">
        <v>957.08529999999996</v>
      </c>
      <c r="E16" s="549"/>
      <c r="F16" s="549"/>
      <c r="H16" s="310">
        <f>(('Cálculo masa impuestos copartic'!C16+'Cálculo masa impuestos copartic'!D18)/0.5666+45.8*12)/0.85</f>
        <v>73094.211831149689</v>
      </c>
      <c r="I16" s="28">
        <f>'Cálculo masa impuestos copartic'!H16*0.15*1000</f>
        <v>10964131.774672452</v>
      </c>
      <c r="K16" s="544">
        <v>10791609.2709227</v>
      </c>
      <c r="L16" s="545">
        <f>'Cálculo masa impuestos copartic'!L15+1</f>
        <v>2004</v>
      </c>
      <c r="M16" s="546">
        <v>20390.099999999999</v>
      </c>
      <c r="N16" s="546">
        <v>0</v>
      </c>
      <c r="O16" s="546">
        <v>0</v>
      </c>
      <c r="P16" s="546">
        <v>1307.9000000000001</v>
      </c>
      <c r="Q16" s="546">
        <v>549.6</v>
      </c>
      <c r="R16" s="546">
        <v>0</v>
      </c>
      <c r="S16" s="546">
        <f>((SUM('Cálculo masa impuestos copartic'!M16:R16)-'Cálculo masa impuestos copartic'!Q16-'Cálculo masa impuestos copartic'!N16)/(0.5666+0.007+0.014)+'Cálculo masa impuestos copartic'!Q16)/0.85</f>
        <v>44089.506587114083</v>
      </c>
      <c r="T16" s="546"/>
      <c r="U16" s="546">
        <f>'Cálculo masa impuestos copartic'!S16*0.15</f>
        <v>6613.4259880671125</v>
      </c>
      <c r="V16" s="546"/>
      <c r="W16" s="546"/>
      <c r="X16" s="546">
        <f>'Cálculo masa impuestos copartic'!U16</f>
        <v>6613.4259880671125</v>
      </c>
      <c r="Y16" s="547">
        <v>6463.8124550000002</v>
      </c>
    </row>
    <row r="17" spans="1:27">
      <c r="B17" s="1">
        <f>'Cálculo masa impuestos copartic'!B16+1</f>
        <v>2007</v>
      </c>
      <c r="C17" s="549">
        <v>41060.5</v>
      </c>
      <c r="D17" s="549">
        <v>1856.0550000000001</v>
      </c>
      <c r="E17" s="549"/>
      <c r="F17" s="549"/>
      <c r="H17" s="310">
        <f>(('Cálculo masa impuestos copartic'!C17+'Cálculo masa impuestos copartic'!D17)/0.5666+45.8*12)/0.85</f>
        <v>89757.186021884932</v>
      </c>
      <c r="I17" s="28">
        <f>'Cálculo masa impuestos copartic'!H17*0.15*1000</f>
        <v>13463577.903282739</v>
      </c>
      <c r="K17" s="548">
        <v>14067286.403244499</v>
      </c>
      <c r="L17" s="541">
        <f>'Cálculo masa impuestos copartic'!L16+1</f>
        <v>2005</v>
      </c>
      <c r="M17" s="542">
        <v>25494.2</v>
      </c>
      <c r="N17" s="542">
        <v>0</v>
      </c>
      <c r="O17" s="542">
        <v>0</v>
      </c>
      <c r="P17" s="542">
        <v>1307.9000000000001</v>
      </c>
      <c r="Q17" s="542">
        <v>549.6</v>
      </c>
      <c r="R17" s="542">
        <v>0</v>
      </c>
      <c r="S17" s="542">
        <f>((SUM('Cálculo masa impuestos copartic'!M17:R17)-'Cálculo masa impuestos copartic'!Q17-'Cálculo masa impuestos copartic'!N17)/(0.5666+0.007+0.014)+'Cálculo masa impuestos copartic'!Q17)/0.85</f>
        <v>54308.743362831861</v>
      </c>
      <c r="T17" s="542"/>
      <c r="U17" s="542">
        <f>'Cálculo masa impuestos copartic'!S17*0.15</f>
        <v>8146.3115044247788</v>
      </c>
      <c r="V17" s="542"/>
      <c r="W17" s="542"/>
      <c r="X17" s="542">
        <f>'Cálculo masa impuestos copartic'!U17</f>
        <v>8146.3115044247788</v>
      </c>
      <c r="Y17" s="543">
        <v>8133.3</v>
      </c>
    </row>
    <row r="18" spans="1:27">
      <c r="B18" s="1">
        <f>'Cálculo masa impuestos copartic'!B17+1</f>
        <v>2008</v>
      </c>
      <c r="C18" s="549">
        <v>50341.599999999999</v>
      </c>
      <c r="D18" s="549">
        <v>3837</v>
      </c>
      <c r="E18" s="549"/>
      <c r="F18" s="549"/>
      <c r="H18" s="310">
        <f>(('Cálculo masa impuestos copartic'!C18+'Cálculo masa impuestos copartic'!D18)/0.5666+45.8*12)/0.85</f>
        <v>113141.34540395757</v>
      </c>
      <c r="I18" s="28">
        <f>'Cálculo masa impuestos copartic'!H18*0.15*1000</f>
        <v>16971201.810593639</v>
      </c>
      <c r="K18" s="544">
        <v>17745520.9942922</v>
      </c>
      <c r="L18" s="545">
        <f>'Cálculo masa impuestos copartic'!L17+1</f>
        <v>2006</v>
      </c>
      <c r="M18" s="546">
        <v>31054.5</v>
      </c>
      <c r="N18" s="546">
        <v>0</v>
      </c>
      <c r="O18" s="546">
        <v>957.1</v>
      </c>
      <c r="P18" s="546">
        <v>1307.9000000000001</v>
      </c>
      <c r="Q18" s="546">
        <v>549.6</v>
      </c>
      <c r="R18" s="546">
        <v>0</v>
      </c>
      <c r="S18" s="546">
        <f>((SUM('Cálculo masa impuestos copartic'!M18:R18)-'Cálculo masa impuestos copartic'!Q18-'Cálculo masa impuestos copartic'!N18)/(0.5666+0.007+0.014)+'Cálculo masa impuestos copartic'!Q18)/0.85</f>
        <v>67357.636167060424</v>
      </c>
      <c r="T18" s="550"/>
      <c r="U18" s="546">
        <f>'Cálculo masa impuestos copartic'!S18*0.15</f>
        <v>10103.645425059063</v>
      </c>
      <c r="V18" s="546"/>
      <c r="W18" s="546"/>
      <c r="X18" s="546">
        <f>'Cálculo masa impuestos copartic'!U18</f>
        <v>10103.645425059063</v>
      </c>
      <c r="Y18" s="547">
        <v>10149.4</v>
      </c>
    </row>
    <row r="19" spans="1:27">
      <c r="B19" s="1">
        <f>'Cálculo masa impuestos copartic'!B18+1</f>
        <v>2009</v>
      </c>
      <c r="C19" s="549">
        <v>52369</v>
      </c>
      <c r="D19" s="549">
        <v>6763</v>
      </c>
      <c r="E19" s="549"/>
      <c r="F19" s="549"/>
      <c r="H19" s="310">
        <f>(('Cálculo masa impuestos copartic'!C19+'Cálculo masa impuestos copartic'!D19)/0.5666+45.8*12)/0.85</f>
        <v>123426.4308465356</v>
      </c>
      <c r="I19" s="28">
        <f>'Cálculo masa impuestos copartic'!H19*0.15*1000</f>
        <v>18513964.626980338</v>
      </c>
      <c r="K19" s="548">
        <v>19124532.240307499</v>
      </c>
      <c r="L19" s="541">
        <f>'Cálculo masa impuestos copartic'!L18+1</f>
        <v>2007</v>
      </c>
      <c r="M19" s="542">
        <v>41060.504073650001</v>
      </c>
      <c r="N19" s="542">
        <v>0</v>
      </c>
      <c r="O19" s="542">
        <f>1856055027.57/1000000</f>
        <v>1856.05502757</v>
      </c>
      <c r="P19" s="542">
        <f>1276489000/1000000</f>
        <v>1276.489</v>
      </c>
      <c r="Q19" s="542">
        <v>549.6</v>
      </c>
      <c r="R19" s="542">
        <v>0</v>
      </c>
      <c r="S19" s="542">
        <f>((SUM('Cálculo masa impuestos copartic'!M19:R19)-'Cálculo masa impuestos copartic'!Q19-'Cálculo masa impuestos copartic'!N19)/(0.5666+0.007+0.014)+'Cálculo masa impuestos copartic'!Q19)/0.85</f>
        <v>89128.244626636792</v>
      </c>
      <c r="T19" s="542">
        <v>89143.661276300001</v>
      </c>
      <c r="U19" s="542">
        <f>'Cálculo masa impuestos copartic'!S19*0.15</f>
        <v>13369.236693995519</v>
      </c>
      <c r="V19" s="542">
        <v>13371.54919129</v>
      </c>
      <c r="W19" s="542"/>
      <c r="X19" s="542">
        <f>'Cálculo masa impuestos copartic'!V19</f>
        <v>13371.54919129</v>
      </c>
      <c r="Y19" s="543">
        <v>13371.108301189999</v>
      </c>
    </row>
    <row r="20" spans="1:27">
      <c r="B20" s="1">
        <f>'Cálculo masa impuestos copartic'!B19+1</f>
        <v>2010</v>
      </c>
      <c r="C20" s="549">
        <v>69368.600000000006</v>
      </c>
      <c r="D20" s="549">
        <v>10605.3</v>
      </c>
      <c r="E20" s="549"/>
      <c r="F20" s="549"/>
      <c r="H20" s="310">
        <f>(('Cálculo masa impuestos copartic'!C20+'Cálculo masa impuestos copartic'!D20)/0.5666+45.8*12)/0.85</f>
        <v>166701.9027013559</v>
      </c>
      <c r="I20" s="28">
        <f>'Cálculo masa impuestos copartic'!H20*0.15*1000</f>
        <v>25005285.405203383</v>
      </c>
      <c r="K20" s="544">
        <v>25807128.053235002</v>
      </c>
      <c r="L20" s="545">
        <f>'Cálculo masa impuestos copartic'!L19+1</f>
        <v>2008</v>
      </c>
      <c r="M20" s="546">
        <f>(1119231229.38+49222400211.66)/1000000</f>
        <v>50341.631441040001</v>
      </c>
      <c r="N20" s="546">
        <v>0</v>
      </c>
      <c r="O20" s="551">
        <v>3837.0399879900001</v>
      </c>
      <c r="P20" s="551">
        <v>1276.489</v>
      </c>
      <c r="Q20" s="546">
        <v>549.6</v>
      </c>
      <c r="R20" s="546">
        <v>0</v>
      </c>
      <c r="S20" s="546">
        <f>((SUM('Cálculo masa impuestos copartic'!M20:R20)-'Cálculo masa impuestos copartic'!Q20-'Cálculo masa impuestos copartic'!N20)/(0.5666+0.007+0.014)+'Cálculo masa impuestos copartic'!Q20)/0.85</f>
        <v>111676.8217455452</v>
      </c>
      <c r="T20" s="552">
        <v>111692.23839615</v>
      </c>
      <c r="U20" s="546">
        <f>'Cálculo masa impuestos copartic'!S20*0.15</f>
        <v>16751.523261831779</v>
      </c>
      <c r="V20" s="546">
        <v>16753.835759500002</v>
      </c>
      <c r="W20" s="546"/>
      <c r="X20" s="546">
        <f>'Cálculo masa impuestos copartic'!V20</f>
        <v>16753.835759500002</v>
      </c>
      <c r="Y20" s="547">
        <v>17109.424245999999</v>
      </c>
    </row>
    <row r="21" spans="1:27">
      <c r="B21" s="1">
        <f>'Cálculo masa impuestos copartic'!B20+1</f>
        <v>2011</v>
      </c>
      <c r="C21" s="549">
        <v>106396.4139</v>
      </c>
      <c r="D21" s="549">
        <v>0</v>
      </c>
      <c r="E21" s="549"/>
      <c r="F21" s="549"/>
      <c r="H21" s="310">
        <f>(('Cálculo masa impuestos copartic'!C21+'Cálculo masa impuestos copartic'!D21)/0.5666+45.8*12)/0.85</f>
        <v>221564.78740059384</v>
      </c>
      <c r="I21" s="28">
        <f>'Cálculo masa impuestos copartic'!H21*0.15*1000</f>
        <v>33234718.110089075</v>
      </c>
      <c r="K21" s="548">
        <v>34558958.219437502</v>
      </c>
      <c r="L21" s="541">
        <f>'Cálculo masa impuestos copartic'!L20+1</f>
        <v>2009</v>
      </c>
      <c r="M21" s="542">
        <f>(1078316308.66+51290676703.9)/1000000</f>
        <v>52368.993012560008</v>
      </c>
      <c r="N21" s="542">
        <v>0</v>
      </c>
      <c r="O21" s="553">
        <f>6762974296.78/1000000</f>
        <v>6762.9742967799993</v>
      </c>
      <c r="P21" s="542">
        <f>(1284189004-7700000)/1000000</f>
        <v>1276.489004</v>
      </c>
      <c r="Q21" s="542">
        <v>549.6</v>
      </c>
      <c r="R21" s="542">
        <v>0</v>
      </c>
      <c r="S21" s="542">
        <f>((SUM('Cálculo masa impuestos copartic'!M21:R21)-'Cálculo masa impuestos copartic'!Q21-'Cálculo masa impuestos copartic'!N21)/(0.5666+0.007+0.014)+'Cálculo masa impuestos copartic'!Q21)/0.85</f>
        <v>121594.12420081691</v>
      </c>
      <c r="T21" s="553">
        <f>121609540846.8/1000000</f>
        <v>121609.54084680001</v>
      </c>
      <c r="U21" s="542">
        <f>'Cálculo masa impuestos copartic'!S21*0.15</f>
        <v>18239.118630122535</v>
      </c>
      <c r="V21" s="542">
        <v>18241.431126399999</v>
      </c>
      <c r="W21" s="542"/>
      <c r="X21" s="542">
        <f>'Cálculo masa impuestos copartic'!V21</f>
        <v>18241.431126399999</v>
      </c>
      <c r="Y21" s="543">
        <v>18708.526440000001</v>
      </c>
    </row>
    <row r="22" spans="1:27">
      <c r="A22" s="1" t="s">
        <v>750</v>
      </c>
      <c r="B22" s="1">
        <f>'Cálculo masa impuestos copartic'!B21+1</f>
        <v>2012</v>
      </c>
      <c r="C22" s="549">
        <v>135050</v>
      </c>
      <c r="D22" s="549"/>
      <c r="E22" s="549"/>
      <c r="F22" s="549"/>
      <c r="H22" s="310">
        <f>(('Cálculo masa impuestos copartic'!C22+'Cálculo masa impuestos copartic'!D22)/0.5666+45.8*12)/0.85</f>
        <v>281060.20090944954</v>
      </c>
      <c r="I22" s="28">
        <f>'Cálculo masa impuestos copartic'!H22*0.15*1000</f>
        <v>42159030.136417434</v>
      </c>
      <c r="K22" s="544">
        <v>42934330.165518999</v>
      </c>
      <c r="L22" s="545">
        <f>'Cálculo masa impuestos copartic'!L21+1</f>
        <v>2010</v>
      </c>
      <c r="M22" s="546">
        <f>(1376072192.69+67992521442.13)/1000000</f>
        <v>69368.59363481999</v>
      </c>
      <c r="N22" s="546">
        <v>0</v>
      </c>
      <c r="O22" s="546">
        <f>(10605343118.02)/1000000</f>
        <v>10605.34311802</v>
      </c>
      <c r="P22" s="546">
        <f>(1284189000-7700000)/1000000</f>
        <v>1276.489</v>
      </c>
      <c r="Q22" s="546">
        <v>549.6</v>
      </c>
      <c r="R22" s="546">
        <v>0</v>
      </c>
      <c r="S22" s="546">
        <f>((SUM('Cálculo masa impuestos copartic'!M22:R22)-'Cálculo masa impuestos copartic'!Q22-'Cálculo masa impuestos copartic'!N22)/(0.5666+0.007+0.014)+'Cálculo masa impuestos copartic'!Q22)/0.85</f>
        <v>163323.13040651902</v>
      </c>
      <c r="T22" s="552">
        <f>163338547056.21/1000000</f>
        <v>163338.54705620999</v>
      </c>
      <c r="U22" s="546">
        <f>'Cálculo masa impuestos copartic'!S22*0.15</f>
        <v>24498.469560977854</v>
      </c>
      <c r="V22" s="546">
        <v>24500.782058370001</v>
      </c>
      <c r="W22" s="546"/>
      <c r="X22" s="546">
        <f>'Cálculo masa impuestos copartic'!V22</f>
        <v>24500.782058370001</v>
      </c>
      <c r="Y22" s="547">
        <v>24603.896966839999</v>
      </c>
    </row>
    <row r="23" spans="1:27">
      <c r="B23" s="1">
        <f>'Cálculo masa impuestos copartic'!B22+1</f>
        <v>2013</v>
      </c>
      <c r="C23" s="549">
        <v>154184.02100000001</v>
      </c>
      <c r="D23" s="549">
        <v>21642.545300000002</v>
      </c>
      <c r="E23" s="549"/>
      <c r="F23" s="549"/>
      <c r="H23" s="310">
        <f>(('Cálculo masa impuestos copartic'!C23+'Cálculo masa impuestos copartic'!D23)/0.5666+45.8*12)/0.85</f>
        <v>365727.39282822201</v>
      </c>
      <c r="I23" s="28">
        <f>'Cálculo masa impuestos copartic'!H23*0.15*1000</f>
        <v>54859108.924233302</v>
      </c>
      <c r="J23" s="1">
        <v>1000</v>
      </c>
      <c r="L23" s="541">
        <f>'Cálculo masa impuestos copartic'!L22+1</f>
        <v>2011</v>
      </c>
      <c r="M23" s="542">
        <f>(2565569173+103830845126)/1000000</f>
        <v>106396.414299</v>
      </c>
      <c r="N23" s="542">
        <v>0</v>
      </c>
      <c r="O23" s="542">
        <v>0</v>
      </c>
      <c r="P23" s="542">
        <f>(1284189004-7700000)/1000000</f>
        <v>1276.489004</v>
      </c>
      <c r="Q23" s="542">
        <v>549.6</v>
      </c>
      <c r="R23" s="542">
        <v>0</v>
      </c>
      <c r="S23" s="542">
        <f>((SUM('Cálculo masa impuestos copartic'!M23:R23)-'Cálculo masa impuestos copartic'!Q23-'Cálculo masa impuestos copartic'!N23)/(0.5666+0.007+0.014)+'Cálculo masa impuestos copartic'!Q23)/0.85</f>
        <v>216225.21976334442</v>
      </c>
      <c r="T23" s="542">
        <f>216240636399.93/1000000</f>
        <v>216240.63639992999</v>
      </c>
      <c r="U23" s="542">
        <f>'Cálculo masa impuestos copartic'!S23*0.15</f>
        <v>32433.782964501661</v>
      </c>
      <c r="V23" s="542">
        <v>32436.095457980002</v>
      </c>
      <c r="W23" s="542"/>
      <c r="X23" s="542">
        <f>'Cálculo masa impuestos copartic'!V23</f>
        <v>32436.095457980002</v>
      </c>
      <c r="Y23" s="543">
        <v>35217.634122080002</v>
      </c>
    </row>
    <row r="24" spans="1:27">
      <c r="A24" s="554">
        <v>175826.6</v>
      </c>
      <c r="B24" s="1">
        <f>'Cálculo masa impuestos copartic'!B23+1</f>
        <v>2014</v>
      </c>
      <c r="C24" s="549">
        <v>212879.24979999999</v>
      </c>
      <c r="D24" s="549">
        <v>27505.536400000001</v>
      </c>
      <c r="E24" s="549"/>
      <c r="F24" s="549"/>
      <c r="H24" s="310">
        <f>(('Cálculo masa impuestos copartic'!C24+'Cálculo masa impuestos copartic'!D24)/0.5666+45.8*12)/0.85</f>
        <v>499774.06939224683</v>
      </c>
      <c r="I24" s="28">
        <f>'Cálculo masa impuestos copartic'!H24*0.15*1000</f>
        <v>74966110.40883702</v>
      </c>
      <c r="L24" s="545">
        <f>'Cálculo masa impuestos copartic'!L23+1</f>
        <v>2012</v>
      </c>
      <c r="M24" s="546">
        <f>(115068430413.36+2300559351.09)/1000000</f>
        <v>117368.98976445</v>
      </c>
      <c r="N24" s="546">
        <v>0</v>
      </c>
      <c r="O24" s="546">
        <f>17681021007.41/1000000</f>
        <v>17681.02100741</v>
      </c>
      <c r="P24" s="546">
        <f>(1284189004-7700000)/1000000</f>
        <v>1276.489004</v>
      </c>
      <c r="Q24" s="546">
        <v>549.6</v>
      </c>
      <c r="R24" s="546">
        <v>0</v>
      </c>
      <c r="S24" s="546">
        <f>((SUM('Cálculo masa impuestos copartic'!M24:R24)-'Cálculo masa impuestos copartic'!Q24-'Cálculo masa impuestos copartic'!N24)/(0.5666+0.007+0.014)+'Cálculo masa impuestos copartic'!Q24)/0.85</f>
        <v>273594.37139282422</v>
      </c>
      <c r="T24" s="546">
        <f>273609788034.89/1000000</f>
        <v>273609.78803489002</v>
      </c>
      <c r="U24" s="546">
        <f>'Cálculo masa impuestos copartic'!S24*0.15</f>
        <v>41039.15570892363</v>
      </c>
      <c r="V24" s="546">
        <v>41041.468205290003</v>
      </c>
      <c r="W24" s="546"/>
      <c r="X24" s="546">
        <f>'Cálculo masa impuestos copartic'!V24</f>
        <v>41041.468205290003</v>
      </c>
      <c r="Y24" s="547">
        <v>42293.145465599999</v>
      </c>
    </row>
    <row r="25" spans="1:27">
      <c r="B25" s="1">
        <f>'Cálculo masa impuestos copartic'!B24+1</f>
        <v>2015</v>
      </c>
      <c r="C25" s="549">
        <v>263540.93199999997</v>
      </c>
      <c r="D25" s="549">
        <v>66412.043999999994</v>
      </c>
      <c r="E25" s="549"/>
      <c r="F25" s="549"/>
      <c r="H25" s="310">
        <f>(('Cálculo masa impuestos copartic'!C25+'Cálculo masa impuestos copartic'!D25)/0.5666+45.8*12)/0.85</f>
        <v>685750.66830007674</v>
      </c>
      <c r="I25" s="28">
        <f>'Cálculo masa impuestos copartic'!H25*0.15*1000</f>
        <v>102862600.24501151</v>
      </c>
      <c r="L25" s="541">
        <f>'Cálculo masa impuestos copartic'!L24+1</f>
        <v>2013</v>
      </c>
      <c r="M25" s="542">
        <f>(151137253798.69+3046767402.7)/1000000</f>
        <v>154184.02120139002</v>
      </c>
      <c r="N25" s="542">
        <v>0</v>
      </c>
      <c r="O25" s="542">
        <f>21642545276.31/1000000</f>
        <v>21642.54527631</v>
      </c>
      <c r="P25" s="542">
        <f>(1284189004-7700000)/1000000</f>
        <v>1276.489004</v>
      </c>
      <c r="Q25" s="542">
        <v>549.6</v>
      </c>
      <c r="R25" s="542">
        <v>0</v>
      </c>
      <c r="S25" s="542">
        <f>((SUM('Cálculo masa impuestos copartic'!M25:R25)-'Cálculo masa impuestos copartic'!Q25-'Cálculo masa impuestos copartic'!N25)/(0.5666+0.007+0.014)+'Cálculo masa impuestos copartic'!Q25)/0.85</f>
        <v>355235.65539122251</v>
      </c>
      <c r="T25" s="542">
        <f>355251072032.98/1000000</f>
        <v>355251.07203297998</v>
      </c>
      <c r="U25" s="542">
        <f>'Cálculo masa impuestos copartic'!S25*0.15</f>
        <v>53285.348308683373</v>
      </c>
      <c r="V25" s="542">
        <v>53287.66080492</v>
      </c>
      <c r="W25" s="542"/>
      <c r="X25" s="542">
        <f>'Cálculo masa impuestos copartic'!V25</f>
        <v>53287.66080492</v>
      </c>
      <c r="Y25" s="543">
        <v>57546.857634309999</v>
      </c>
    </row>
    <row r="26" spans="1:27">
      <c r="B26" s="1">
        <f>'Cálculo masa impuestos copartic'!B25+1</f>
        <v>2016</v>
      </c>
      <c r="C26" s="549">
        <v>376998.2</v>
      </c>
      <c r="D26" s="549">
        <v>87144.4</v>
      </c>
      <c r="E26" s="549"/>
      <c r="F26" s="549"/>
      <c r="H26" s="310">
        <f>(('Cálculo masa impuestos copartic'!C26+'Cálculo masa impuestos copartic'!D26)/0.5666+45.8*12)/0.85</f>
        <v>964377.82305184682</v>
      </c>
      <c r="I26" s="28">
        <f>'Cálculo masa impuestos copartic'!H26*0.15*1000</f>
        <v>144656673.45777702</v>
      </c>
      <c r="L26" s="545">
        <f>'Cálculo masa impuestos copartic'!L25+1</f>
        <v>2014</v>
      </c>
      <c r="M26" s="546">
        <f>(208587354730.23+4291895094.88)/1000000</f>
        <v>212879.24982511002</v>
      </c>
      <c r="N26" s="546">
        <v>0</v>
      </c>
      <c r="O26" s="552">
        <f>27505536402.69/1000000</f>
        <v>27505.536402689999</v>
      </c>
      <c r="P26" s="546">
        <f>(1284188960-7700000)/1000000</f>
        <v>1276.4889599999999</v>
      </c>
      <c r="Q26" s="552">
        <f>549599999.72/1000000</f>
        <v>549.59999972000003</v>
      </c>
      <c r="R26" s="546">
        <v>0</v>
      </c>
      <c r="S26" s="546">
        <f>((SUM('Cálculo masa impuestos copartic'!M26:R26)-'Cálculo masa impuestos copartic'!Q26-'Cálculo masa impuestos copartic'!N26)/(0.5666+0.007+0.014)+'Cálculo masa impuestos copartic'!Q26)/0.85</f>
        <v>484491.6913218986</v>
      </c>
      <c r="T26" s="546">
        <f>484507108010.66/1000000</f>
        <v>484507.10801065998</v>
      </c>
      <c r="U26" s="546">
        <f>'Cálculo masa impuestos copartic'!S26*0.15</f>
        <v>72673.753698284781</v>
      </c>
      <c r="V26" s="546">
        <v>72676.066207440002</v>
      </c>
      <c r="W26" s="546"/>
      <c r="X26" s="546">
        <f>'Cálculo masa impuestos copartic'!V26</f>
        <v>72676.066207440002</v>
      </c>
      <c r="Y26" s="547">
        <v>101131.55931548</v>
      </c>
    </row>
    <row r="27" spans="1:27" ht="17.25">
      <c r="B27" s="1">
        <f>'Cálculo masa impuestos copartic'!B26+1</f>
        <v>2017</v>
      </c>
      <c r="C27" s="555">
        <v>490632.5</v>
      </c>
      <c r="D27" s="556">
        <v>100370.7</v>
      </c>
      <c r="E27" s="556"/>
      <c r="F27" s="556"/>
      <c r="H27" s="310">
        <f>(('Cálculo masa impuestos copartic'!C27+'Cálculo masa impuestos copartic'!D27)/0.5666+45.8*12)/0.85</f>
        <v>1227787.2206972446</v>
      </c>
      <c r="I27" s="28">
        <f>'Cálculo masa impuestos copartic'!H27*0.15*1000</f>
        <v>184168083.10458669</v>
      </c>
      <c r="L27" s="541">
        <f>'Cálculo masa impuestos copartic'!L26+1</f>
        <v>2015</v>
      </c>
      <c r="M27" s="542">
        <f>(259248647596.92+4292283967)/1000000</f>
        <v>263540.93156391999</v>
      </c>
      <c r="N27" s="542">
        <v>0</v>
      </c>
      <c r="O27" s="542">
        <f>66412044005/1000000</f>
        <v>66412.044005000003</v>
      </c>
      <c r="P27" s="542">
        <f>(1284188976-7700000)/1000000</f>
        <v>1276.4889760000001</v>
      </c>
      <c r="Q27" s="542">
        <v>549.60000300000002</v>
      </c>
      <c r="R27" s="542">
        <v>0</v>
      </c>
      <c r="S27" s="542">
        <f>((SUM('Cálculo masa impuestos copartic'!M27:R27)-'Cálculo masa impuestos copartic'!Q27-'Cálculo masa impuestos copartic'!N27)/(0.5666+0.007+0.014)+'Cálculo masa impuestos copartic'!Q27)/0.85</f>
        <v>663821.7464995851</v>
      </c>
      <c r="T27" s="557">
        <f>659074930503.16/1000000</f>
        <v>659074.93050315999</v>
      </c>
      <c r="U27" s="542">
        <f>'Cálculo masa impuestos copartic'!S27*0.15</f>
        <v>99573.261974937763</v>
      </c>
      <c r="V27" s="542">
        <v>95600.316127979997</v>
      </c>
      <c r="W27" s="542"/>
      <c r="X27" s="542">
        <f>'Cálculo masa impuestos copartic'!V27</f>
        <v>95600.316127979997</v>
      </c>
      <c r="Y27" s="543">
        <f>(156468938.20796)/1000</f>
        <v>156468.93820796002</v>
      </c>
    </row>
    <row r="28" spans="1:27">
      <c r="L28" s="545">
        <f>'Cálculo masa impuestos copartic'!L27+1</f>
        <v>2016</v>
      </c>
      <c r="M28" s="546">
        <f>(22187140265+326105120119)/1000000</f>
        <v>348292.26038400002</v>
      </c>
      <c r="N28" s="546">
        <v>0</v>
      </c>
      <c r="O28" s="546">
        <f>87144442342/1000000</f>
        <v>87144.442341999995</v>
      </c>
      <c r="P28" s="546">
        <f>(1284189000)/1000000</f>
        <v>1284.1890000000001</v>
      </c>
      <c r="Q28" s="546">
        <v>549.6</v>
      </c>
      <c r="R28" s="546">
        <v>0</v>
      </c>
      <c r="S28" s="546">
        <f>((SUM('Cálculo masa impuestos copartic'!M28:R28)-'Cálculo masa impuestos copartic'!Q28-'Cálculo masa impuestos copartic'!N28)/(0.5666+0.007+0.0375)+'Cálculo masa impuestos copartic'!Q28)/(1-0.15)</f>
        <v>841407.97652449296</v>
      </c>
      <c r="T28" s="546">
        <f>843208681451/1000000</f>
        <v>843208.68145100004</v>
      </c>
      <c r="U28" s="546">
        <f>'Cálculo masa impuestos copartic'!S28*0.15</f>
        <v>126211.19647867394</v>
      </c>
      <c r="V28" s="546">
        <v>94898.639490000001</v>
      </c>
      <c r="W28" s="558">
        <f>31300557634/1000000</f>
        <v>31300.557634000001</v>
      </c>
      <c r="X28" s="546">
        <f>'Cálculo masa impuestos copartic'!V28+'Cálculo masa impuestos copartic'!W28</f>
        <v>126199.197124</v>
      </c>
      <c r="Y28" s="547">
        <f>(292815889687.8/1000)/1000</f>
        <v>292815.88968779997</v>
      </c>
      <c r="Z28" s="547"/>
      <c r="AA28" s="28"/>
    </row>
    <row r="29" spans="1:27">
      <c r="L29" s="541">
        <f>'Cálculo masa impuestos copartic'!L28+1</f>
        <v>2017</v>
      </c>
      <c r="M29" s="542">
        <f>(439921.109240854+29753.19313218)</f>
        <v>469674.30237303401</v>
      </c>
      <c r="N29" s="542">
        <v>0</v>
      </c>
      <c r="O29" s="542">
        <v>105976.92626897999</v>
      </c>
      <c r="P29" s="542">
        <f>(1284189004)/1000000</f>
        <v>1284.1890040000001</v>
      </c>
      <c r="Q29" s="542">
        <v>549.6</v>
      </c>
      <c r="R29" s="542">
        <v>0</v>
      </c>
      <c r="S29" s="542">
        <f>((SUM('Cálculo masa impuestos copartic'!M29:R29)-'Cálculo masa impuestos copartic'!Q29-'Cálculo masa impuestos copartic'!N29)/(0.5666+0.007+0.0375)+'Cálculo masa impuestos copartic'!Q29)/0.85</f>
        <v>1111344.5921164611</v>
      </c>
      <c r="T29" s="542">
        <f>1110264.73432374</f>
        <v>1110264.73432374</v>
      </c>
      <c r="U29" s="542">
        <f>'Cálculo masa impuestos copartic'!S29*0.15</f>
        <v>166701.68881746917</v>
      </c>
      <c r="V29" s="542">
        <v>88483.662235423399</v>
      </c>
      <c r="W29" s="542">
        <f>77978.3298140266</f>
        <v>77978.329814026598</v>
      </c>
      <c r="X29" s="542">
        <f>'Cálculo masa impuestos copartic'!V29+'Cálculo masa impuestos copartic'!W29</f>
        <v>166461.99204945</v>
      </c>
      <c r="Y29" s="543">
        <f>'Cuenta Ahorro-Inversión-Financi'!AG33/1000</f>
        <v>377160.73908846005</v>
      </c>
    </row>
    <row r="30" spans="1:27">
      <c r="L30" s="545">
        <f>'Cálculo masa impuestos copartic'!L29+1</f>
        <v>2018</v>
      </c>
      <c r="M30" s="546">
        <f>719793.8+44551.8</f>
        <v>764345.60000000009</v>
      </c>
      <c r="N30" s="546">
        <v>0</v>
      </c>
      <c r="O30" s="546">
        <v>134383.20000000001</v>
      </c>
      <c r="P30" s="546">
        <f>P29</f>
        <v>1284.1890040000001</v>
      </c>
      <c r="Q30" s="546">
        <f>Q29</f>
        <v>549.6</v>
      </c>
      <c r="R30" s="546">
        <f>R29</f>
        <v>0</v>
      </c>
      <c r="S30" s="546">
        <f>((SUM('Cálculo masa impuestos copartic'!M30:R30)-'Cálculo masa impuestos copartic'!Q30-'Cálculo masa impuestos copartic'!N30)/(0.5666+0.007+0.0375)+'Cálculo masa impuestos copartic'!Q30)/0.85</f>
        <v>1733323.4178751919</v>
      </c>
      <c r="T30" s="546">
        <v>1737873.8</v>
      </c>
      <c r="U30" s="546">
        <f>'Cálculo masa impuestos copartic'!S30*0.15</f>
        <v>259998.51268127878</v>
      </c>
      <c r="V30" s="546">
        <v>92288.6</v>
      </c>
      <c r="W30" s="546">
        <v>168141.7</v>
      </c>
      <c r="X30" s="546">
        <f>'Cálculo masa impuestos copartic'!V30+'Cálculo masa impuestos copartic'!W30</f>
        <v>260430.30000000002</v>
      </c>
      <c r="Y30" s="547">
        <f>'Cuenta Ahorro-Inversión-Financi'!AG34/1000</f>
        <v>382990.76633838</v>
      </c>
    </row>
    <row r="33" spans="14:20" ht="16.5">
      <c r="N33" s="559"/>
      <c r="T33" s="560"/>
    </row>
    <row r="35" spans="14:20" ht="16.5">
      <c r="N35" s="5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19"/>
  <sheetViews>
    <sheetView topLeftCell="AT89" zoomScale="95" zoomScaleNormal="95" workbookViewId="0">
      <selection activeCell="AZ107" sqref="AZ107"/>
    </sheetView>
    <sheetView tabSelected="1" topLeftCell="AW87" zoomScale="85" zoomScaleNormal="85" workbookViewId="1">
      <selection activeCell="AZ96" sqref="AZ96"/>
    </sheetView>
  </sheetViews>
  <sheetFormatPr baseColWidth="10" defaultColWidth="11.5703125" defaultRowHeight="15"/>
  <cols>
    <col min="1" max="5" width="11.5703125" style="1"/>
    <col min="6" max="6" width="24" style="1" customWidth="1"/>
    <col min="7" max="7" width="18.5703125" style="1" customWidth="1"/>
    <col min="8" max="8" width="19.85546875" style="1" customWidth="1"/>
    <col min="9" max="9" width="15.5703125" style="1" customWidth="1"/>
    <col min="10" max="10" width="14.7109375" style="1" customWidth="1"/>
    <col min="11" max="11" width="12.85546875" style="1" customWidth="1"/>
    <col min="12" max="12" width="27" style="1" customWidth="1"/>
    <col min="13" max="13" width="26" style="1" customWidth="1"/>
    <col min="14" max="14" width="15.28515625" style="1" customWidth="1"/>
    <col min="15" max="15" width="17.85546875" style="1" customWidth="1"/>
    <col min="16" max="16" width="16.5703125" style="1" customWidth="1"/>
    <col min="17" max="17" width="15" style="1" customWidth="1"/>
    <col min="18" max="18" width="13.5703125" style="1" customWidth="1"/>
    <col min="19" max="19" width="24" style="1" customWidth="1"/>
    <col min="20" max="20" width="15.140625" style="1" customWidth="1"/>
    <col min="21" max="21" width="15.85546875" style="1" customWidth="1"/>
    <col min="22" max="23" width="18.7109375" style="1" customWidth="1"/>
    <col min="24" max="24" width="15.28515625" style="1" customWidth="1"/>
    <col min="25" max="25" width="17.5703125" style="1" customWidth="1"/>
    <col min="26" max="26" width="19.7109375" style="1" customWidth="1"/>
    <col min="27" max="27" width="14.7109375" style="1" customWidth="1"/>
    <col min="28" max="28" width="19.140625" style="1" customWidth="1"/>
    <col min="29" max="29" width="21.7109375" style="1" customWidth="1"/>
    <col min="30" max="30" width="16.85546875" style="1" customWidth="1"/>
    <col min="31" max="31" width="14.7109375" style="1" customWidth="1"/>
    <col min="32" max="32" width="22.5703125" style="1" customWidth="1"/>
    <col min="33" max="33" width="26" style="1" customWidth="1"/>
    <col min="34" max="34" width="34.7109375" style="1" customWidth="1"/>
    <col min="35" max="35" width="23.85546875" style="1" customWidth="1"/>
    <col min="36" max="36" width="16.5703125" style="1" customWidth="1"/>
    <col min="37" max="37" width="12" style="1" customWidth="1"/>
    <col min="38" max="38" width="14.5703125" style="1" customWidth="1"/>
    <col min="39" max="39" width="16" style="1" customWidth="1"/>
    <col min="40" max="40" width="14.28515625" style="1" customWidth="1"/>
    <col min="41" max="41" width="15.5703125" style="1" customWidth="1"/>
    <col min="42" max="42" width="27.28515625" style="1" customWidth="1"/>
    <col min="43" max="43" width="15.85546875" style="1" customWidth="1"/>
    <col min="44" max="44" width="33.140625" style="1" customWidth="1"/>
    <col min="45" max="45" width="18.28515625" style="1" customWidth="1"/>
    <col min="46" max="46" width="19.85546875" style="1" customWidth="1"/>
    <col min="47" max="47" width="19.5703125" style="1" customWidth="1"/>
    <col min="48" max="48" width="21.28515625" style="1" customWidth="1"/>
    <col min="49" max="49" width="27" style="1" customWidth="1"/>
    <col min="50" max="50" width="18.28515625" style="1" customWidth="1"/>
    <col min="51" max="51" width="22.5703125" style="1" customWidth="1"/>
    <col min="52" max="52" width="18.85546875" style="1" customWidth="1"/>
    <col min="53" max="53" width="14.7109375" style="1" customWidth="1"/>
    <col min="54" max="54" width="20.140625" style="1" customWidth="1"/>
    <col min="55" max="55" width="15.140625" style="1" customWidth="1"/>
    <col min="56" max="56" width="24.140625" style="1" customWidth="1"/>
    <col min="57" max="57" width="15.7109375" style="1" customWidth="1"/>
    <col min="58" max="58" width="15.28515625" style="1" customWidth="1"/>
    <col min="59" max="59" width="16.7109375" style="1" customWidth="1"/>
    <col min="60" max="60" width="15.140625" style="1" customWidth="1"/>
    <col min="61" max="61" width="15.28515625" style="1" customWidth="1"/>
    <col min="62" max="62" width="22.5703125" style="1" customWidth="1"/>
    <col min="63" max="63" width="18.85546875" style="1" customWidth="1"/>
    <col min="64" max="64" width="25" style="1" customWidth="1"/>
    <col min="65" max="65" width="26.140625" style="1" customWidth="1"/>
    <col min="66" max="67" width="24.140625" style="1" customWidth="1"/>
    <col min="68" max="68" width="23.140625" style="1" customWidth="1"/>
    <col min="69" max="82" width="16.140625" style="1" customWidth="1"/>
    <col min="83" max="83" width="37.28515625" style="1" customWidth="1"/>
    <col min="84" max="84" width="28.85546875" style="1" customWidth="1"/>
    <col min="85" max="86" width="15.28515625" style="1" customWidth="1"/>
    <col min="87" max="87" width="16.85546875" style="1" customWidth="1"/>
    <col min="88" max="88" width="25.42578125" style="1" customWidth="1"/>
    <col min="89" max="89" width="14.42578125" style="1" customWidth="1"/>
    <col min="90" max="90" width="18" style="1" customWidth="1"/>
    <col min="91" max="94" width="13.28515625" style="1" customWidth="1"/>
    <col min="95" max="95" width="14.5703125" style="1" customWidth="1"/>
    <col min="96" max="96" width="13.28515625" style="1" customWidth="1"/>
    <col min="97" max="97" width="14.28515625" style="1" customWidth="1"/>
    <col min="98" max="98" width="14.7109375" style="1" customWidth="1"/>
    <col min="99" max="99" width="13.28515625" style="1" customWidth="1"/>
    <col min="100" max="102" width="13.85546875" style="1" customWidth="1"/>
    <col min="103" max="103" width="15.85546875" style="1" customWidth="1"/>
    <col min="104" max="104" width="14.28515625" style="1" customWidth="1"/>
    <col min="105" max="105" width="15" style="1" customWidth="1"/>
    <col min="106" max="107" width="14.28515625" style="1" customWidth="1"/>
    <col min="108" max="109" width="16.42578125" style="1" customWidth="1"/>
    <col min="110" max="110" width="19.42578125" style="1" customWidth="1"/>
    <col min="111" max="115" width="11.5703125" style="1"/>
    <col min="116" max="116" width="19.85546875" style="1" customWidth="1"/>
    <col min="117" max="262" width="11.5703125" style="1"/>
    <col min="263" max="263" width="18.7109375" style="1" customWidth="1"/>
    <col min="264" max="264" width="14.7109375" style="1" customWidth="1"/>
    <col min="265" max="265" width="19.85546875" style="1" customWidth="1"/>
    <col min="266" max="266" width="15.5703125" style="1" customWidth="1"/>
    <col min="267" max="267" width="14.7109375" style="1" customWidth="1"/>
    <col min="268" max="268" width="12.85546875" style="1" customWidth="1"/>
    <col min="269" max="269" width="27" style="1" customWidth="1"/>
    <col min="270" max="270" width="26" style="1" customWidth="1"/>
    <col min="271" max="271" width="15.28515625" style="1" customWidth="1"/>
    <col min="272" max="272" width="17.85546875" style="1" customWidth="1"/>
    <col min="273" max="273" width="16.5703125" style="1" customWidth="1"/>
    <col min="274" max="274" width="15" style="1" customWidth="1"/>
    <col min="275" max="275" width="13.5703125" style="1" customWidth="1"/>
    <col min="276" max="276" width="24" style="1" customWidth="1"/>
    <col min="277" max="277" width="15.140625" style="1" customWidth="1"/>
    <col min="278" max="278" width="15.85546875" style="1" customWidth="1"/>
    <col min="279" max="280" width="18.7109375" style="1" customWidth="1"/>
    <col min="281" max="281" width="15.28515625" style="1" customWidth="1"/>
    <col min="282" max="282" width="17.5703125" style="1" customWidth="1"/>
    <col min="283" max="283" width="19.7109375" style="1" customWidth="1"/>
    <col min="284" max="284" width="14.7109375" style="1" customWidth="1"/>
    <col min="285" max="285" width="19.140625" style="1" customWidth="1"/>
    <col min="286" max="286" width="21.7109375" style="1" customWidth="1"/>
    <col min="287" max="287" width="16.85546875" style="1" customWidth="1"/>
    <col min="288" max="288" width="14.7109375" style="1" customWidth="1"/>
    <col min="289" max="289" width="22.5703125" style="1" customWidth="1"/>
    <col min="290" max="290" width="26" style="1" customWidth="1"/>
    <col min="291" max="291" width="34.7109375" style="1" customWidth="1"/>
    <col min="292" max="292" width="23.85546875" style="1" customWidth="1"/>
    <col min="293" max="294" width="12" style="1" customWidth="1"/>
    <col min="295" max="295" width="14.5703125" style="1" customWidth="1"/>
    <col min="296" max="296" width="16" style="1" customWidth="1"/>
    <col min="297" max="297" width="14.28515625" style="1" customWidth="1"/>
    <col min="298" max="298" width="15.5703125" style="1" customWidth="1"/>
    <col min="299" max="299" width="27.28515625" style="1" customWidth="1"/>
    <col min="300" max="300" width="15.85546875" style="1" customWidth="1"/>
    <col min="301" max="301" width="14.85546875" style="1" customWidth="1"/>
    <col min="302" max="302" width="18.28515625" style="1" customWidth="1"/>
    <col min="303" max="303" width="19.85546875" style="1" customWidth="1"/>
    <col min="304" max="304" width="19.5703125" style="1" customWidth="1"/>
    <col min="305" max="305" width="21.28515625" style="1" customWidth="1"/>
    <col min="306" max="306" width="17.85546875" style="1" customWidth="1"/>
    <col min="307" max="307" width="18.28515625" style="1" customWidth="1"/>
    <col min="308" max="309" width="18.85546875" style="1" customWidth="1"/>
    <col min="310" max="310" width="14.7109375" style="1" customWidth="1"/>
    <col min="311" max="311" width="20.140625" style="1" customWidth="1"/>
    <col min="312" max="312" width="15.140625" style="1" customWidth="1"/>
    <col min="313" max="313" width="24.140625" style="1" customWidth="1"/>
    <col min="314" max="314" width="14.85546875" style="1" customWidth="1"/>
    <col min="315" max="315" width="15.28515625" style="1" customWidth="1"/>
    <col min="316" max="316" width="16.7109375" style="1" customWidth="1"/>
    <col min="317" max="317" width="15.140625" style="1" customWidth="1"/>
    <col min="318" max="318" width="15.28515625" style="1" customWidth="1"/>
    <col min="319" max="319" width="22.5703125" style="1" customWidth="1"/>
    <col min="320" max="320" width="18.85546875" style="1" customWidth="1"/>
    <col min="321" max="321" width="25" style="1" customWidth="1"/>
    <col min="322" max="322" width="26.140625" style="1" customWidth="1"/>
    <col min="323" max="324" width="24.140625" style="1" customWidth="1"/>
    <col min="325" max="325" width="23.140625" style="1" customWidth="1"/>
    <col min="326" max="339" width="16.140625" style="1" customWidth="1"/>
    <col min="340" max="340" width="37.28515625" style="1" customWidth="1"/>
    <col min="341" max="341" width="28.85546875" style="1" customWidth="1"/>
    <col min="342" max="343" width="15.28515625" style="1" customWidth="1"/>
    <col min="344" max="344" width="14" style="1" customWidth="1"/>
    <col min="345" max="345" width="14.42578125" style="1" customWidth="1"/>
    <col min="346" max="350" width="13.28515625" style="1" customWidth="1"/>
    <col min="351" max="351" width="14.5703125" style="1" customWidth="1"/>
    <col min="352" max="352" width="13.28515625" style="1" customWidth="1"/>
    <col min="353" max="353" width="14.28515625" style="1" customWidth="1"/>
    <col min="354" max="354" width="14.7109375" style="1" customWidth="1"/>
    <col min="355" max="355" width="13.28515625" style="1" customWidth="1"/>
    <col min="356" max="358" width="13.85546875" style="1" customWidth="1"/>
    <col min="359" max="359" width="15.85546875" style="1" customWidth="1"/>
    <col min="360" max="360" width="14.28515625" style="1" customWidth="1"/>
    <col min="361" max="361" width="15" style="1" customWidth="1"/>
    <col min="362" max="363" width="14.28515625" style="1" customWidth="1"/>
    <col min="364" max="365" width="16.42578125" style="1" customWidth="1"/>
    <col min="366" max="371" width="11.5703125" style="1"/>
    <col min="372" max="372" width="19.85546875" style="1" customWidth="1"/>
    <col min="373" max="518" width="11.5703125" style="1"/>
    <col min="519" max="519" width="18.7109375" style="1" customWidth="1"/>
    <col min="520" max="520" width="14.7109375" style="1" customWidth="1"/>
    <col min="521" max="521" width="19.85546875" style="1" customWidth="1"/>
    <col min="522" max="522" width="15.5703125" style="1" customWidth="1"/>
    <col min="523" max="523" width="14.7109375" style="1" customWidth="1"/>
    <col min="524" max="524" width="12.85546875" style="1" customWidth="1"/>
    <col min="525" max="525" width="27" style="1" customWidth="1"/>
    <col min="526" max="526" width="26" style="1" customWidth="1"/>
    <col min="527" max="527" width="15.28515625" style="1" customWidth="1"/>
    <col min="528" max="528" width="17.85546875" style="1" customWidth="1"/>
    <col min="529" max="529" width="16.5703125" style="1" customWidth="1"/>
    <col min="530" max="530" width="15" style="1" customWidth="1"/>
    <col min="531" max="531" width="13.5703125" style="1" customWidth="1"/>
    <col min="532" max="532" width="24" style="1" customWidth="1"/>
    <col min="533" max="533" width="15.140625" style="1" customWidth="1"/>
    <col min="534" max="534" width="15.85546875" style="1" customWidth="1"/>
    <col min="535" max="536" width="18.7109375" style="1" customWidth="1"/>
    <col min="537" max="537" width="15.28515625" style="1" customWidth="1"/>
    <col min="538" max="538" width="17.5703125" style="1" customWidth="1"/>
    <col min="539" max="539" width="19.7109375" style="1" customWidth="1"/>
    <col min="540" max="540" width="14.7109375" style="1" customWidth="1"/>
    <col min="541" max="541" width="19.140625" style="1" customWidth="1"/>
    <col min="542" max="542" width="21.7109375" style="1" customWidth="1"/>
    <col min="543" max="543" width="16.85546875" style="1" customWidth="1"/>
    <col min="544" max="544" width="14.7109375" style="1" customWidth="1"/>
    <col min="545" max="545" width="22.5703125" style="1" customWidth="1"/>
    <col min="546" max="546" width="26" style="1" customWidth="1"/>
    <col min="547" max="547" width="34.7109375" style="1" customWidth="1"/>
    <col min="548" max="548" width="23.85546875" style="1" customWidth="1"/>
    <col min="549" max="550" width="12" style="1" customWidth="1"/>
    <col min="551" max="551" width="14.5703125" style="1" customWidth="1"/>
    <col min="552" max="552" width="16" style="1" customWidth="1"/>
    <col min="553" max="553" width="14.28515625" style="1" customWidth="1"/>
    <col min="554" max="554" width="15.5703125" style="1" customWidth="1"/>
    <col min="555" max="555" width="27.28515625" style="1" customWidth="1"/>
    <col min="556" max="556" width="15.85546875" style="1" customWidth="1"/>
    <col min="557" max="557" width="14.85546875" style="1" customWidth="1"/>
    <col min="558" max="558" width="18.28515625" style="1" customWidth="1"/>
    <col min="559" max="559" width="19.85546875" style="1" customWidth="1"/>
    <col min="560" max="560" width="19.5703125" style="1" customWidth="1"/>
    <col min="561" max="561" width="21.28515625" style="1" customWidth="1"/>
    <col min="562" max="562" width="17.85546875" style="1" customWidth="1"/>
    <col min="563" max="563" width="18.28515625" style="1" customWidth="1"/>
    <col min="564" max="565" width="18.85546875" style="1" customWidth="1"/>
    <col min="566" max="566" width="14.7109375" style="1" customWidth="1"/>
    <col min="567" max="567" width="20.140625" style="1" customWidth="1"/>
    <col min="568" max="568" width="15.140625" style="1" customWidth="1"/>
    <col min="569" max="569" width="24.140625" style="1" customWidth="1"/>
    <col min="570" max="570" width="14.85546875" style="1" customWidth="1"/>
    <col min="571" max="571" width="15.28515625" style="1" customWidth="1"/>
    <col min="572" max="572" width="16.7109375" style="1" customWidth="1"/>
    <col min="573" max="573" width="15.140625" style="1" customWidth="1"/>
    <col min="574" max="574" width="15.28515625" style="1" customWidth="1"/>
    <col min="575" max="575" width="22.5703125" style="1" customWidth="1"/>
    <col min="576" max="576" width="18.85546875" style="1" customWidth="1"/>
    <col min="577" max="577" width="25" style="1" customWidth="1"/>
    <col min="578" max="578" width="26.140625" style="1" customWidth="1"/>
    <col min="579" max="580" width="24.140625" style="1" customWidth="1"/>
    <col min="581" max="581" width="23.140625" style="1" customWidth="1"/>
    <col min="582" max="595" width="16.140625" style="1" customWidth="1"/>
    <col min="596" max="596" width="37.28515625" style="1" customWidth="1"/>
    <col min="597" max="597" width="28.85546875" style="1" customWidth="1"/>
    <col min="598" max="599" width="15.28515625" style="1" customWidth="1"/>
    <col min="600" max="600" width="14" style="1" customWidth="1"/>
    <col min="601" max="601" width="14.42578125" style="1" customWidth="1"/>
    <col min="602" max="606" width="13.28515625" style="1" customWidth="1"/>
    <col min="607" max="607" width="14.5703125" style="1" customWidth="1"/>
    <col min="608" max="608" width="13.28515625" style="1" customWidth="1"/>
    <col min="609" max="609" width="14.28515625" style="1" customWidth="1"/>
    <col min="610" max="610" width="14.7109375" style="1" customWidth="1"/>
    <col min="611" max="611" width="13.28515625" style="1" customWidth="1"/>
    <col min="612" max="614" width="13.85546875" style="1" customWidth="1"/>
    <col min="615" max="615" width="15.85546875" style="1" customWidth="1"/>
    <col min="616" max="616" width="14.28515625" style="1" customWidth="1"/>
    <col min="617" max="617" width="15" style="1" customWidth="1"/>
    <col min="618" max="619" width="14.28515625" style="1" customWidth="1"/>
    <col min="620" max="621" width="16.42578125" style="1" customWidth="1"/>
    <col min="622" max="627" width="11.5703125" style="1"/>
    <col min="628" max="628" width="19.85546875" style="1" customWidth="1"/>
    <col min="629" max="774" width="11.5703125" style="1"/>
    <col min="775" max="775" width="18.7109375" style="1" customWidth="1"/>
    <col min="776" max="776" width="14.7109375" style="1" customWidth="1"/>
    <col min="777" max="777" width="19.85546875" style="1" customWidth="1"/>
    <col min="778" max="778" width="15.5703125" style="1" customWidth="1"/>
    <col min="779" max="779" width="14.7109375" style="1" customWidth="1"/>
    <col min="780" max="780" width="12.85546875" style="1" customWidth="1"/>
    <col min="781" max="781" width="27" style="1" customWidth="1"/>
    <col min="782" max="782" width="26" style="1" customWidth="1"/>
    <col min="783" max="783" width="15.28515625" style="1" customWidth="1"/>
    <col min="784" max="784" width="17.85546875" style="1" customWidth="1"/>
    <col min="785" max="785" width="16.5703125" style="1" customWidth="1"/>
    <col min="786" max="786" width="15" style="1" customWidth="1"/>
    <col min="787" max="787" width="13.5703125" style="1" customWidth="1"/>
    <col min="788" max="788" width="24" style="1" customWidth="1"/>
    <col min="789" max="789" width="15.140625" style="1" customWidth="1"/>
    <col min="790" max="790" width="15.85546875" style="1" customWidth="1"/>
    <col min="791" max="792" width="18.7109375" style="1" customWidth="1"/>
    <col min="793" max="793" width="15.28515625" style="1" customWidth="1"/>
    <col min="794" max="794" width="17.5703125" style="1" customWidth="1"/>
    <col min="795" max="795" width="19.7109375" style="1" customWidth="1"/>
    <col min="796" max="796" width="14.7109375" style="1" customWidth="1"/>
    <col min="797" max="797" width="19.140625" style="1" customWidth="1"/>
    <col min="798" max="798" width="21.7109375" style="1" customWidth="1"/>
    <col min="799" max="799" width="16.85546875" style="1" customWidth="1"/>
    <col min="800" max="800" width="14.7109375" style="1" customWidth="1"/>
    <col min="801" max="801" width="22.5703125" style="1" customWidth="1"/>
    <col min="802" max="802" width="26" style="1" customWidth="1"/>
    <col min="803" max="803" width="34.7109375" style="1" customWidth="1"/>
    <col min="804" max="804" width="23.85546875" style="1" customWidth="1"/>
    <col min="805" max="806" width="12" style="1" customWidth="1"/>
    <col min="807" max="807" width="14.5703125" style="1" customWidth="1"/>
    <col min="808" max="808" width="16" style="1" customWidth="1"/>
    <col min="809" max="809" width="14.28515625" style="1" customWidth="1"/>
    <col min="810" max="810" width="15.5703125" style="1" customWidth="1"/>
    <col min="811" max="811" width="27.28515625" style="1" customWidth="1"/>
    <col min="812" max="812" width="15.85546875" style="1" customWidth="1"/>
    <col min="813" max="813" width="14.85546875" style="1" customWidth="1"/>
    <col min="814" max="814" width="18.28515625" style="1" customWidth="1"/>
    <col min="815" max="815" width="19.85546875" style="1" customWidth="1"/>
    <col min="816" max="816" width="19.5703125" style="1" customWidth="1"/>
    <col min="817" max="817" width="21.28515625" style="1" customWidth="1"/>
    <col min="818" max="818" width="17.85546875" style="1" customWidth="1"/>
    <col min="819" max="819" width="18.28515625" style="1" customWidth="1"/>
    <col min="820" max="821" width="18.85546875" style="1" customWidth="1"/>
    <col min="822" max="822" width="14.7109375" style="1" customWidth="1"/>
    <col min="823" max="823" width="20.140625" style="1" customWidth="1"/>
    <col min="824" max="824" width="15.140625" style="1" customWidth="1"/>
    <col min="825" max="825" width="24.140625" style="1" customWidth="1"/>
    <col min="826" max="826" width="14.85546875" style="1" customWidth="1"/>
    <col min="827" max="827" width="15.28515625" style="1" customWidth="1"/>
    <col min="828" max="828" width="16.7109375" style="1" customWidth="1"/>
    <col min="829" max="829" width="15.140625" style="1" customWidth="1"/>
    <col min="830" max="830" width="15.28515625" style="1" customWidth="1"/>
    <col min="831" max="831" width="22.5703125" style="1" customWidth="1"/>
    <col min="832" max="832" width="18.85546875" style="1" customWidth="1"/>
    <col min="833" max="833" width="25" style="1" customWidth="1"/>
    <col min="834" max="834" width="26.140625" style="1" customWidth="1"/>
    <col min="835" max="836" width="24.140625" style="1" customWidth="1"/>
    <col min="837" max="837" width="23.140625" style="1" customWidth="1"/>
    <col min="838" max="851" width="16.140625" style="1" customWidth="1"/>
    <col min="852" max="852" width="37.28515625" style="1" customWidth="1"/>
    <col min="853" max="853" width="28.85546875" style="1" customWidth="1"/>
    <col min="854" max="855" width="15.28515625" style="1" customWidth="1"/>
    <col min="856" max="856" width="14" style="1" customWidth="1"/>
    <col min="857" max="857" width="14.42578125" style="1" customWidth="1"/>
    <col min="858" max="862" width="13.28515625" style="1" customWidth="1"/>
    <col min="863" max="863" width="14.5703125" style="1" customWidth="1"/>
    <col min="864" max="864" width="13.28515625" style="1" customWidth="1"/>
    <col min="865" max="865" width="14.28515625" style="1" customWidth="1"/>
    <col min="866" max="866" width="14.7109375" style="1" customWidth="1"/>
    <col min="867" max="867" width="13.28515625" style="1" customWidth="1"/>
    <col min="868" max="870" width="13.85546875" style="1" customWidth="1"/>
    <col min="871" max="871" width="15.85546875" style="1" customWidth="1"/>
    <col min="872" max="872" width="14.28515625" style="1" customWidth="1"/>
    <col min="873" max="873" width="15" style="1" customWidth="1"/>
    <col min="874" max="875" width="14.28515625" style="1" customWidth="1"/>
    <col min="876" max="877" width="16.42578125" style="1" customWidth="1"/>
    <col min="878" max="883" width="11.5703125" style="1"/>
    <col min="884" max="884" width="19.85546875" style="1" customWidth="1"/>
    <col min="885" max="1025" width="11.5703125" style="1"/>
  </cols>
  <sheetData>
    <row r="1" spans="2:128" ht="14.45" customHeight="1">
      <c r="Y1" s="1" t="s">
        <v>751</v>
      </c>
    </row>
    <row r="2" spans="2:128" ht="51.75" customHeight="1">
      <c r="F2" s="809" t="s">
        <v>752</v>
      </c>
      <c r="G2" s="809"/>
      <c r="H2" s="809"/>
      <c r="I2" s="809"/>
      <c r="J2" s="809"/>
      <c r="K2" s="809"/>
      <c r="L2" s="809"/>
      <c r="M2" s="809"/>
      <c r="N2" s="809"/>
      <c r="O2" s="809"/>
      <c r="P2" s="809"/>
      <c r="Q2" s="809"/>
      <c r="X2" s="1" t="s">
        <v>753</v>
      </c>
      <c r="Y2" s="561" t="s">
        <v>754</v>
      </c>
      <c r="BC2" s="562"/>
      <c r="BD2" s="563">
        <f>BM11/BE11</f>
        <v>9.9839925254059103E-2</v>
      </c>
      <c r="CU2" s="828" t="s">
        <v>755</v>
      </c>
      <c r="CV2" s="828"/>
      <c r="CW2" s="828"/>
      <c r="CX2" s="828"/>
      <c r="CY2" s="828"/>
      <c r="CZ2" s="564" t="s">
        <v>756</v>
      </c>
      <c r="DA2" s="565"/>
      <c r="DB2" s="566"/>
      <c r="DC2" s="829" t="s">
        <v>757</v>
      </c>
      <c r="DD2" s="829"/>
      <c r="DE2" s="829"/>
    </row>
    <row r="3" spans="2:128" ht="15.75" customHeight="1">
      <c r="F3" s="1" t="s">
        <v>758</v>
      </c>
      <c r="W3" s="454" t="s">
        <v>759</v>
      </c>
      <c r="X3" s="1" t="s">
        <v>760</v>
      </c>
      <c r="Y3" s="561" t="s">
        <v>761</v>
      </c>
      <c r="AX3" s="562"/>
      <c r="BB3" s="567">
        <v>440721</v>
      </c>
      <c r="BC3" s="562"/>
      <c r="BH3" s="568"/>
      <c r="BQ3" s="569"/>
      <c r="CU3" s="828"/>
      <c r="CV3" s="828"/>
      <c r="CW3" s="828"/>
      <c r="CX3" s="828"/>
      <c r="CY3" s="828"/>
      <c r="CZ3" s="570"/>
      <c r="DA3" s="571"/>
      <c r="DB3" s="572"/>
      <c r="DC3" s="829"/>
      <c r="DD3" s="829"/>
      <c r="DE3" s="829"/>
    </row>
    <row r="4" spans="2:128" ht="15.75" customHeight="1">
      <c r="F4" s="573" t="s">
        <v>762</v>
      </c>
      <c r="AN4" s="1" t="s">
        <v>763</v>
      </c>
      <c r="AX4" s="562"/>
      <c r="BB4" s="574">
        <v>14330739</v>
      </c>
      <c r="BC4" s="1">
        <f>BM9/BE9</f>
        <v>0.22118059707808355</v>
      </c>
      <c r="BD4" s="1">
        <f>BC5</f>
        <v>0.22024523998957307</v>
      </c>
      <c r="CU4" s="828"/>
      <c r="CV4" s="828"/>
      <c r="CW4" s="828"/>
      <c r="CX4" s="828"/>
      <c r="CY4" s="828"/>
      <c r="CZ4" s="575" t="s">
        <v>764</v>
      </c>
      <c r="DA4" s="571"/>
      <c r="DB4" s="572"/>
      <c r="DC4" s="829"/>
      <c r="DD4" s="829"/>
      <c r="DE4" s="829"/>
    </row>
    <row r="5" spans="2:128" ht="14.45" customHeight="1">
      <c r="M5" s="1">
        <v>1000</v>
      </c>
      <c r="AN5" s="1" t="s">
        <v>765</v>
      </c>
      <c r="BB5" s="576">
        <f>BB4+BB3</f>
        <v>14771460</v>
      </c>
      <c r="BC5" s="1">
        <f>BM10/BE10</f>
        <v>0.22024523998957307</v>
      </c>
      <c r="CU5" s="577"/>
      <c r="CV5" s="17"/>
      <c r="CW5" s="17"/>
      <c r="CX5" s="17" t="s">
        <v>766</v>
      </c>
      <c r="CY5" s="17"/>
      <c r="CZ5" s="570"/>
      <c r="DA5" s="571"/>
      <c r="DB5" s="572"/>
      <c r="DC5" s="572" t="s">
        <v>767</v>
      </c>
      <c r="DD5" s="572"/>
      <c r="DE5" s="578"/>
    </row>
    <row r="6" spans="2:128" ht="14.45" customHeight="1">
      <c r="S6" s="1" t="s">
        <v>768</v>
      </c>
      <c r="BD6" s="1" t="s">
        <v>769</v>
      </c>
      <c r="BY6" s="1" t="s">
        <v>770</v>
      </c>
      <c r="CI6" s="1" t="s">
        <v>771</v>
      </c>
      <c r="CJ6" s="1" t="s">
        <v>772</v>
      </c>
      <c r="CK6" s="1" t="s">
        <v>773</v>
      </c>
      <c r="CU6" s="577"/>
      <c r="CV6" s="17"/>
      <c r="CW6" s="17"/>
      <c r="CX6" s="17"/>
      <c r="CY6" s="17"/>
      <c r="CZ6" s="570"/>
      <c r="DA6" s="571"/>
      <c r="DB6" s="572"/>
      <c r="DC6" s="572"/>
      <c r="DD6" s="572"/>
      <c r="DE6" s="578"/>
      <c r="DU6" s="1" t="s">
        <v>774</v>
      </c>
    </row>
    <row r="7" spans="2:128" ht="14.45" customHeight="1">
      <c r="E7" s="830" t="s">
        <v>775</v>
      </c>
      <c r="F7" s="827" t="s">
        <v>776</v>
      </c>
      <c r="G7" s="826" t="s">
        <v>777</v>
      </c>
      <c r="H7" s="823" t="s">
        <v>778</v>
      </c>
      <c r="I7" s="823" t="s">
        <v>779</v>
      </c>
      <c r="J7" s="823" t="s">
        <v>780</v>
      </c>
      <c r="K7" s="826" t="s">
        <v>781</v>
      </c>
      <c r="L7" s="831" t="s">
        <v>782</v>
      </c>
      <c r="M7" s="826" t="s">
        <v>783</v>
      </c>
      <c r="N7" s="826" t="s">
        <v>784</v>
      </c>
      <c r="O7" s="823" t="s">
        <v>785</v>
      </c>
      <c r="P7" s="826" t="s">
        <v>786</v>
      </c>
      <c r="Q7" s="823" t="s">
        <v>787</v>
      </c>
      <c r="R7" s="826" t="s">
        <v>788</v>
      </c>
      <c r="S7" s="832" t="s">
        <v>789</v>
      </c>
      <c r="T7" s="823" t="s">
        <v>790</v>
      </c>
      <c r="U7" s="823" t="s">
        <v>791</v>
      </c>
      <c r="V7" s="823" t="s">
        <v>792</v>
      </c>
      <c r="W7" s="826" t="s">
        <v>793</v>
      </c>
      <c r="X7" s="823" t="s">
        <v>794</v>
      </c>
      <c r="Y7" s="823" t="s">
        <v>795</v>
      </c>
      <c r="Z7" s="826" t="s">
        <v>796</v>
      </c>
      <c r="AA7" s="823" t="s">
        <v>797</v>
      </c>
      <c r="AB7" s="823" t="s">
        <v>798</v>
      </c>
      <c r="AC7" s="827" t="s">
        <v>799</v>
      </c>
      <c r="AD7" s="826" t="s">
        <v>800</v>
      </c>
      <c r="AE7" s="826" t="s">
        <v>801</v>
      </c>
      <c r="AF7" s="827" t="s">
        <v>802</v>
      </c>
      <c r="AG7" s="827" t="s">
        <v>803</v>
      </c>
      <c r="AH7" s="826" t="s">
        <v>804</v>
      </c>
      <c r="AI7" s="825" t="s">
        <v>805</v>
      </c>
      <c r="AJ7" s="826" t="s">
        <v>806</v>
      </c>
      <c r="AK7" s="826" t="s">
        <v>807</v>
      </c>
      <c r="AL7" s="826" t="s">
        <v>808</v>
      </c>
      <c r="AM7" s="826" t="s">
        <v>809</v>
      </c>
      <c r="AN7" s="826" t="s">
        <v>810</v>
      </c>
      <c r="AO7" s="826" t="s">
        <v>811</v>
      </c>
      <c r="AP7" s="823" t="s">
        <v>812</v>
      </c>
      <c r="AQ7" s="823"/>
      <c r="AR7" s="823"/>
      <c r="AV7" s="824" t="s">
        <v>775</v>
      </c>
      <c r="AW7" s="813" t="s">
        <v>813</v>
      </c>
      <c r="AX7" s="820" t="s">
        <v>814</v>
      </c>
      <c r="AY7" s="816" t="s">
        <v>815</v>
      </c>
      <c r="AZ7" s="816" t="s">
        <v>816</v>
      </c>
      <c r="BA7" s="816" t="s">
        <v>817</v>
      </c>
      <c r="BB7" s="820" t="s">
        <v>793</v>
      </c>
      <c r="BC7" s="818" t="s">
        <v>818</v>
      </c>
      <c r="BD7" s="818" t="s">
        <v>819</v>
      </c>
      <c r="BE7" s="812" t="s">
        <v>820</v>
      </c>
      <c r="BF7" s="822" t="s">
        <v>821</v>
      </c>
      <c r="BG7" s="822" t="s">
        <v>822</v>
      </c>
      <c r="BH7" s="816" t="s">
        <v>823</v>
      </c>
      <c r="BI7" s="816" t="s">
        <v>824</v>
      </c>
      <c r="BJ7" s="816" t="s">
        <v>825</v>
      </c>
      <c r="BK7" s="816" t="s">
        <v>826</v>
      </c>
      <c r="BL7" s="820" t="s">
        <v>827</v>
      </c>
      <c r="BM7" s="820" t="s">
        <v>828</v>
      </c>
      <c r="BN7" s="816" t="s">
        <v>829</v>
      </c>
      <c r="BO7" s="816" t="s">
        <v>830</v>
      </c>
      <c r="BP7" s="816" t="s">
        <v>831</v>
      </c>
      <c r="BQ7" s="816" t="s">
        <v>832</v>
      </c>
      <c r="BR7" s="816" t="s">
        <v>833</v>
      </c>
      <c r="BS7" s="816" t="s">
        <v>834</v>
      </c>
      <c r="BT7" s="816" t="s">
        <v>835</v>
      </c>
      <c r="BU7" s="816" t="s">
        <v>836</v>
      </c>
      <c r="BV7" s="816" t="s">
        <v>837</v>
      </c>
      <c r="BW7" s="816" t="s">
        <v>838</v>
      </c>
      <c r="BX7" s="816" t="s">
        <v>839</v>
      </c>
      <c r="BY7" s="813" t="s">
        <v>840</v>
      </c>
      <c r="BZ7" s="820" t="s">
        <v>841</v>
      </c>
      <c r="CA7" s="820" t="s">
        <v>842</v>
      </c>
      <c r="CB7" s="816" t="s">
        <v>829</v>
      </c>
      <c r="CC7" s="816" t="s">
        <v>830</v>
      </c>
      <c r="CD7" s="816" t="s">
        <v>831</v>
      </c>
      <c r="CE7" s="820" t="s">
        <v>843</v>
      </c>
      <c r="CF7" s="813" t="s">
        <v>844</v>
      </c>
      <c r="CG7" s="813" t="s">
        <v>845</v>
      </c>
      <c r="CH7" s="813" t="s">
        <v>846</v>
      </c>
      <c r="CI7" s="812" t="s">
        <v>847</v>
      </c>
      <c r="CJ7" s="812" t="s">
        <v>848</v>
      </c>
      <c r="CK7" s="812" t="s">
        <v>849</v>
      </c>
      <c r="CL7" s="821" t="s">
        <v>850</v>
      </c>
      <c r="CM7" s="821" t="s">
        <v>851</v>
      </c>
      <c r="CN7" s="816" t="s">
        <v>852</v>
      </c>
      <c r="CO7" s="816" t="s">
        <v>853</v>
      </c>
      <c r="CP7" s="816" t="s">
        <v>854</v>
      </c>
      <c r="CQ7" s="816" t="s">
        <v>855</v>
      </c>
      <c r="CR7" s="817" t="s">
        <v>856</v>
      </c>
      <c r="CS7" s="818" t="s">
        <v>812</v>
      </c>
      <c r="CT7" s="816"/>
      <c r="CV7" s="579" t="s">
        <v>32</v>
      </c>
      <c r="CW7" s="580" t="s">
        <v>857</v>
      </c>
      <c r="CX7" s="580" t="s">
        <v>858</v>
      </c>
      <c r="CY7" s="580" t="s">
        <v>859</v>
      </c>
      <c r="CZ7" s="580" t="s">
        <v>860</v>
      </c>
      <c r="DA7" s="581" t="s">
        <v>861</v>
      </c>
      <c r="DB7" s="582" t="s">
        <v>857</v>
      </c>
      <c r="DC7" s="545" t="s">
        <v>858</v>
      </c>
      <c r="DD7" s="545" t="s">
        <v>859</v>
      </c>
      <c r="DE7" s="545" t="s">
        <v>860</v>
      </c>
      <c r="DF7" s="575" t="s">
        <v>861</v>
      </c>
      <c r="DI7" s="1" t="s">
        <v>862</v>
      </c>
      <c r="DO7" s="819" t="s">
        <v>775</v>
      </c>
      <c r="DP7" s="819"/>
      <c r="DQ7" s="819" t="s">
        <v>863</v>
      </c>
      <c r="DR7" s="819"/>
    </row>
    <row r="8" spans="2:128" ht="30" customHeight="1">
      <c r="E8" s="830"/>
      <c r="F8" s="827"/>
      <c r="G8" s="826"/>
      <c r="H8" s="823"/>
      <c r="I8" s="823"/>
      <c r="J8" s="823"/>
      <c r="K8" s="823"/>
      <c r="L8" s="823"/>
      <c r="M8" s="826"/>
      <c r="N8" s="826"/>
      <c r="O8" s="823"/>
      <c r="P8" s="823"/>
      <c r="Q8" s="823"/>
      <c r="R8" s="826"/>
      <c r="S8" s="832"/>
      <c r="T8" s="832"/>
      <c r="U8" s="832"/>
      <c r="V8" s="823"/>
      <c r="W8" s="823"/>
      <c r="X8" s="823"/>
      <c r="Y8" s="823"/>
      <c r="Z8" s="823"/>
      <c r="AA8" s="823"/>
      <c r="AB8" s="823"/>
      <c r="AC8" s="823"/>
      <c r="AD8" s="826"/>
      <c r="AE8" s="826"/>
      <c r="AF8" s="827"/>
      <c r="AG8" s="827"/>
      <c r="AH8" s="827"/>
      <c r="AI8" s="825"/>
      <c r="AJ8" s="826"/>
      <c r="AK8" s="826"/>
      <c r="AL8" s="826"/>
      <c r="AM8" s="826"/>
      <c r="AN8" s="826"/>
      <c r="AO8" s="826"/>
      <c r="AP8" s="823"/>
      <c r="AQ8" s="823"/>
      <c r="AR8" s="823"/>
      <c r="AV8" s="824"/>
      <c r="AW8" s="813"/>
      <c r="AX8" s="813"/>
      <c r="AY8" s="816"/>
      <c r="AZ8" s="816"/>
      <c r="BA8" s="816"/>
      <c r="BB8" s="820"/>
      <c r="BC8" s="818"/>
      <c r="BD8" s="818"/>
      <c r="BE8" s="812"/>
      <c r="BF8" s="822"/>
      <c r="BG8" s="822"/>
      <c r="BH8" s="816"/>
      <c r="BI8" s="816"/>
      <c r="BJ8" s="816"/>
      <c r="BK8" s="816"/>
      <c r="BL8" s="816"/>
      <c r="BM8" s="820"/>
      <c r="BN8" s="816"/>
      <c r="BO8" s="816"/>
      <c r="BP8" s="816"/>
      <c r="BQ8" s="816"/>
      <c r="BR8" s="816"/>
      <c r="BS8" s="816"/>
      <c r="BT8" s="816"/>
      <c r="BU8" s="816"/>
      <c r="BV8" s="816"/>
      <c r="BW8" s="816"/>
      <c r="BX8" s="816"/>
      <c r="BY8" s="813"/>
      <c r="BZ8" s="820"/>
      <c r="CA8" s="820"/>
      <c r="CB8" s="816"/>
      <c r="CC8" s="816"/>
      <c r="CD8" s="816"/>
      <c r="CE8" s="816"/>
      <c r="CF8" s="813"/>
      <c r="CG8" s="813"/>
      <c r="CH8" s="813"/>
      <c r="CI8" s="813"/>
      <c r="CJ8" s="813"/>
      <c r="CK8" s="813"/>
      <c r="CL8" s="821"/>
      <c r="CM8" s="821"/>
      <c r="CN8" s="816"/>
      <c r="CO8" s="816"/>
      <c r="CP8" s="816"/>
      <c r="CQ8" s="816"/>
      <c r="CR8" s="817"/>
      <c r="CS8" s="818"/>
      <c r="CT8" s="818"/>
      <c r="CV8" s="579">
        <v>1993</v>
      </c>
      <c r="CW8" s="584">
        <f>'PIB corriente base 1993'!V41*1000</f>
        <v>212626894.104702</v>
      </c>
      <c r="CX8" s="584">
        <f>'PIB corriente base 1993'!V42*1000</f>
        <v>241255279.23884699</v>
      </c>
      <c r="CY8" s="584">
        <f>'PIB corriente base 1993'!V43*1000</f>
        <v>243494229.64948702</v>
      </c>
      <c r="CZ8" s="584">
        <f>'PIB corriente base 1993'!V44*1000</f>
        <v>248643519.49803099</v>
      </c>
      <c r="DA8" s="585">
        <f>'PIB corriente base 1993'!V8*1000</f>
        <v>236504980.622767</v>
      </c>
      <c r="DB8" s="586"/>
      <c r="DC8" s="584"/>
      <c r="DD8" s="584"/>
      <c r="DE8" s="584"/>
      <c r="DF8" s="587"/>
      <c r="DH8" s="1">
        <v>2001</v>
      </c>
      <c r="DI8" s="452">
        <v>2933082</v>
      </c>
      <c r="DJ8" s="455">
        <f>'Cuenta Ahorro-Inversión-Financi'!DI8/'PIB corriente base 1993'!V16/1000</f>
        <v>1.0915958043270495E-2</v>
      </c>
      <c r="DK8" s="28">
        <v>1994592.0704699999</v>
      </c>
      <c r="DL8" s="455">
        <f>'Cuenta Ahorro-Inversión-Financi'!DK8/'PIB corriente base 1993'!V16/1000</f>
        <v>7.4232099050386396E-3</v>
      </c>
      <c r="DO8" s="1" t="s">
        <v>864</v>
      </c>
      <c r="DP8" s="1" t="s">
        <v>865</v>
      </c>
      <c r="DQ8" s="1" t="s">
        <v>864</v>
      </c>
      <c r="DR8" s="1" t="s">
        <v>865</v>
      </c>
      <c r="DS8" s="1" t="s">
        <v>866</v>
      </c>
    </row>
    <row r="9" spans="2:128" ht="15.75" customHeight="1">
      <c r="B9" s="455">
        <f>'Cuenta Ahorro-Inversión-Financi'!G9/'Cuenta Ahorro-Inversión-Financi'!F9</f>
        <v>0.17511212301232015</v>
      </c>
      <c r="C9" s="455">
        <f>'Cuenta Ahorro-Inversión-Financi'!S9/'Cuenta Ahorro-Inversión-Financi'!F9</f>
        <v>0.80400297295364243</v>
      </c>
      <c r="E9" s="588">
        <v>1993</v>
      </c>
      <c r="F9" s="589">
        <f>'Cuenta Ahorro-Inversión-Financi'!G9+'Cuenta Ahorro-Inversión-Financi'!R9+'Cuenta Ahorro-Inversión-Financi'!S9+'Cuenta Ahorro-Inversión-Financi'!W9</f>
        <v>15423637.84842</v>
      </c>
      <c r="G9" s="590">
        <f>'Cuenta Ahorro-Inversión-Financi'!H9+'Cuenta Ahorro-Inversión-Financi'!I9+'Cuenta Ahorro-Inversión-Financi'!J9</f>
        <v>2700865.9682100001</v>
      </c>
      <c r="H9" s="591">
        <v>853307.6</v>
      </c>
      <c r="I9" s="591">
        <v>135553.05228999999</v>
      </c>
      <c r="J9" s="591">
        <v>1712005.31592</v>
      </c>
      <c r="K9" s="592"/>
      <c r="L9" s="592"/>
      <c r="M9" s="591"/>
      <c r="N9" s="591"/>
      <c r="O9" s="591"/>
      <c r="P9" s="591"/>
      <c r="Q9" s="591"/>
      <c r="R9" s="591">
        <v>1477.4717000000001</v>
      </c>
      <c r="S9" s="589">
        <f>'Cuenta Ahorro-Inversión-Financi'!T9+'Cuenta Ahorro-Inversión-Financi'!U9+'Cuenta Ahorro-Inversión-Financi'!V9</f>
        <v>12400650.68389</v>
      </c>
      <c r="T9" s="591">
        <v>10726170.869170001</v>
      </c>
      <c r="U9" s="591">
        <v>1674479.8147199999</v>
      </c>
      <c r="V9" s="591"/>
      <c r="W9" s="591">
        <f>'Cuenta Ahorro-Inversión-Financi'!X9+'Cuenta Ahorro-Inversión-Financi'!Y9</f>
        <v>320643.72461999999</v>
      </c>
      <c r="X9" s="591">
        <v>320643.72461999999</v>
      </c>
      <c r="Y9" s="591"/>
      <c r="Z9" s="591"/>
      <c r="AA9" s="591"/>
      <c r="AB9" s="591"/>
      <c r="AC9" s="589">
        <f>'Cuenta Ahorro-Inversión-Financi'!AD9</f>
        <v>177005.26151000001</v>
      </c>
      <c r="AD9" s="591">
        <v>177005.26151000001</v>
      </c>
      <c r="AE9" s="591"/>
      <c r="AF9" s="589">
        <f>'Cuenta Ahorro-Inversión-Financi'!AC9+'Cuenta Ahorro-Inversión-Financi'!F9</f>
        <v>15600643.109929999</v>
      </c>
      <c r="AG9" s="589">
        <v>2950900</v>
      </c>
      <c r="AH9" s="592">
        <f>'Cálculo masa impuestos copartic'!U5*1000</f>
        <v>3015865.8194956575</v>
      </c>
      <c r="AI9" s="592"/>
      <c r="AJ9" s="592"/>
      <c r="AK9" s="592"/>
      <c r="AL9" s="592"/>
      <c r="AM9" s="591">
        <f>'Cuenta Ahorro-Inversión-Financi'!AG9-('Cuenta Ahorro-Inversión-Financi'!AH9+'Cuenta Ahorro-Inversión-Financi'!AJ9+'Cuenta Ahorro-Inversión-Financi'!AK9+'Cuenta Ahorro-Inversión-Financi'!AL9)</f>
        <v>-64965.819495657459</v>
      </c>
      <c r="AN9" s="591">
        <f>'Cuenta Ahorro-Inversión-Financi'!AG9-'Cuenta Ahorro-Inversión-Financi'!CG9</f>
        <v>1700113.01095</v>
      </c>
      <c r="AO9" s="591">
        <f>'Cuenta Ahorro-Inversión-Financi'!AN9</f>
        <v>1700113.01095</v>
      </c>
      <c r="AP9" s="591" t="s">
        <v>867</v>
      </c>
      <c r="AQ9" s="593" t="s">
        <v>868</v>
      </c>
      <c r="AR9" s="591"/>
      <c r="AS9" s="594"/>
      <c r="AT9" s="594"/>
      <c r="AU9" s="594"/>
      <c r="AV9" s="595">
        <v>1993</v>
      </c>
      <c r="AW9" s="596">
        <f>'Cuenta Ahorro-Inversión-Financi'!AX9+'Cuenta Ahorro-Inversión-Financi'!BB9+'Cuenta Ahorro-Inversión-Financi'!BE9+'Cuenta Ahorro-Inversión-Financi'!BW9</f>
        <v>15554768.649999999</v>
      </c>
      <c r="AX9" s="597">
        <v>352371.13373</v>
      </c>
      <c r="AY9" s="597">
        <v>229221.33837000001</v>
      </c>
      <c r="AZ9" s="597">
        <f>(3753925.53+119395869.83)/1000</f>
        <v>123149.79536</v>
      </c>
      <c r="BA9" s="597"/>
      <c r="BB9" s="597"/>
      <c r="BC9" s="597"/>
      <c r="BD9" s="597"/>
      <c r="BE9" s="596">
        <v>12448934.705189999</v>
      </c>
      <c r="BF9" s="596"/>
      <c r="BG9" s="596"/>
      <c r="BH9" s="596"/>
      <c r="BI9" s="596"/>
      <c r="BJ9" s="596"/>
      <c r="BK9" s="596"/>
      <c r="BL9" s="597"/>
      <c r="BM9" s="597">
        <v>2753462.8110799999</v>
      </c>
      <c r="BN9" s="598">
        <v>2462801.2771700001</v>
      </c>
      <c r="BO9" s="598">
        <v>290572.36635000003</v>
      </c>
      <c r="BP9" s="598">
        <v>89.167559999999995</v>
      </c>
      <c r="BQ9" s="598">
        <f>'Cuenta Ahorro-Inversión-Financi'!BM9</f>
        <v>2753462.8110799999</v>
      </c>
      <c r="BR9" s="597"/>
      <c r="BS9" s="597"/>
      <c r="BT9" s="597"/>
      <c r="BU9" s="597"/>
      <c r="BV9" s="597"/>
      <c r="BW9" s="597">
        <f>'Cuenta Ahorro-Inversión-Financi'!BM9-'Cuenta Ahorro-Inversión-Financi'!BU9-'Cuenta Ahorro-Inversión-Financi'!BV9</f>
        <v>2753462.8110799999</v>
      </c>
      <c r="BX9" s="597"/>
      <c r="BY9" s="596">
        <f>'Cuenta Ahorro-Inversión-Financi'!BZ9+'Cuenta Ahorro-Inversión-Financi'!CA9</f>
        <v>11358.69103</v>
      </c>
      <c r="BZ9" s="597">
        <v>9091.9388500000005</v>
      </c>
      <c r="CA9" s="597">
        <v>2266.75218</v>
      </c>
      <c r="CB9" s="597">
        <v>1933.7941800000001</v>
      </c>
      <c r="CC9" s="597">
        <v>332.95800000000003</v>
      </c>
      <c r="CD9" s="597"/>
      <c r="CE9" s="597"/>
      <c r="CF9" s="596">
        <f>'Cuenta Ahorro-Inversión-Financi'!BY9+'Cuenta Ahorro-Inversión-Financi'!AW9</f>
        <v>15566127.341029998</v>
      </c>
      <c r="CG9" s="596">
        <v>1250786.98905</v>
      </c>
      <c r="CH9" s="596"/>
      <c r="CI9" s="599">
        <v>1036245.35282</v>
      </c>
      <c r="CJ9" s="599"/>
      <c r="CK9" s="599">
        <v>214541.63623</v>
      </c>
      <c r="CL9" s="596"/>
      <c r="CM9" s="596"/>
      <c r="CN9" s="596">
        <f>'Cuenta Ahorro-Inversión-Financi'!F9-'Cuenta Ahorro-Inversión-Financi'!AW9</f>
        <v>-131130.80157999881</v>
      </c>
      <c r="CO9" s="597">
        <f>'Cuenta Ahorro-Inversión-Financi'!CN9+'Cuenta Ahorro-Inversión-Financi'!AC9-'Cuenta Ahorro-Inversión-Financi'!BY9</f>
        <v>34515.768900001203</v>
      </c>
      <c r="CP9" s="597">
        <f>'Cuenta Ahorro-Inversión-Financi'!S9-'Cuenta Ahorro-Inversión-Financi'!BE9-'Cuenta Ahorro-Inversión-Financi'!BQ9</f>
        <v>-2801746.8323799991</v>
      </c>
      <c r="CQ9" s="597">
        <f>'Cuenta Ahorro-Inversión-Financi'!F9-'Cuenta Ahorro-Inversión-Financi'!BE9-'Cuenta Ahorro-Inversión-Financi'!BQ9-'Cuenta Ahorro-Inversión-Financi'!W9</f>
        <v>-99403.39246999938</v>
      </c>
      <c r="CR9" s="597"/>
      <c r="CS9" s="600" t="s">
        <v>869</v>
      </c>
      <c r="CT9" s="600"/>
      <c r="CV9" s="579">
        <v>1994</v>
      </c>
      <c r="CW9" s="96">
        <f>'PIB corriente base 1993'!V45*1000</f>
        <v>235083114.79709101</v>
      </c>
      <c r="CX9" s="96">
        <f>'PIB corriente base 1993'!V46*1000</f>
        <v>263684413.35047397</v>
      </c>
      <c r="CY9" s="96">
        <f>'PIB corriente base 1993'!V47*1000</f>
        <v>260869631.11862999</v>
      </c>
      <c r="CZ9" s="96">
        <f>'PIB corriente base 1993'!V48*1000</f>
        <v>270122678.16222095</v>
      </c>
      <c r="DA9" s="601">
        <f>'PIB corriente base 1993'!V9*1000</f>
        <v>257439959.357104</v>
      </c>
      <c r="DB9" s="602"/>
      <c r="DC9" s="96"/>
      <c r="DD9" s="96"/>
      <c r="DE9" s="96"/>
      <c r="DF9" s="603"/>
      <c r="DH9" s="1">
        <v>2002</v>
      </c>
      <c r="DI9" s="452">
        <v>4857335</v>
      </c>
      <c r="DJ9" s="455">
        <f>'Cuenta Ahorro-Inversión-Financi'!DI9/'PIB corriente base 1993'!V17/1000</f>
        <v>1.553948673774309E-2</v>
      </c>
      <c r="DK9" s="28">
        <v>1721480.99196</v>
      </c>
      <c r="DL9" s="455">
        <f>'Cuenta Ahorro-Inversión-Financi'!DK9/'PIB corriente base 1993'!V17/1000</f>
        <v>5.5073267633052357E-3</v>
      </c>
      <c r="DN9" s="1">
        <v>2008</v>
      </c>
      <c r="DO9" s="1">
        <v>98224000</v>
      </c>
      <c r="DP9" s="28">
        <f t="shared" ref="DP9:DP18" si="0">W24</f>
        <v>1117433.6398499999</v>
      </c>
      <c r="DQ9" s="455">
        <f t="shared" ref="DQ9:DQ18" si="1">DO9/DF23</f>
        <v>8.5438467372280724E-2</v>
      </c>
      <c r="DR9" s="455">
        <f t="shared" ref="DR9:DR18" si="2">DP9/DF23</f>
        <v>9.7198055036460654E-4</v>
      </c>
      <c r="DU9" s="455">
        <f t="shared" ref="DU9:DU18" si="3">DO9/DE23</f>
        <v>8.4048986443777687E-2</v>
      </c>
      <c r="DV9" s="455">
        <f t="shared" ref="DV9:DV18" si="4">DP9/DE23</f>
        <v>9.5617328603573269E-4</v>
      </c>
    </row>
    <row r="10" spans="2:128" ht="15.75" customHeight="1">
      <c r="B10" s="455">
        <f>'Cuenta Ahorro-Inversión-Financi'!G10/'Cuenta Ahorro-Inversión-Financi'!F10</f>
        <v>0.1914319863513676</v>
      </c>
      <c r="C10" s="455">
        <f>'Cuenta Ahorro-Inversión-Financi'!S10/'Cuenta Ahorro-Inversión-Financi'!F10</f>
        <v>0.80671542964666654</v>
      </c>
      <c r="E10" s="588">
        <v>1994</v>
      </c>
      <c r="F10" s="604">
        <f>'Cuenta Ahorro-Inversión-Financi'!G10+'Cuenta Ahorro-Inversión-Financi'!R10+'Cuenta Ahorro-Inversión-Financi'!S10+'Cuenta Ahorro-Inversión-Financi'!W10</f>
        <v>16225790.15478</v>
      </c>
      <c r="G10" s="605">
        <f>'Cuenta Ahorro-Inversión-Financi'!H10+'Cuenta Ahorro-Inversión-Financi'!I10+'Cuenta Ahorro-Inversión-Financi'!J10</f>
        <v>3106135.2394499998</v>
      </c>
      <c r="H10" s="606">
        <v>1164662.22</v>
      </c>
      <c r="I10" s="606">
        <v>156377.44889</v>
      </c>
      <c r="J10" s="606">
        <v>1785095.5705599999</v>
      </c>
      <c r="K10" s="607"/>
      <c r="L10" s="607"/>
      <c r="M10" s="606"/>
      <c r="N10" s="606"/>
      <c r="O10" s="606"/>
      <c r="P10" s="606"/>
      <c r="Q10" s="606"/>
      <c r="R10" s="606">
        <v>5520.5885600000001</v>
      </c>
      <c r="S10" s="604">
        <f>'Cuenta Ahorro-Inversión-Financi'!T10+'Cuenta Ahorro-Inversión-Financi'!U10</f>
        <v>13089595.276070001</v>
      </c>
      <c r="T10" s="606">
        <v>10616988.960960001</v>
      </c>
      <c r="U10" s="606">
        <v>2472606.3151099999</v>
      </c>
      <c r="V10" s="606"/>
      <c r="W10" s="606">
        <f>'Cuenta Ahorro-Inversión-Financi'!X10+'Cuenta Ahorro-Inversión-Financi'!Y10</f>
        <v>24539.0507</v>
      </c>
      <c r="X10" s="606">
        <v>24539.0507</v>
      </c>
      <c r="Y10" s="606"/>
      <c r="Z10" s="606"/>
      <c r="AA10" s="606"/>
      <c r="AB10" s="606"/>
      <c r="AC10" s="604">
        <f>'Cuenta Ahorro-Inversión-Financi'!AD10</f>
        <v>402913.46401</v>
      </c>
      <c r="AD10" s="606">
        <v>402913.46401</v>
      </c>
      <c r="AE10" s="606"/>
      <c r="AF10" s="604">
        <f>'Cuenta Ahorro-Inversión-Financi'!AC10+'Cuenta Ahorro-Inversión-Financi'!F10</f>
        <v>16628703.618790001</v>
      </c>
      <c r="AG10" s="608">
        <v>2655185.6894100001</v>
      </c>
      <c r="AH10" s="607">
        <f>'Cálculo masa impuestos copartic'!U6*1000</f>
        <v>3226509.5249815406</v>
      </c>
      <c r="AI10" s="607"/>
      <c r="AJ10" s="607"/>
      <c r="AK10" s="607"/>
      <c r="AL10" s="607"/>
      <c r="AM10" s="606">
        <f>'Cuenta Ahorro-Inversión-Financi'!AG10-('Cuenta Ahorro-Inversión-Financi'!AH10+'Cuenta Ahorro-Inversión-Financi'!AJ10+'Cuenta Ahorro-Inversión-Financi'!AK10+'Cuenta Ahorro-Inversión-Financi'!AL10)</f>
        <v>-571323.83557154052</v>
      </c>
      <c r="AN10" s="606">
        <f>'Cuenta Ahorro-Inversión-Financi'!AG10-'Cuenta Ahorro-Inversión-Financi'!CG10</f>
        <v>910950.44945000019</v>
      </c>
      <c r="AO10" s="606">
        <f>'Cuenta Ahorro-Inversión-Financi'!AN10</f>
        <v>910950.44945000019</v>
      </c>
      <c r="AP10" s="609" t="s">
        <v>870</v>
      </c>
      <c r="AQ10" s="609"/>
      <c r="AR10" s="609"/>
      <c r="AS10" s="594"/>
      <c r="AT10" s="594"/>
      <c r="AU10" s="594"/>
      <c r="AV10" s="610">
        <v>1994</v>
      </c>
      <c r="AW10" s="604">
        <f>'Cuenta Ahorro-Inversión-Financi'!AX10+'Cuenta Ahorro-Inversión-Financi'!BB10+'Cuenta Ahorro-Inversión-Financi'!BE10+'Cuenta Ahorro-Inversión-Financi'!BW10</f>
        <v>18032820.973750003</v>
      </c>
      <c r="AX10" s="606">
        <f>'Cuenta Ahorro-Inversión-Financi'!AY10+'Cuenta Ahorro-Inversión-Financi'!AZ10</f>
        <v>293763.12069000001</v>
      </c>
      <c r="AY10" s="606">
        <f>169191444.92/1000</f>
        <v>169191.44491999998</v>
      </c>
      <c r="AZ10" s="606">
        <f>(120986031.79+3585643.98)/1000</f>
        <v>124571.67577000002</v>
      </c>
      <c r="BA10" s="606"/>
      <c r="BB10" s="606">
        <v>1329.49425</v>
      </c>
      <c r="BC10" s="606">
        <v>1329.49425</v>
      </c>
      <c r="BD10" s="609"/>
      <c r="BE10" s="604">
        <f>14536199591.29/1000</f>
        <v>14536199.591290001</v>
      </c>
      <c r="BF10" s="604"/>
      <c r="BG10" s="604"/>
      <c r="BH10" s="604"/>
      <c r="BI10" s="604"/>
      <c r="BJ10" s="604"/>
      <c r="BK10" s="604"/>
      <c r="BL10" s="609"/>
      <c r="BM10" s="611">
        <v>3201528.7675200002</v>
      </c>
      <c r="BN10" s="612">
        <v>2919812.93848</v>
      </c>
      <c r="BO10" s="612">
        <v>280840.91687999998</v>
      </c>
      <c r="BP10" s="612">
        <v>874.91215999999997</v>
      </c>
      <c r="BQ10" s="612">
        <f>'Cuenta Ahorro-Inversión-Financi'!BM10</f>
        <v>3201528.7675200002</v>
      </c>
      <c r="BR10" s="611"/>
      <c r="BS10" s="611"/>
      <c r="BT10" s="611"/>
      <c r="BU10" s="611"/>
      <c r="BV10" s="611"/>
      <c r="BW10" s="611">
        <f>'Cuenta Ahorro-Inversión-Financi'!BM10-'Cuenta Ahorro-Inversión-Financi'!BU10-'Cuenta Ahorro-Inversión-Financi'!BV10</f>
        <v>3201528.7675200002</v>
      </c>
      <c r="BX10" s="611"/>
      <c r="BY10" s="604">
        <f>'Cuenta Ahorro-Inversión-Financi'!BZ10+'Cuenta Ahorro-Inversión-Financi'!CA10</f>
        <v>6602.1614800000007</v>
      </c>
      <c r="BZ10" s="606">
        <f>5285361.48/1000</f>
        <v>5285.3614800000005</v>
      </c>
      <c r="CA10" s="606">
        <v>1316.8</v>
      </c>
      <c r="CB10" s="606">
        <v>1316.8</v>
      </c>
      <c r="CC10" s="609"/>
      <c r="CD10" s="609"/>
      <c r="CE10" s="609"/>
      <c r="CF10" s="604">
        <f>'Cuenta Ahorro-Inversión-Financi'!BY10+'Cuenta Ahorro-Inversión-Financi'!AW10</f>
        <v>18039423.135230001</v>
      </c>
      <c r="CG10" s="604">
        <v>1744235.2399599999</v>
      </c>
      <c r="CH10" s="604"/>
      <c r="CI10" s="604">
        <v>1287640.9398000001</v>
      </c>
      <c r="CJ10" s="604"/>
      <c r="CK10" s="604">
        <f>272255.70016+184338.6</f>
        <v>456594.30015999998</v>
      </c>
      <c r="CL10" s="604"/>
      <c r="CM10" s="604"/>
      <c r="CN10" s="604">
        <f>'Cuenta Ahorro-Inversión-Financi'!F10-'Cuenta Ahorro-Inversión-Financi'!AW10</f>
        <v>-1807030.8189700022</v>
      </c>
      <c r="CO10" s="606">
        <f>'Cuenta Ahorro-Inversión-Financi'!CN10+'Cuenta Ahorro-Inversión-Financi'!AC10-'Cuenta Ahorro-Inversión-Financi'!BY10</f>
        <v>-1410719.5164400022</v>
      </c>
      <c r="CP10" s="606">
        <f>'Cuenta Ahorro-Inversión-Financi'!S10-'Cuenta Ahorro-Inversión-Financi'!BE10-'Cuenta Ahorro-Inversión-Financi'!BQ10</f>
        <v>-4648133.0827400004</v>
      </c>
      <c r="CQ10" s="606">
        <f>'Cuenta Ahorro-Inversión-Financi'!F10-'Cuenta Ahorro-Inversión-Financi'!BE10-'Cuenta Ahorro-Inversión-Financi'!BQ10-'Cuenta Ahorro-Inversión-Financi'!W10</f>
        <v>-1536477.2547300006</v>
      </c>
      <c r="CR10" s="606"/>
      <c r="CS10" s="613" t="s">
        <v>871</v>
      </c>
      <c r="CT10" s="613" t="s">
        <v>872</v>
      </c>
      <c r="CV10" s="579">
        <v>1995</v>
      </c>
      <c r="CW10" s="584">
        <f>'PIB corriente base 1993'!V49*1000</f>
        <v>250405946.23877698</v>
      </c>
      <c r="CX10" s="584">
        <f>'PIB corriente base 1993'!V50*1000</f>
        <v>261602918.00764102</v>
      </c>
      <c r="CY10" s="584">
        <f>'PIB corriente base 1993'!V51*1000</f>
        <v>256868339.73469698</v>
      </c>
      <c r="CZ10" s="584">
        <f>'PIB corriente base 1993'!V52*1000</f>
        <v>263250336.15222397</v>
      </c>
      <c r="DA10" s="585">
        <f>'PIB corriente base 1993'!V10*1000</f>
        <v>258031885.033335</v>
      </c>
      <c r="DB10" s="586"/>
      <c r="DC10" s="584"/>
      <c r="DD10" s="584"/>
      <c r="DE10" s="584"/>
      <c r="DF10" s="587"/>
      <c r="DH10" s="1">
        <v>2003</v>
      </c>
      <c r="DI10" s="452">
        <v>5900237</v>
      </c>
      <c r="DJ10" s="455">
        <f>'Cuenta Ahorro-Inversión-Financi'!DI10/'PIB corriente base 1993'!V18/1000</f>
        <v>1.5695903337119173E-2</v>
      </c>
      <c r="DK10" s="28">
        <v>2926862.8053299999</v>
      </c>
      <c r="DL10" s="455">
        <f>'Cuenta Ahorro-Inversión-Financi'!DK10/'PIB corriente base 1993'!V18/1000</f>
        <v>7.7860865035538629E-3</v>
      </c>
      <c r="DN10" s="1">
        <f t="shared" ref="DN10:DN18" si="5">DN9+1</f>
        <v>2009</v>
      </c>
      <c r="DO10" s="1">
        <v>135692700</v>
      </c>
      <c r="DP10" s="28">
        <f t="shared" si="0"/>
        <v>8487113.3009600006</v>
      </c>
      <c r="DQ10" s="455">
        <f t="shared" si="1"/>
        <v>0.10873428757455716</v>
      </c>
      <c r="DR10" s="455">
        <f t="shared" si="2"/>
        <v>6.8009570031728585E-3</v>
      </c>
      <c r="DS10" s="455">
        <f t="shared" ref="DS10:DS18" si="6">DP10/DO9</f>
        <v>8.6405698209806162E-2</v>
      </c>
      <c r="DU10" s="455">
        <f t="shared" si="3"/>
        <v>9.9905529037117247E-2</v>
      </c>
      <c r="DV10" s="455">
        <f t="shared" si="4"/>
        <v>6.2487484170509044E-3</v>
      </c>
      <c r="DW10" s="455">
        <f t="shared" ref="DW10:DW18" si="7">(DE24-DE23)/DE23</f>
        <v>0.16220255206379242</v>
      </c>
      <c r="DX10" s="455">
        <f t="shared" ref="DX10:DX18" si="8">(DO10-DO9)/DO9</f>
        <v>0.38146176087310635</v>
      </c>
    </row>
    <row r="11" spans="2:128" ht="15.75" customHeight="1">
      <c r="B11" s="455">
        <f>'Cuenta Ahorro-Inversión-Financi'!G11/'Cuenta Ahorro-Inversión-Financi'!F11</f>
        <v>0.21067072369966997</v>
      </c>
      <c r="C11" s="455">
        <f>'Cuenta Ahorro-Inversión-Financi'!S11/'Cuenta Ahorro-Inversión-Financi'!F11</f>
        <v>0.78849249619358575</v>
      </c>
      <c r="E11" s="588">
        <v>1995</v>
      </c>
      <c r="F11" s="589">
        <f>'Cuenta Ahorro-Inversión-Financi'!G11+'Cuenta Ahorro-Inversión-Financi'!R11+'Cuenta Ahorro-Inversión-Financi'!S11+'Cuenta Ahorro-Inversión-Financi'!W11</f>
        <v>14815118.129699999</v>
      </c>
      <c r="G11" s="590">
        <f>'Cuenta Ahorro-Inversión-Financi'!H11+'Cuenta Ahorro-Inversión-Financi'!I11+'Cuenta Ahorro-Inversión-Financi'!J11</f>
        <v>3121111.65808</v>
      </c>
      <c r="H11" s="591">
        <v>1243225.6000000001</v>
      </c>
      <c r="I11" s="591">
        <v>282228.71494999999</v>
      </c>
      <c r="J11" s="591">
        <v>1595657.3431299999</v>
      </c>
      <c r="K11" s="592"/>
      <c r="L11" s="592"/>
      <c r="M11" s="591"/>
      <c r="N11" s="591"/>
      <c r="O11" s="591"/>
      <c r="P11" s="591"/>
      <c r="Q11" s="591"/>
      <c r="R11" s="591">
        <v>4218.0251200000002</v>
      </c>
      <c r="S11" s="589">
        <f>'Cuenta Ahorro-Inversión-Financi'!T11+'Cuenta Ahorro-Inversión-Financi'!U11</f>
        <v>11681609.47549</v>
      </c>
      <c r="T11" s="591">
        <v>9473972.0303300004</v>
      </c>
      <c r="U11" s="591">
        <v>2207637.4451600001</v>
      </c>
      <c r="V11" s="614"/>
      <c r="W11" s="591">
        <f>'Cuenta Ahorro-Inversión-Financi'!X11+'Cuenta Ahorro-Inversión-Financi'!Y11</f>
        <v>8178.9710100000002</v>
      </c>
      <c r="X11" s="591">
        <v>8178.9710100000002</v>
      </c>
      <c r="Y11" s="591"/>
      <c r="Z11" s="591"/>
      <c r="AA11" s="591"/>
      <c r="AB11" s="591"/>
      <c r="AC11" s="589">
        <f>'Cuenta Ahorro-Inversión-Financi'!AD11</f>
        <v>343912.63890999998</v>
      </c>
      <c r="AD11" s="591">
        <v>343912.63890999998</v>
      </c>
      <c r="AE11" s="614"/>
      <c r="AF11" s="589">
        <f>'Cuenta Ahorro-Inversión-Financi'!AC11+'Cuenta Ahorro-Inversión-Financi'!F11</f>
        <v>15159030.768609999</v>
      </c>
      <c r="AG11" s="589">
        <f>3218608826.88/1000</f>
        <v>3218608.8268800001</v>
      </c>
      <c r="AH11" s="592">
        <f>'Cálculo masa impuestos copartic'!U7*1000</f>
        <v>2990988.4814176718</v>
      </c>
      <c r="AI11" s="592"/>
      <c r="AJ11" s="592"/>
      <c r="AK11" s="592"/>
      <c r="AL11" s="592"/>
      <c r="AM11" s="591">
        <f>'Cuenta Ahorro-Inversión-Financi'!AG11-('Cuenta Ahorro-Inversión-Financi'!AH11+'Cuenta Ahorro-Inversión-Financi'!AJ11+'Cuenta Ahorro-Inversión-Financi'!AK11+'Cuenta Ahorro-Inversión-Financi'!AL11)</f>
        <v>227620.34546232829</v>
      </c>
      <c r="AN11" s="591">
        <f>'Cuenta Ahorro-Inversión-Financi'!AG11-'Cuenta Ahorro-Inversión-Financi'!CG11</f>
        <v>1505700.8225199999</v>
      </c>
      <c r="AO11" s="591">
        <f>'Cuenta Ahorro-Inversión-Financi'!AN11</f>
        <v>1505700.8225199999</v>
      </c>
      <c r="AP11" s="614" t="s">
        <v>873</v>
      </c>
      <c r="AQ11" s="614"/>
      <c r="AR11" s="614"/>
      <c r="AS11" s="594"/>
      <c r="AT11" s="594"/>
      <c r="AU11" s="594"/>
      <c r="AV11" s="610">
        <v>1995</v>
      </c>
      <c r="AW11" s="596">
        <f>'Cuenta Ahorro-Inversión-Financi'!AX11+'Cuenta Ahorro-Inversión-Financi'!BB11+'Cuenta Ahorro-Inversión-Financi'!BE11+'Cuenta Ahorro-Inversión-Financi'!BW11</f>
        <v>15531636.76355</v>
      </c>
      <c r="AX11" s="597">
        <v>296927.94919999997</v>
      </c>
      <c r="AY11" s="597">
        <v>168650.78216</v>
      </c>
      <c r="AZ11" s="597">
        <f>(4900839.87+123376327.17)/1000</f>
        <v>128277.16704</v>
      </c>
      <c r="BA11" s="597"/>
      <c r="BB11" s="597">
        <v>10685.606889999999</v>
      </c>
      <c r="BC11" s="597">
        <v>10685.606889999999</v>
      </c>
      <c r="BD11" s="597"/>
      <c r="BE11" s="596">
        <v>13842035.425240001</v>
      </c>
      <c r="BF11" s="596"/>
      <c r="BG11" s="596"/>
      <c r="BH11" s="596"/>
      <c r="BI11" s="596"/>
      <c r="BJ11" s="596"/>
      <c r="BK11" s="596"/>
      <c r="BL11" s="597"/>
      <c r="BM11" s="597">
        <v>1381987.7822199999</v>
      </c>
      <c r="BN11" s="598"/>
      <c r="BO11" s="598"/>
      <c r="BP11" s="597"/>
      <c r="BQ11" s="598">
        <f>'Cuenta Ahorro-Inversión-Financi'!BM11</f>
        <v>1381987.7822199999</v>
      </c>
      <c r="BR11" s="597"/>
      <c r="BS11" s="597"/>
      <c r="BT11" s="597"/>
      <c r="BU11" s="597"/>
      <c r="BV11" s="597"/>
      <c r="BW11" s="597">
        <f>'Cuenta Ahorro-Inversión-Financi'!BM11-'Cuenta Ahorro-Inversión-Financi'!BU11-'Cuenta Ahorro-Inversión-Financi'!BV11</f>
        <v>1381987.7822199999</v>
      </c>
      <c r="BX11" s="597"/>
      <c r="BY11" s="596">
        <f>'Cuenta Ahorro-Inversión-Financi'!BZ11+'Cuenta Ahorro-Inversión-Financi'!CA11</f>
        <v>3224.0180999999998</v>
      </c>
      <c r="BZ11" s="597">
        <v>3224.0180999999998</v>
      </c>
      <c r="CA11" s="615"/>
      <c r="CB11" s="615"/>
      <c r="CC11" s="615"/>
      <c r="CD11" s="615"/>
      <c r="CE11" s="615"/>
      <c r="CF11" s="596">
        <f>'Cuenta Ahorro-Inversión-Financi'!BY11+'Cuenta Ahorro-Inversión-Financi'!AW11</f>
        <v>15534860.781650001</v>
      </c>
      <c r="CG11" s="596">
        <f>'Cuenta Ahorro-Inversión-Financi'!CH11-2566535.788</f>
        <v>1712908.0043600001</v>
      </c>
      <c r="CH11" s="596">
        <v>4279443.7923600003</v>
      </c>
      <c r="CI11" s="596">
        <f>2400-2566535.788+3752061.7223</f>
        <v>1187925.9342999998</v>
      </c>
      <c r="CJ11" s="596"/>
      <c r="CK11" s="596">
        <f>340248.51506+184733.555</f>
        <v>524982.07006000006</v>
      </c>
      <c r="CL11" s="596"/>
      <c r="CM11" s="596"/>
      <c r="CN11" s="596">
        <f>'Cuenta Ahorro-Inversión-Financi'!F11-'Cuenta Ahorro-Inversión-Financi'!AW11</f>
        <v>-716518.6338500008</v>
      </c>
      <c r="CO11" s="597">
        <f>'Cuenta Ahorro-Inversión-Financi'!CN11+'Cuenta Ahorro-Inversión-Financi'!AC11-'Cuenta Ahorro-Inversión-Financi'!BY11</f>
        <v>-375830.01304000081</v>
      </c>
      <c r="CP11" s="597">
        <f>'Cuenta Ahorro-Inversión-Financi'!S11-'Cuenta Ahorro-Inversión-Financi'!BE11-'Cuenta Ahorro-Inversión-Financi'!BQ11</f>
        <v>-3542413.7319700005</v>
      </c>
      <c r="CQ11" s="597">
        <f>'Cuenta Ahorro-Inversión-Financi'!F11-'Cuenta Ahorro-Inversión-Financi'!BE11-'Cuenta Ahorro-Inversión-Financi'!BQ11-'Cuenta Ahorro-Inversión-Financi'!W11</f>
        <v>-417084.04877000116</v>
      </c>
      <c r="CR11" s="597"/>
      <c r="CS11" s="616" t="s">
        <v>874</v>
      </c>
      <c r="CT11" s="616"/>
      <c r="CV11" s="579">
        <v>1996</v>
      </c>
      <c r="CW11" s="96">
        <f>'PIB corriente base 1993'!V53*1000</f>
        <v>251199988.67648798</v>
      </c>
      <c r="CX11" s="96">
        <f>'PIB corriente base 1993'!V54*1000</f>
        <v>280167136.445746</v>
      </c>
      <c r="CY11" s="96">
        <f>'PIB corriente base 1993'!V55*1000</f>
        <v>274502346.76701099</v>
      </c>
      <c r="CZ11" s="96">
        <f>'PIB corriente base 1993'!V56*1000</f>
        <v>282729559.35597795</v>
      </c>
      <c r="DA11" s="601">
        <f>'PIB corriente base 1993'!V11*1000</f>
        <v>272149757.811306</v>
      </c>
      <c r="DB11" s="602"/>
      <c r="DC11" s="96"/>
      <c r="DD11" s="96"/>
      <c r="DE11" s="96"/>
      <c r="DF11" s="603"/>
      <c r="DH11" s="1">
        <v>2004</v>
      </c>
      <c r="DI11" s="452">
        <v>7681862</v>
      </c>
      <c r="DJ11" s="455">
        <f>'Cuenta Ahorro-Inversión-Financi'!DI11/1000/'PIB corriente base 2004'!X8</f>
        <v>1.5835129642472957E-2</v>
      </c>
      <c r="DK11" s="28">
        <v>4445674.9967999998</v>
      </c>
      <c r="DL11" s="455">
        <f>'Cuenta Ahorro-Inversión-Financi'!DK11/1000/'PIB corriente base 2004'!X8</f>
        <v>9.1641635742256942E-3</v>
      </c>
      <c r="DN11" s="1">
        <f t="shared" si="5"/>
        <v>2010</v>
      </c>
      <c r="DO11" s="1">
        <v>178016000</v>
      </c>
      <c r="DP11" s="28">
        <f t="shared" si="0"/>
        <v>8714727.5501700006</v>
      </c>
      <c r="DQ11" s="455">
        <f t="shared" si="1"/>
        <v>0.10712749488835467</v>
      </c>
      <c r="DR11" s="455">
        <f t="shared" si="2"/>
        <v>5.2443989926986359E-3</v>
      </c>
      <c r="DS11" s="455">
        <f t="shared" si="6"/>
        <v>6.4223996944345579E-2</v>
      </c>
      <c r="DU11" s="455">
        <f t="shared" si="3"/>
        <v>9.7323076854696391E-2</v>
      </c>
      <c r="DV11" s="455">
        <f t="shared" si="4"/>
        <v>4.7644262264792776E-3</v>
      </c>
      <c r="DW11" s="455">
        <f t="shared" si="7"/>
        <v>0.34671670555899486</v>
      </c>
      <c r="DX11" s="455">
        <f t="shared" si="8"/>
        <v>0.31190550412807766</v>
      </c>
    </row>
    <row r="12" spans="2:128" ht="15.75" customHeight="1">
      <c r="B12" s="455">
        <f>'Cuenta Ahorro-Inversión-Financi'!G12/'Cuenta Ahorro-Inversión-Financi'!F12</f>
        <v>0.28630186565711851</v>
      </c>
      <c r="C12" s="455">
        <f>'Cuenta Ahorro-Inversión-Financi'!S12/'Cuenta Ahorro-Inversión-Financi'!F12</f>
        <v>0.71098076074512606</v>
      </c>
      <c r="E12" s="588">
        <v>1996</v>
      </c>
      <c r="F12" s="604">
        <f>'Cuenta Ahorro-Inversión-Financi'!G12+'Cuenta Ahorro-Inversión-Financi'!R12+'Cuenta Ahorro-Inversión-Financi'!S12+'Cuenta Ahorro-Inversión-Financi'!W12</f>
        <v>13927353.982999999</v>
      </c>
      <c r="G12" s="617">
        <f>3987427429/1000</f>
        <v>3987427.429</v>
      </c>
      <c r="H12" s="618">
        <v>1456325.4</v>
      </c>
      <c r="I12" s="609"/>
      <c r="J12" s="609"/>
      <c r="K12" s="619">
        <f>IVA!AU26</f>
        <v>1903838.6517149999</v>
      </c>
      <c r="L12" s="619">
        <f>'Cuenta Ahorro-Inversión-Financi'!M12+'Cuenta Ahorro-Inversión-Financi'!N12</f>
        <v>516954.41</v>
      </c>
      <c r="M12" s="607">
        <f>IVA!AU111</f>
        <v>138530</v>
      </c>
      <c r="N12" s="607">
        <f>IVA!AU145</f>
        <v>378424.41</v>
      </c>
      <c r="O12" s="609"/>
      <c r="P12" s="606">
        <f>IVA!AU94</f>
        <v>172304</v>
      </c>
      <c r="Q12" s="606">
        <f>IVA!AU162*0.7</f>
        <v>0</v>
      </c>
      <c r="R12" s="611">
        <v>6134.0429999999997</v>
      </c>
      <c r="S12" s="608">
        <v>9902080.7300000004</v>
      </c>
      <c r="T12" s="609"/>
      <c r="U12" s="609"/>
      <c r="V12" s="609"/>
      <c r="W12" s="611">
        <f>31711781/1000</f>
        <v>31711.780999999999</v>
      </c>
      <c r="X12" s="611"/>
      <c r="Y12" s="611"/>
      <c r="Z12" s="611"/>
      <c r="AA12" s="611"/>
      <c r="AB12" s="611"/>
      <c r="AC12" s="604">
        <f>'Cuenta Ahorro-Inversión-Financi'!AD12+'Cuenta Ahorro-Inversión-Financi'!AE12</f>
        <v>98838.677000000011</v>
      </c>
      <c r="AD12" s="611">
        <f>98835554/1000</f>
        <v>98835.554000000004</v>
      </c>
      <c r="AE12" s="611">
        <v>3.1230000000000002</v>
      </c>
      <c r="AF12" s="604">
        <f>'Cuenta Ahorro-Inversión-Financi'!AC12+'Cuenta Ahorro-Inversión-Financi'!F12</f>
        <v>14026192.659999998</v>
      </c>
      <c r="AG12" s="608">
        <f>6027771273/1000</f>
        <v>6027771.273</v>
      </c>
      <c r="AH12" s="607">
        <f>'Cálculo masa impuestos copartic'!U8*1000</f>
        <v>3231346.7142505534</v>
      </c>
      <c r="AI12" s="607"/>
      <c r="AJ12" s="607"/>
      <c r="AK12" s="607"/>
      <c r="AL12" s="607"/>
      <c r="AM12" s="606">
        <f>'Cuenta Ahorro-Inversión-Financi'!AG12-('Cuenta Ahorro-Inversión-Financi'!AH12+'Cuenta Ahorro-Inversión-Financi'!AJ12+'Cuenta Ahorro-Inversión-Financi'!AK12+'Cuenta Ahorro-Inversión-Financi'!AL12)</f>
        <v>2796424.5587494466</v>
      </c>
      <c r="AN12" s="606">
        <f>'Cuenta Ahorro-Inversión-Financi'!AH12-'Cuenta Ahorro-Inversión-Financi'!CG12</f>
        <v>1200902.9640405527</v>
      </c>
      <c r="AO12" s="606">
        <f>'Cuenta Ahorro-Inversión-Financi'!AN12</f>
        <v>1200902.9640405527</v>
      </c>
      <c r="AP12" s="609" t="s">
        <v>875</v>
      </c>
      <c r="AQ12" s="609"/>
      <c r="AR12" s="609"/>
      <c r="AS12" s="594"/>
      <c r="AT12" s="594"/>
      <c r="AU12" s="594"/>
      <c r="AV12" s="610">
        <v>1996</v>
      </c>
      <c r="AW12" s="604">
        <f>'Cuenta Ahorro-Inversión-Financi'!AX12+'Cuenta Ahorro-Inversión-Financi'!BB12+'Cuenta Ahorro-Inversión-Financi'!BE12+'Cuenta Ahorro-Inversión-Financi'!BW12</f>
        <v>16567195.649</v>
      </c>
      <c r="AX12" s="606">
        <v>330883.70400000003</v>
      </c>
      <c r="AY12" s="606"/>
      <c r="AZ12" s="606"/>
      <c r="BA12" s="606"/>
      <c r="BB12" s="606">
        <v>134577.68799999999</v>
      </c>
      <c r="BC12" s="606"/>
      <c r="BD12" s="606"/>
      <c r="BE12" s="604">
        <v>14468094.187000001</v>
      </c>
      <c r="BF12" s="604"/>
      <c r="BG12" s="604"/>
      <c r="BH12" s="604"/>
      <c r="BI12" s="604"/>
      <c r="BJ12" s="604"/>
      <c r="BK12" s="604"/>
      <c r="BL12" s="606"/>
      <c r="BM12" s="606">
        <v>1633640.07</v>
      </c>
      <c r="BN12" s="607"/>
      <c r="BO12" s="607"/>
      <c r="BP12" s="606"/>
      <c r="BQ12" s="607"/>
      <c r="BR12" s="606"/>
      <c r="BS12" s="606"/>
      <c r="BT12" s="606"/>
      <c r="BU12" s="606"/>
      <c r="BV12" s="606"/>
      <c r="BW12" s="606">
        <f>'Cuenta Ahorro-Inversión-Financi'!BM12-'Cuenta Ahorro-Inversión-Financi'!BU12-'Cuenta Ahorro-Inversión-Financi'!BV12</f>
        <v>1633640.07</v>
      </c>
      <c r="BX12" s="606"/>
      <c r="BY12" s="604">
        <f>'Cuenta Ahorro-Inversión-Financi'!BZ12+'Cuenta Ahorro-Inversión-Financi'!CA12</f>
        <v>7389.67</v>
      </c>
      <c r="BZ12" s="606">
        <v>7389.67</v>
      </c>
      <c r="CA12" s="606"/>
      <c r="CB12" s="606"/>
      <c r="CC12" s="606"/>
      <c r="CD12" s="606"/>
      <c r="CE12" s="606"/>
      <c r="CF12" s="604">
        <f>'Cuenta Ahorro-Inversión-Financi'!BY12+'Cuenta Ahorro-Inversión-Financi'!AW12</f>
        <v>16574585.319</v>
      </c>
      <c r="CG12" s="604">
        <f>'Cuenta Ahorro-Inversión-Financi'!CH12-2491204.07079-233300</f>
        <v>2030443.7502100007</v>
      </c>
      <c r="CH12" s="604">
        <v>4754947.8210000005</v>
      </c>
      <c r="CI12" s="604">
        <f>225182.67637+3510646.16297-2491204.07079-233300</f>
        <v>1011324.7685500002</v>
      </c>
      <c r="CJ12" s="604">
        <v>536454.52933000005</v>
      </c>
      <c r="CK12" s="604">
        <f>843279.20165+175800+39.78-CJ12</f>
        <v>482664.45231999992</v>
      </c>
      <c r="CL12" s="604"/>
      <c r="CM12" s="604"/>
      <c r="CN12" s="604">
        <f>'Cuenta Ahorro-Inversión-Financi'!F12-'Cuenta Ahorro-Inversión-Financi'!AW12</f>
        <v>-2639841.6660000011</v>
      </c>
      <c r="CO12" s="606">
        <f>'Cuenta Ahorro-Inversión-Financi'!CN12+'Cuenta Ahorro-Inversión-Financi'!AC12-'Cuenta Ahorro-Inversión-Financi'!BY12</f>
        <v>-2548392.6590000009</v>
      </c>
      <c r="CP12" s="606">
        <f>'Cuenta Ahorro-Inversión-Financi'!S12-'Cuenta Ahorro-Inversión-Financi'!BE12-'Cuenta Ahorro-Inversión-Financi'!BM12</f>
        <v>-6199653.5270000007</v>
      </c>
      <c r="CQ12" s="606">
        <f>'Cuenta Ahorro-Inversión-Financi'!F12-'Cuenta Ahorro-Inversión-Financi'!BE12-'Cuenta Ahorro-Inversión-Financi'!BM12-'Cuenta Ahorro-Inversión-Financi'!W12</f>
        <v>-2206092.055000002</v>
      </c>
      <c r="CR12" s="606"/>
      <c r="CS12" s="613" t="s">
        <v>876</v>
      </c>
      <c r="CT12" s="613"/>
      <c r="CV12" s="579">
        <v>1997</v>
      </c>
      <c r="CW12" s="584">
        <f>'PIB corriente base 1993'!V57*1000</f>
        <v>271260456.30917799</v>
      </c>
      <c r="CX12" s="584">
        <f>'PIB corriente base 1993'!V58*1000</f>
        <v>299872538.77122396</v>
      </c>
      <c r="CY12" s="584">
        <f>'PIB corriente base 1993'!V59*1000</f>
        <v>298264991.50864196</v>
      </c>
      <c r="CZ12" s="584">
        <f>'PIB corriente base 1993'!V60*1000</f>
        <v>302037522.72912598</v>
      </c>
      <c r="DA12" s="585">
        <f>'PIB corriente base 1993'!V12*1000</f>
        <v>292858877.32954299</v>
      </c>
      <c r="DB12" s="586"/>
      <c r="DC12" s="584"/>
      <c r="DD12" s="584"/>
      <c r="DE12" s="584"/>
      <c r="DF12" s="587"/>
      <c r="DH12" s="1">
        <v>2005</v>
      </c>
      <c r="DI12" s="452">
        <v>9434291</v>
      </c>
      <c r="DJ12" s="455">
        <f>'Cuenta Ahorro-Inversión-Financi'!DI12/1000/'PIB corriente base 2004'!X9</f>
        <v>1.6195146409771585E-2</v>
      </c>
      <c r="DK12" s="28">
        <v>5603319.4768000003</v>
      </c>
      <c r="DL12" s="455">
        <f>'Cuenta Ahorro-Inversión-Financi'!DK12/1000/'PIB corriente base 2004'!X9</f>
        <v>9.6188022298125779E-3</v>
      </c>
      <c r="DN12" s="1">
        <f t="shared" si="5"/>
        <v>2011</v>
      </c>
      <c r="DO12" s="1">
        <v>199490000</v>
      </c>
      <c r="DP12" s="28">
        <f t="shared" si="0"/>
        <v>11038679.15411</v>
      </c>
      <c r="DQ12" s="455">
        <f t="shared" si="1"/>
        <v>9.1550157553375269E-2</v>
      </c>
      <c r="DR12" s="455">
        <f t="shared" si="2"/>
        <v>5.065882077998545E-3</v>
      </c>
      <c r="DS12" s="455">
        <f t="shared" si="6"/>
        <v>6.2009477541962517E-2</v>
      </c>
      <c r="DU12" s="455">
        <f t="shared" si="3"/>
        <v>8.5264592543772402E-2</v>
      </c>
      <c r="DV12" s="455">
        <f t="shared" si="4"/>
        <v>4.7180734888797593E-3</v>
      </c>
      <c r="DW12" s="455">
        <f t="shared" si="7"/>
        <v>0.27911385076134182</v>
      </c>
      <c r="DX12" s="455">
        <f t="shared" si="8"/>
        <v>0.12062960632752112</v>
      </c>
    </row>
    <row r="13" spans="2:128" ht="15.75" customHeight="1">
      <c r="B13" s="455">
        <f>'Cuenta Ahorro-Inversión-Financi'!G13/'Cuenta Ahorro-Inversión-Financi'!F13</f>
        <v>0.3639879997055861</v>
      </c>
      <c r="C13" s="455">
        <f>'Cuenta Ahorro-Inversión-Financi'!S13/'Cuenta Ahorro-Inversión-Financi'!F13</f>
        <v>0.63385280000017019</v>
      </c>
      <c r="E13" s="588">
        <v>1997</v>
      </c>
      <c r="F13" s="589">
        <f>'Cuenta Ahorro-Inversión-Financi'!G13+'Cuenta Ahorro-Inversión-Financi'!R13+'Cuenta Ahorro-Inversión-Financi'!S13+'Cuenta Ahorro-Inversión-Financi'!W13</f>
        <v>16151711.38267</v>
      </c>
      <c r="G13" s="590">
        <f>'Cuenta Ahorro-Inversión-Financi'!H13+'Cuenta Ahorro-Inversión-Financi'!I13+'Cuenta Ahorro-Inversión-Financi'!J13</f>
        <v>5879029.1179999998</v>
      </c>
      <c r="H13" s="591">
        <v>1669177.7406299999</v>
      </c>
      <c r="I13" s="591">
        <v>29549.1178</v>
      </c>
      <c r="J13" s="591">
        <v>4180302.2595700002</v>
      </c>
      <c r="K13" s="592">
        <f>IVA!AU27</f>
        <v>2043538.9894920001</v>
      </c>
      <c r="L13" s="592">
        <f>'Cuenta Ahorro-Inversión-Financi'!M13+'Cuenta Ahorro-Inversión-Financi'!N13</f>
        <v>1986806.99</v>
      </c>
      <c r="M13" s="592">
        <f>IVA!AU112</f>
        <v>1473605</v>
      </c>
      <c r="N13" s="592">
        <f>IVA!AU146</f>
        <v>513201.99</v>
      </c>
      <c r="O13" s="591"/>
      <c r="P13" s="591">
        <f>IVA!AU95</f>
        <v>193825</v>
      </c>
      <c r="Q13" s="591">
        <f>IVA!AU163*0.7</f>
        <v>0</v>
      </c>
      <c r="R13" s="591">
        <v>3157.0212700000002</v>
      </c>
      <c r="S13" s="589">
        <f>'Cuenta Ahorro-Inversión-Financi'!T13+'Cuenta Ahorro-Inversión-Financi'!U13+'Cuenta Ahorro-Inversión-Financi'!V13</f>
        <v>10237807.4847</v>
      </c>
      <c r="T13" s="591">
        <v>7573541.5023299996</v>
      </c>
      <c r="U13" s="591">
        <v>1984461.8639400001</v>
      </c>
      <c r="V13" s="591">
        <v>679804.11843000003</v>
      </c>
      <c r="W13" s="591">
        <f>'Cuenta Ahorro-Inversión-Financi'!X13+'Cuenta Ahorro-Inversión-Financi'!Y13</f>
        <v>31717.758699999998</v>
      </c>
      <c r="X13" s="591">
        <v>2254.8567800000001</v>
      </c>
      <c r="Y13" s="591">
        <v>29462.90192</v>
      </c>
      <c r="Z13" s="591"/>
      <c r="AA13" s="591"/>
      <c r="AB13" s="591"/>
      <c r="AC13" s="589">
        <f>'Cuenta Ahorro-Inversión-Financi'!AD13+'Cuenta Ahorro-Inversión-Financi'!AE13</f>
        <v>208802.02321000001</v>
      </c>
      <c r="AD13" s="591">
        <v>208802.02321000001</v>
      </c>
      <c r="AE13" s="591"/>
      <c r="AF13" s="589">
        <f>'Cuenta Ahorro-Inversión-Financi'!AC13+'Cuenta Ahorro-Inversión-Financi'!F13</f>
        <v>16360513.40588</v>
      </c>
      <c r="AG13" s="589">
        <v>4254603.1140000001</v>
      </c>
      <c r="AH13" s="592">
        <f>'Cálculo masa impuestos copartic'!U9*1000</f>
        <v>3598188.087619985</v>
      </c>
      <c r="AI13" s="592"/>
      <c r="AJ13" s="592"/>
      <c r="AK13" s="592"/>
      <c r="AL13" s="592"/>
      <c r="AM13" s="591">
        <f>'Cuenta Ahorro-Inversión-Financi'!AG13-('Cuenta Ahorro-Inversión-Financi'!AH13+'Cuenta Ahorro-Inversión-Financi'!AJ13+'Cuenta Ahorro-Inversión-Financi'!AK13+'Cuenta Ahorro-Inversión-Financi'!AL13)</f>
        <v>656415.02638001507</v>
      </c>
      <c r="AN13" s="591">
        <f>'Cuenta Ahorro-Inversión-Financi'!AH13-'Cuenta Ahorro-Inversión-Financi'!CG13</f>
        <v>1484490.8212199849</v>
      </c>
      <c r="AO13" s="591">
        <f>'Cuenta Ahorro-Inversión-Financi'!AN13</f>
        <v>1484490.8212199849</v>
      </c>
      <c r="AP13" s="614" t="s">
        <v>877</v>
      </c>
      <c r="AQ13" s="614"/>
      <c r="AR13" s="614"/>
      <c r="AS13" s="594"/>
      <c r="AT13" s="594"/>
      <c r="AU13" s="594"/>
      <c r="AV13" s="610">
        <v>1997</v>
      </c>
      <c r="AW13" s="596">
        <f>'Cuenta Ahorro-Inversión-Financi'!AX13+'Cuenta Ahorro-Inversión-Financi'!BB13+'Cuenta Ahorro-Inversión-Financi'!BE13+'Cuenta Ahorro-Inversión-Financi'!BW13</f>
        <v>16575986.933939999</v>
      </c>
      <c r="AX13" s="599">
        <f>'Cuenta Ahorro-Inversión-Financi'!AY13+'Cuenta Ahorro-Inversión-Financi'!AZ13+'Cuenta Ahorro-Inversión-Financi'!BA13</f>
        <v>246102.79437000002</v>
      </c>
      <c r="AY13" s="597">
        <v>146970.04983</v>
      </c>
      <c r="AZ13" s="597">
        <f>4225.64075+87032.27746</f>
        <v>91257.918210000003</v>
      </c>
      <c r="BA13" s="597">
        <v>7874.8263299999999</v>
      </c>
      <c r="BB13" s="597">
        <v>86467.459709999996</v>
      </c>
      <c r="BC13" s="597"/>
      <c r="BD13" s="597"/>
      <c r="BE13" s="596">
        <f>'Cuenta Ahorro-Inversión-Financi'!BH13+'Cuenta Ahorro-Inversión-Financi'!BJ13</f>
        <v>14662262.7961</v>
      </c>
      <c r="BF13" s="596"/>
      <c r="BG13" s="596"/>
      <c r="BH13" s="597">
        <v>12697081.06917</v>
      </c>
      <c r="BI13" s="597"/>
      <c r="BJ13" s="597">
        <v>1965181.7269299999</v>
      </c>
      <c r="BK13" s="597"/>
      <c r="BL13" s="597">
        <v>471.80554000000001</v>
      </c>
      <c r="BM13" s="597">
        <f>'Cuenta Ahorro-Inversión-Financi'!BQ13+'Cuenta Ahorro-Inversión-Financi'!BS13</f>
        <v>1581153.8837600001</v>
      </c>
      <c r="BN13" s="598"/>
      <c r="BO13" s="598"/>
      <c r="BP13" s="597"/>
      <c r="BQ13" s="598">
        <v>1386027.1318000001</v>
      </c>
      <c r="BR13" s="598">
        <v>1834031.9492599999</v>
      </c>
      <c r="BS13" s="598">
        <v>195126.75195999999</v>
      </c>
      <c r="BT13" s="598">
        <v>316225.90165000001</v>
      </c>
      <c r="BU13" s="598"/>
      <c r="BV13" s="598"/>
      <c r="BW13" s="598">
        <f>'Cuenta Ahorro-Inversión-Financi'!BM13-'Cuenta Ahorro-Inversión-Financi'!BU13-'Cuenta Ahorro-Inversión-Financi'!BV13</f>
        <v>1581153.8837600001</v>
      </c>
      <c r="BX13" s="598">
        <v>362252.51750999998</v>
      </c>
      <c r="BY13" s="596">
        <f>'Cuenta Ahorro-Inversión-Financi'!BZ13+'Cuenta Ahorro-Inversión-Financi'!CA13</f>
        <v>8841.4613599999993</v>
      </c>
      <c r="BZ13" s="597">
        <v>8841.4613599999993</v>
      </c>
      <c r="CA13" s="597"/>
      <c r="CB13" s="597"/>
      <c r="CC13" s="597"/>
      <c r="CD13" s="597"/>
      <c r="CE13" s="597"/>
      <c r="CF13" s="596">
        <f>'Cuenta Ahorro-Inversión-Financi'!BY13+'Cuenta Ahorro-Inversión-Financi'!AW13</f>
        <v>16584828.395299999</v>
      </c>
      <c r="CG13" s="596">
        <f>'Cuenta Ahorro-Inversión-Financi'!CH13-2636695.817</f>
        <v>2113697.2664000001</v>
      </c>
      <c r="CH13" s="596">
        <v>4750393.0833999999</v>
      </c>
      <c r="CI13" s="596">
        <f>3450901.24005+288462.01752-2636695.817</f>
        <v>1102667.4405700006</v>
      </c>
      <c r="CJ13" s="596">
        <v>546500.52099999995</v>
      </c>
      <c r="CK13" s="596">
        <f>853623.47683+157406.349-CJ13</f>
        <v>464529.30483000004</v>
      </c>
      <c r="CL13" s="596"/>
      <c r="CM13" s="596"/>
      <c r="CN13" s="596">
        <f>'Cuenta Ahorro-Inversión-Financi'!F13-'Cuenta Ahorro-Inversión-Financi'!AW13</f>
        <v>-424275.55126999877</v>
      </c>
      <c r="CO13" s="597">
        <f>'Cuenta Ahorro-Inversión-Financi'!CN13+'Cuenta Ahorro-Inversión-Financi'!AC13-'Cuenta Ahorro-Inversión-Financi'!BY13</f>
        <v>-224314.98941999875</v>
      </c>
      <c r="CP13" s="597">
        <f>'Cuenta Ahorro-Inversión-Financi'!S13-'Cuenta Ahorro-Inversión-Financi'!BE13-'Cuenta Ahorro-Inversión-Financi'!BQ13-'Cuenta Ahorro-Inversión-Financi'!BS13</f>
        <v>-6005609.1951599997</v>
      </c>
      <c r="CQ13" s="597">
        <f>'Cuenta Ahorro-Inversión-Financi'!F13-'Cuenta Ahorro-Inversión-Financi'!BE13-'Cuenta Ahorro-Inversión-Financi'!BQ13-'Cuenta Ahorro-Inversión-Financi'!W13</f>
        <v>71703.69607000018</v>
      </c>
      <c r="CR13" s="597"/>
      <c r="CS13" s="616" t="s">
        <v>878</v>
      </c>
      <c r="CT13" s="616"/>
      <c r="CV13" s="579">
        <v>1998</v>
      </c>
      <c r="CW13" s="96">
        <f>'PIB corriente base 1993'!V61*1000</f>
        <v>282764232.29856801</v>
      </c>
      <c r="CX13" s="96">
        <f>'PIB corriente base 1993'!V62*1000</f>
        <v>312129111.03303897</v>
      </c>
      <c r="CY13" s="96">
        <f>'PIB corriente base 1993'!V63*1000</f>
        <v>305474768.31665099</v>
      </c>
      <c r="CZ13" s="96">
        <f>'PIB corriente base 1993'!V64*1000</f>
        <v>295425322.56857604</v>
      </c>
      <c r="DA13" s="601">
        <f>'PIB corriente base 1993'!V13*1000</f>
        <v>298948358.55420804</v>
      </c>
      <c r="DB13" s="602"/>
      <c r="DC13" s="96"/>
      <c r="DD13" s="96"/>
      <c r="DE13" s="96"/>
      <c r="DF13" s="603"/>
      <c r="DH13" s="1">
        <v>2006</v>
      </c>
      <c r="DI13" s="452">
        <v>11685685</v>
      </c>
      <c r="DJ13" s="455">
        <f>'Cuenta Ahorro-Inversión-Financi'!DI13/1000/'PIB corriente base 2004'!X10</f>
        <v>1.6322971466140913E-2</v>
      </c>
      <c r="DK13" s="28">
        <v>6733513.0545899998</v>
      </c>
      <c r="DL13" s="455">
        <f>'Cuenta Ahorro-Inversión-Financi'!DK13/1000/'PIB corriente base 2004'!X10</f>
        <v>9.4056053587752812E-3</v>
      </c>
      <c r="DN13" s="1">
        <f t="shared" si="5"/>
        <v>2012</v>
      </c>
      <c r="DO13" s="1">
        <v>244799000</v>
      </c>
      <c r="DP13" s="28">
        <f t="shared" si="0"/>
        <v>17349286.778949998</v>
      </c>
      <c r="DQ13" s="455">
        <f t="shared" si="1"/>
        <v>9.2800225513656298E-2</v>
      </c>
      <c r="DR13" s="455">
        <f t="shared" si="2"/>
        <v>6.5768966604751473E-3</v>
      </c>
      <c r="DS13" s="455">
        <f t="shared" si="6"/>
        <v>8.6968202811920386E-2</v>
      </c>
      <c r="DU13" s="455">
        <f t="shared" si="3"/>
        <v>8.5889256921693372E-2</v>
      </c>
      <c r="DV13" s="455">
        <f t="shared" si="4"/>
        <v>6.087105541956358E-3</v>
      </c>
      <c r="DW13" s="455">
        <f t="shared" si="7"/>
        <v>0.21819940954060055</v>
      </c>
      <c r="DX13" s="455">
        <f t="shared" si="8"/>
        <v>0.22712416662489349</v>
      </c>
    </row>
    <row r="14" spans="2:128" ht="15.75" customHeight="1">
      <c r="B14" s="455">
        <f>'Cuenta Ahorro-Inversión-Financi'!G14/'Cuenta Ahorro-Inversión-Financi'!F14</f>
        <v>0.39000791392237333</v>
      </c>
      <c r="C14" s="455">
        <f>'Cuenta Ahorro-Inversión-Financi'!S14/'Cuenta Ahorro-Inversión-Financi'!F14</f>
        <v>0.60887730377780436</v>
      </c>
      <c r="E14" s="588">
        <v>1998</v>
      </c>
      <c r="F14" s="604">
        <f>'Cuenta Ahorro-Inversión-Financi'!G14+'Cuenta Ahorro-Inversión-Financi'!R14+'Cuenta Ahorro-Inversión-Financi'!S14+'Cuenta Ahorro-Inversión-Financi'!W14</f>
        <v>16285156.629139999</v>
      </c>
      <c r="G14" s="605">
        <f>'Cuenta Ahorro-Inversión-Financi'!H14+'Cuenta Ahorro-Inversión-Financi'!I14+'Cuenta Ahorro-Inversión-Financi'!J14+'Cuenta Ahorro-Inversión-Financi'!O14</f>
        <v>6351339.96483</v>
      </c>
      <c r="H14" s="611">
        <v>1902253.64072</v>
      </c>
      <c r="I14" s="611">
        <v>48205.829259999999</v>
      </c>
      <c r="J14" s="611">
        <v>4334926.6174799995</v>
      </c>
      <c r="K14" s="612">
        <f>IVA!AU28</f>
        <v>2097707.4498379999</v>
      </c>
      <c r="L14" s="612">
        <f>'Cuenta Ahorro-Inversión-Financi'!M14+'Cuenta Ahorro-Inversión-Financi'!N14</f>
        <v>1855405.55</v>
      </c>
      <c r="M14" s="612">
        <f>IVA!AU113</f>
        <v>1367081</v>
      </c>
      <c r="N14" s="612">
        <f>IVA!AU147</f>
        <v>488324.55000000005</v>
      </c>
      <c r="O14" s="611">
        <v>65953.877370000002</v>
      </c>
      <c r="P14" s="611">
        <f>IVA!AU96</f>
        <v>197766</v>
      </c>
      <c r="Q14" s="611">
        <f>IVA!AU164*0.7</f>
        <v>43509.899999999994</v>
      </c>
      <c r="R14" s="611">
        <v>3656.5135399999999</v>
      </c>
      <c r="S14" s="604">
        <f>'Cuenta Ahorro-Inversión-Financi'!T14+'Cuenta Ahorro-Inversión-Financi'!U14</f>
        <v>9915662.2599499989</v>
      </c>
      <c r="T14" s="611">
        <v>7921091.7363799997</v>
      </c>
      <c r="U14" s="611">
        <v>1994570.52357</v>
      </c>
      <c r="V14" s="611"/>
      <c r="W14" s="611">
        <f>'Cuenta Ahorro-Inversión-Financi'!X14+'Cuenta Ahorro-Inversión-Financi'!Y14</f>
        <v>14497.890819999999</v>
      </c>
      <c r="X14" s="611">
        <v>654.42277000000001</v>
      </c>
      <c r="Y14" s="611">
        <v>13843.468049999999</v>
      </c>
      <c r="Z14" s="611"/>
      <c r="AA14" s="611"/>
      <c r="AB14" s="611"/>
      <c r="AC14" s="604">
        <f>'Cuenta Ahorro-Inversión-Financi'!AD14+'Cuenta Ahorro-Inversión-Financi'!AE14</f>
        <v>87288.855249999993</v>
      </c>
      <c r="AD14" s="611">
        <v>87012.997369999997</v>
      </c>
      <c r="AE14" s="611">
        <v>275.85788000000002</v>
      </c>
      <c r="AF14" s="604">
        <f>'Cuenta Ahorro-Inversión-Financi'!AC14+'Cuenta Ahorro-Inversión-Financi'!F14</f>
        <v>16372445.484389998</v>
      </c>
      <c r="AG14" s="608">
        <v>5469305.5207399996</v>
      </c>
      <c r="AH14" s="607">
        <f>'Cálculo masa impuestos copartic'!U10*1000</f>
        <v>3797640.4627122814</v>
      </c>
      <c r="AI14" s="607"/>
      <c r="AJ14" s="607"/>
      <c r="AK14" s="607"/>
      <c r="AL14" s="607"/>
      <c r="AM14" s="606">
        <f>'Cuenta Ahorro-Inversión-Financi'!AG14-('Cuenta Ahorro-Inversión-Financi'!AH14+'Cuenta Ahorro-Inversión-Financi'!AJ14+'Cuenta Ahorro-Inversión-Financi'!AK14+'Cuenta Ahorro-Inversión-Financi'!AL14)</f>
        <v>1671665.0580277182</v>
      </c>
      <c r="AN14" s="606">
        <f>'Cuenta Ahorro-Inversión-Financi'!AH14-'Cuenta Ahorro-Inversión-Financi'!CG14</f>
        <v>1352023.2290822812</v>
      </c>
      <c r="AO14" s="606">
        <f>'Cuenta Ahorro-Inversión-Financi'!AN14</f>
        <v>1352023.2290822812</v>
      </c>
      <c r="AP14" s="609" t="s">
        <v>879</v>
      </c>
      <c r="AQ14" s="609"/>
      <c r="AR14" s="609"/>
      <c r="AS14" s="594"/>
      <c r="AT14" s="594"/>
      <c r="AU14" s="594"/>
      <c r="AV14" s="610">
        <v>1998</v>
      </c>
      <c r="AW14" s="604">
        <f>'Cuenta Ahorro-Inversión-Financi'!AX14+'Cuenta Ahorro-Inversión-Financi'!BB14+'Cuenta Ahorro-Inversión-Financi'!BE14+'Cuenta Ahorro-Inversión-Financi'!BW14</f>
        <v>18824074.88225</v>
      </c>
      <c r="AX14" s="606">
        <f>'Cuenta Ahorro-Inversión-Financi'!AY14+'Cuenta Ahorro-Inversión-Financi'!AZ14</f>
        <v>231684.89786999999</v>
      </c>
      <c r="AY14" s="606">
        <v>139297.26647</v>
      </c>
      <c r="AZ14" s="606">
        <f>3576.85772+88810.77368</f>
        <v>92387.631399999998</v>
      </c>
      <c r="BA14" s="606"/>
      <c r="BB14" s="606">
        <v>74681.313200000004</v>
      </c>
      <c r="BC14" s="606"/>
      <c r="BD14" s="606"/>
      <c r="BE14" s="604">
        <v>14705376.047730001</v>
      </c>
      <c r="BF14" s="604"/>
      <c r="BG14" s="604"/>
      <c r="BH14" s="604"/>
      <c r="BI14" s="604"/>
      <c r="BJ14" s="604"/>
      <c r="BK14" s="604"/>
      <c r="BL14" s="606">
        <v>252.48541</v>
      </c>
      <c r="BM14" s="606">
        <f>'Cuenta Ahorro-Inversión-Financi'!BQ14+'Cuenta Ahorro-Inversión-Financi'!BS14+'Cuenta Ahorro-Inversión-Financi'!BR14+'Cuenta Ahorro-Inversión-Financi'!BT14</f>
        <v>3812332.6234499998</v>
      </c>
      <c r="BN14" s="607">
        <v>3642256.5150700002</v>
      </c>
      <c r="BO14" s="607">
        <v>169967.13617000001</v>
      </c>
      <c r="BP14" s="607">
        <v>108.97221</v>
      </c>
      <c r="BQ14" s="607">
        <v>1426088.28147</v>
      </c>
      <c r="BR14" s="607">
        <v>2059167.4576999999</v>
      </c>
      <c r="BS14" s="606"/>
      <c r="BT14" s="607">
        <v>327076.88428</v>
      </c>
      <c r="BU14" s="607"/>
      <c r="BV14" s="607"/>
      <c r="BW14" s="607">
        <f>'Cuenta Ahorro-Inversión-Financi'!BM14-'Cuenta Ahorro-Inversión-Financi'!BU14-'Cuenta Ahorro-Inversión-Financi'!BV14</f>
        <v>3812332.6234499998</v>
      </c>
      <c r="BX14" s="607">
        <v>2556320.4503600001</v>
      </c>
      <c r="BY14" s="604">
        <f>'Cuenta Ahorro-Inversión-Financi'!BZ14+'Cuenta Ahorro-Inversión-Financi'!CA14</f>
        <v>13983.22416</v>
      </c>
      <c r="BZ14" s="606">
        <v>13383.22416</v>
      </c>
      <c r="CA14" s="606">
        <v>600</v>
      </c>
      <c r="CB14" s="606"/>
      <c r="CC14" s="606"/>
      <c r="CD14" s="606"/>
      <c r="CE14" s="606"/>
      <c r="CF14" s="604">
        <f>'Cuenta Ahorro-Inversión-Financi'!BY14+'Cuenta Ahorro-Inversión-Financi'!AW14</f>
        <v>18838058.10641</v>
      </c>
      <c r="CG14" s="604">
        <v>2445617.2336300001</v>
      </c>
      <c r="CH14" s="604"/>
      <c r="CI14" s="604">
        <f>(1304595241.64+19200000)/1000</f>
        <v>1323795.2416400001</v>
      </c>
      <c r="CJ14" s="604">
        <f>531780434.92/1000</f>
        <v>531780.43492000003</v>
      </c>
      <c r="CK14" s="604">
        <f>1030534.99199+91287-CJ14</f>
        <v>590041.55706999998</v>
      </c>
      <c r="CL14" s="604"/>
      <c r="CM14" s="604"/>
      <c r="CN14" s="604">
        <f>'Cuenta Ahorro-Inversión-Financi'!F14-'Cuenta Ahorro-Inversión-Financi'!AW14</f>
        <v>-2538918.2531100009</v>
      </c>
      <c r="CO14" s="606">
        <f>'Cuenta Ahorro-Inversión-Financi'!CN14+'Cuenta Ahorro-Inversión-Financi'!AC14-'Cuenta Ahorro-Inversión-Financi'!BY14</f>
        <v>-2465612.6220200011</v>
      </c>
      <c r="CP14" s="606">
        <f>'Cuenta Ahorro-Inversión-Financi'!S14-'Cuenta Ahorro-Inversión-Financi'!BE14-'Cuenta Ahorro-Inversión-Financi'!BQ14</f>
        <v>-6215802.0692500016</v>
      </c>
      <c r="CQ14" s="606">
        <f>'Cuenta Ahorro-Inversión-Financi'!F14-'Cuenta Ahorro-Inversión-Financi'!BE14-'Cuenta Ahorro-Inversión-Financi'!BQ14-'Cuenta Ahorro-Inversión-Financi'!W14</f>
        <v>139194.40911999819</v>
      </c>
      <c r="CR14" s="606"/>
      <c r="CS14" s="613" t="s">
        <v>880</v>
      </c>
      <c r="CT14" s="613"/>
      <c r="CV14" s="579">
        <v>1999</v>
      </c>
      <c r="CW14" s="584">
        <f>'PIB corriente base 1993'!V65*1000</f>
        <v>270746389.618936</v>
      </c>
      <c r="CX14" s="584">
        <f>'PIB corriente base 1993'!V66*1000</f>
        <v>288829855.93614799</v>
      </c>
      <c r="CY14" s="584">
        <f>'PIB corriente base 1993'!V67*1000</f>
        <v>285087021.39066797</v>
      </c>
      <c r="CZ14" s="584">
        <f>'PIB corriente base 1993'!V68*1000</f>
        <v>289428828.97694796</v>
      </c>
      <c r="DA14" s="585">
        <f>'PIB corriente base 1993'!V14*1000</f>
        <v>283523023.98067498</v>
      </c>
      <c r="DB14" s="586"/>
      <c r="DC14" s="584"/>
      <c r="DD14" s="584"/>
      <c r="DE14" s="584"/>
      <c r="DF14" s="587"/>
      <c r="DH14" s="1">
        <v>2007</v>
      </c>
      <c r="DI14" s="452">
        <v>15064961</v>
      </c>
      <c r="DJ14" s="455">
        <f>'Cuenta Ahorro-Inversión-Financi'!DI14/1000/'PIB corriente base 2004'!X11</f>
        <v>1.6795199532238902E-2</v>
      </c>
      <c r="DK14" s="28">
        <v>8488745.6007599998</v>
      </c>
      <c r="DL14" s="455">
        <f>'Cuenta Ahorro-Inversión-Financi'!DK14/1000/'PIB corriente base 2004'!X11</f>
        <v>9.4636936758866752E-3</v>
      </c>
      <c r="DN14" s="1">
        <f t="shared" si="5"/>
        <v>2013</v>
      </c>
      <c r="DO14" s="1">
        <v>329472000</v>
      </c>
      <c r="DP14" s="28">
        <f t="shared" si="0"/>
        <v>22873121.484359998</v>
      </c>
      <c r="DQ14" s="455">
        <f t="shared" si="1"/>
        <v>9.8399535514256689E-2</v>
      </c>
      <c r="DR14" s="455">
        <f t="shared" si="2"/>
        <v>6.8312467518398812E-3</v>
      </c>
      <c r="DS14" s="455">
        <f t="shared" si="6"/>
        <v>9.3436335460357262E-2</v>
      </c>
      <c r="DU14" s="455">
        <f t="shared" si="3"/>
        <v>8.9532973932765991E-2</v>
      </c>
      <c r="DV14" s="455">
        <f t="shared" si="4"/>
        <v>6.2156984193503352E-3</v>
      </c>
      <c r="DW14" s="455">
        <f t="shared" si="7"/>
        <v>0.29111434962685118</v>
      </c>
      <c r="DX14" s="455">
        <f t="shared" si="8"/>
        <v>0.34588785084906393</v>
      </c>
    </row>
    <row r="15" spans="2:128" ht="15.75" customHeight="1">
      <c r="B15" s="455">
        <f>'Cuenta Ahorro-Inversión-Financi'!G15/'Cuenta Ahorro-Inversión-Financi'!F15</f>
        <v>0.40115954754407218</v>
      </c>
      <c r="C15" s="455">
        <f>'Cuenta Ahorro-Inversión-Financi'!S15/'Cuenta Ahorro-Inversión-Financi'!F15</f>
        <v>0.59759466064640898</v>
      </c>
      <c r="E15" s="588">
        <v>1999</v>
      </c>
      <c r="F15" s="589">
        <f>'Cuenta Ahorro-Inversión-Financi'!G15+'Cuenta Ahorro-Inversión-Financi'!R15+'Cuenta Ahorro-Inversión-Financi'!S15+'Cuenta Ahorro-Inversión-Financi'!W15</f>
        <v>15105454.73667</v>
      </c>
      <c r="G15" s="590">
        <f>'Cuenta Ahorro-Inversión-Financi'!H15+'Cuenta Ahorro-Inversión-Financi'!I15+'Cuenta Ahorro-Inversión-Financi'!J15+'Cuenta Ahorro-Inversión-Financi'!O15</f>
        <v>6059697.3876099996</v>
      </c>
      <c r="H15" s="591">
        <v>1850960.8851099999</v>
      </c>
      <c r="I15" s="591">
        <v>34142.563069999997</v>
      </c>
      <c r="J15" s="591">
        <v>3909389.13943</v>
      </c>
      <c r="K15" s="592">
        <f>IVA!AU29</f>
        <v>1876157.7644810001</v>
      </c>
      <c r="L15" s="592">
        <f>'Cuenta Ahorro-Inversión-Financi'!M15+'Cuenta Ahorro-Inversión-Financi'!N15</f>
        <v>1868434.31</v>
      </c>
      <c r="M15" s="592">
        <f>IVA!AU114</f>
        <v>1411367</v>
      </c>
      <c r="N15" s="592">
        <f>IVA!AU148</f>
        <v>457067.30999999994</v>
      </c>
      <c r="O15" s="591">
        <v>265204.8</v>
      </c>
      <c r="P15" s="591">
        <f>IVA!AU97</f>
        <v>196994</v>
      </c>
      <c r="Q15" s="591">
        <f>IVA!AU165*0.7</f>
        <v>193381.3</v>
      </c>
      <c r="R15" s="591">
        <v>16294.644539999999</v>
      </c>
      <c r="S15" s="589">
        <f>'Cuenta Ahorro-Inversión-Financi'!T15+'Cuenta Ahorro-Inversión-Financi'!U15</f>
        <v>9026939.0972700007</v>
      </c>
      <c r="T15" s="591">
        <v>7061301.0088200001</v>
      </c>
      <c r="U15" s="591">
        <v>1965638.0884499999</v>
      </c>
      <c r="V15" s="591"/>
      <c r="W15" s="591">
        <f>'Cuenta Ahorro-Inversión-Financi'!X15+'Cuenta Ahorro-Inversión-Financi'!Y15</f>
        <v>2523.60725</v>
      </c>
      <c r="X15" s="591">
        <v>1493.49044</v>
      </c>
      <c r="Y15" s="591">
        <v>1030.11681</v>
      </c>
      <c r="Z15" s="591"/>
      <c r="AA15" s="591"/>
      <c r="AB15" s="591"/>
      <c r="AC15" s="589">
        <f>'Cuenta Ahorro-Inversión-Financi'!AD15+'Cuenta Ahorro-Inversión-Financi'!AE15</f>
        <v>63245.389430000003</v>
      </c>
      <c r="AD15" s="591">
        <v>63245.389430000003</v>
      </c>
      <c r="AE15" s="591"/>
      <c r="AF15" s="589">
        <f>'Cuenta Ahorro-Inversión-Financi'!AC15+'Cuenta Ahorro-Inversión-Financi'!F15</f>
        <v>15168700.1261</v>
      </c>
      <c r="AG15" s="589">
        <v>6958966.5070000002</v>
      </c>
      <c r="AH15" s="592">
        <f>'Cálculo masa impuestos copartic'!U11*1000</f>
        <v>3702544.4745262121</v>
      </c>
      <c r="AI15" s="592"/>
      <c r="AJ15" s="592"/>
      <c r="AK15" s="592"/>
      <c r="AL15" s="592"/>
      <c r="AM15" s="591">
        <f>'Cuenta Ahorro-Inversión-Financi'!AG15-('Cuenta Ahorro-Inversión-Financi'!AH15+'Cuenta Ahorro-Inversión-Financi'!AJ15+'Cuenta Ahorro-Inversión-Financi'!AK15+'Cuenta Ahorro-Inversión-Financi'!AL15)</f>
        <v>3256422.0324737881</v>
      </c>
      <c r="AN15" s="591">
        <f>'Cuenta Ahorro-Inversión-Financi'!AH15-'Cuenta Ahorro-Inversión-Financi'!CG15</f>
        <v>1241117.1404962121</v>
      </c>
      <c r="AO15" s="591">
        <f>'Cuenta Ahorro-Inversión-Financi'!AN15</f>
        <v>1241117.1404962121</v>
      </c>
      <c r="AP15" s="614" t="s">
        <v>881</v>
      </c>
      <c r="AQ15" s="614"/>
      <c r="AR15" s="614"/>
      <c r="AS15" s="594"/>
      <c r="AT15" s="594"/>
      <c r="AU15" s="594"/>
      <c r="AV15" s="610">
        <v>1999</v>
      </c>
      <c r="AW15" s="596">
        <f>'Cuenta Ahorro-Inversión-Financi'!AX15+'Cuenta Ahorro-Inversión-Financi'!BB15+'Cuenta Ahorro-Inversión-Financi'!BE15+'Cuenta Ahorro-Inversión-Financi'!BW15</f>
        <v>18972498.74862</v>
      </c>
      <c r="AX15" s="599">
        <f>'Cuenta Ahorro-Inversión-Financi'!AY15+'Cuenta Ahorro-Inversión-Financi'!AZ15</f>
        <v>239526.32367000001</v>
      </c>
      <c r="AY15" s="597">
        <v>145895.66</v>
      </c>
      <c r="AZ15" s="597">
        <v>93630.663669999994</v>
      </c>
      <c r="BA15" s="597"/>
      <c r="BB15" s="597">
        <v>4033.5555599999998</v>
      </c>
      <c r="BC15" s="597"/>
      <c r="BD15" s="597"/>
      <c r="BE15" s="596">
        <v>14672228.68991</v>
      </c>
      <c r="BF15" s="596"/>
      <c r="BG15" s="596"/>
      <c r="BH15" s="597"/>
      <c r="BI15" s="597"/>
      <c r="BJ15" s="597"/>
      <c r="BK15" s="597"/>
      <c r="BL15" s="597">
        <v>321.41527000000002</v>
      </c>
      <c r="BM15" s="597">
        <f>'Cuenta Ahorro-Inversión-Financi'!BQ15+'Cuenta Ahorro-Inversión-Financi'!BS15+'Cuenta Ahorro-Inversión-Financi'!BR15+'Cuenta Ahorro-Inversión-Financi'!BT15</f>
        <v>4056710.1794799999</v>
      </c>
      <c r="BN15" s="598">
        <v>3892282.8225599998</v>
      </c>
      <c r="BO15" s="598">
        <v>164321.77632</v>
      </c>
      <c r="BP15" s="598">
        <v>105.5806</v>
      </c>
      <c r="BQ15" s="598">
        <v>1665195.4306300001</v>
      </c>
      <c r="BR15" s="598">
        <v>2077571.46401</v>
      </c>
      <c r="BS15" s="597"/>
      <c r="BT15" s="598">
        <v>313943.28483999998</v>
      </c>
      <c r="BU15" s="598"/>
      <c r="BV15" s="598"/>
      <c r="BW15" s="598">
        <f>'Cuenta Ahorro-Inversión-Financi'!BM15-'Cuenta Ahorro-Inversión-Financi'!BU15-'Cuenta Ahorro-Inversión-Financi'!BV15</f>
        <v>4056710.1794799999</v>
      </c>
      <c r="BX15" s="598">
        <v>2555642.6577699999</v>
      </c>
      <c r="BY15" s="596">
        <f>'Cuenta Ahorro-Inversión-Financi'!BZ15+'Cuenta Ahorro-Inversión-Financi'!CA15</f>
        <v>6710.9868999999999</v>
      </c>
      <c r="BZ15" s="597">
        <v>5050.9868999999999</v>
      </c>
      <c r="CA15" s="597">
        <v>1660</v>
      </c>
      <c r="CB15" s="597"/>
      <c r="CC15" s="597"/>
      <c r="CD15" s="597"/>
      <c r="CE15" s="597"/>
      <c r="CF15" s="596">
        <f>'Cuenta Ahorro-Inversión-Financi'!BY15+'Cuenta Ahorro-Inversión-Financi'!AW15</f>
        <v>18979209.735520002</v>
      </c>
      <c r="CG15" s="596">
        <v>2461427.33403</v>
      </c>
      <c r="CH15" s="596"/>
      <c r="CI15" s="596">
        <f>(73938269.54+1334413547.09)/1000</f>
        <v>1408351.8166299998</v>
      </c>
      <c r="CJ15" s="596">
        <f>540982768.27/1000</f>
        <v>540982.76827</v>
      </c>
      <c r="CK15" s="596">
        <f>(1053053017.4+22500)/1000-CJ15</f>
        <v>512092.74913000001</v>
      </c>
      <c r="CL15" s="596"/>
      <c r="CM15" s="596"/>
      <c r="CN15" s="596">
        <f>'Cuenta Ahorro-Inversión-Financi'!F15-'Cuenta Ahorro-Inversión-Financi'!AW15</f>
        <v>-3867044.0119499993</v>
      </c>
      <c r="CO15" s="597">
        <f>'Cuenta Ahorro-Inversión-Financi'!CN15+'Cuenta Ahorro-Inversión-Financi'!AC15-'Cuenta Ahorro-Inversión-Financi'!BY15</f>
        <v>-3810509.6094199992</v>
      </c>
      <c r="CP15" s="597">
        <f>'Cuenta Ahorro-Inversión-Financi'!S15-'Cuenta Ahorro-Inversión-Financi'!BE15-'Cuenta Ahorro-Inversión-Financi'!BQ15</f>
        <v>-7310485.0232699998</v>
      </c>
      <c r="CQ15" s="597">
        <f>'Cuenta Ahorro-Inversión-Financi'!F15-'Cuenta Ahorro-Inversión-Financi'!BE15-'Cuenta Ahorro-Inversión-Financi'!BQ15-'Cuenta Ahorro-Inversión-Financi'!W15</f>
        <v>-1234492.9911199997</v>
      </c>
      <c r="CR15" s="597"/>
      <c r="CS15" s="616" t="s">
        <v>882</v>
      </c>
      <c r="CT15" s="616"/>
      <c r="CV15" s="579">
        <v>2000</v>
      </c>
      <c r="CW15" s="96">
        <f>'PIB corriente base 1993'!V69*1000</f>
        <v>270444298.06208497</v>
      </c>
      <c r="CX15" s="96">
        <f>'PIB corriente base 1993'!V70*1000</f>
        <v>291796004.44679397</v>
      </c>
      <c r="CY15" s="96">
        <f>'PIB corriente base 1993'!V71*1000</f>
        <v>287495642.39376104</v>
      </c>
      <c r="CZ15" s="96">
        <f>'PIB corriente base 1993'!V72*1000</f>
        <v>287079012.35584795</v>
      </c>
      <c r="DA15" s="601">
        <f>'PIB corriente base 1993'!V15*1000</f>
        <v>284203739.31462198</v>
      </c>
      <c r="DB15" s="602"/>
      <c r="DC15" s="96"/>
      <c r="DD15" s="96"/>
      <c r="DE15" s="96"/>
      <c r="DF15" s="603"/>
      <c r="DH15" s="1">
        <v>2008</v>
      </c>
      <c r="DI15" s="452">
        <v>19495157</v>
      </c>
      <c r="DJ15" s="455">
        <f>'Cuenta Ahorro-Inversión-Financi'!DI15/1000/'PIB corriente base 2004'!X12</f>
        <v>1.695752906888327E-2</v>
      </c>
      <c r="DK15" s="28">
        <v>10735671.1304</v>
      </c>
      <c r="DL15" s="455">
        <f>'Cuenta Ahorro-Inversión-Financi'!DK15/1000/'PIB corriente base 2004'!X12</f>
        <v>9.3382400186738136E-3</v>
      </c>
      <c r="DN15" s="1">
        <f t="shared" si="5"/>
        <v>2014</v>
      </c>
      <c r="DO15" s="1">
        <v>472265000</v>
      </c>
      <c r="DP15" s="28">
        <f t="shared" si="0"/>
        <v>38383803.980110005</v>
      </c>
      <c r="DQ15" s="455">
        <f t="shared" si="1"/>
        <v>0.10313520124436268</v>
      </c>
      <c r="DR15" s="455">
        <f t="shared" si="2"/>
        <v>8.3824152711143417E-3</v>
      </c>
      <c r="DS15" s="455">
        <f t="shared" si="6"/>
        <v>0.11650095904996481</v>
      </c>
      <c r="DU15" s="455">
        <f t="shared" si="3"/>
        <v>9.4253856740313946E-2</v>
      </c>
      <c r="DV15" s="455">
        <f t="shared" si="4"/>
        <v>7.6605752310452404E-3</v>
      </c>
      <c r="DW15" s="455">
        <f t="shared" si="7"/>
        <v>0.36160497288655086</v>
      </c>
      <c r="DX15" s="455">
        <f t="shared" si="8"/>
        <v>0.43339949980574982</v>
      </c>
    </row>
    <row r="16" spans="2:128" ht="15.75" customHeight="1">
      <c r="B16" s="455">
        <f>'Cuenta Ahorro-Inversión-Financi'!G16/'Cuenta Ahorro-Inversión-Financi'!F16</f>
        <v>0.43123834862860799</v>
      </c>
      <c r="C16" s="455">
        <f>'Cuenta Ahorro-Inversión-Financi'!S16/'Cuenta Ahorro-Inversión-Financi'!F16</f>
        <v>0.56833247238801976</v>
      </c>
      <c r="E16" s="588">
        <v>2000</v>
      </c>
      <c r="F16" s="604">
        <f>'Cuenta Ahorro-Inversión-Financi'!G16+'Cuenta Ahorro-Inversión-Financi'!R16+'Cuenta Ahorro-Inversión-Financi'!S16+'Cuenta Ahorro-Inversión-Financi'!W16</f>
        <v>15512852.487989997</v>
      </c>
      <c r="G16" s="605">
        <f>'Cuenta Ahorro-Inversión-Financi'!H16+'Cuenta Ahorro-Inversión-Financi'!I16+'Cuenta Ahorro-Inversión-Financi'!J16+'Cuenta Ahorro-Inversión-Financi'!O16</f>
        <v>6689736.8894399991</v>
      </c>
      <c r="H16" s="611">
        <v>2095954.20594</v>
      </c>
      <c r="I16" s="611">
        <v>38941.580190000001</v>
      </c>
      <c r="J16" s="611">
        <v>3816721.3033099999</v>
      </c>
      <c r="K16" s="612">
        <f>IVA!AU30</f>
        <v>1959837.8538478839</v>
      </c>
      <c r="L16" s="612">
        <f>'Cuenta Ahorro-Inversión-Financi'!M16+'Cuenta Ahorro-Inversión-Financi'!N16</f>
        <v>1776845.4022295002</v>
      </c>
      <c r="M16" s="612">
        <f>IVA!AU115</f>
        <v>1324586.2619000003</v>
      </c>
      <c r="N16" s="612">
        <f>IVA!AU149</f>
        <v>452259.14032949996</v>
      </c>
      <c r="O16" s="611">
        <v>738119.8</v>
      </c>
      <c r="P16" s="611">
        <f>IVA!AU98</f>
        <v>487254.75526000001</v>
      </c>
      <c r="Q16" s="611">
        <f>IVA!AU166*0.7</f>
        <v>225126.79826700001</v>
      </c>
      <c r="R16" s="611">
        <v>5213.87003</v>
      </c>
      <c r="S16" s="604">
        <f>'Cuenta Ahorro-Inversión-Financi'!T16+'Cuenta Ahorro-Inversión-Financi'!U16</f>
        <v>8816457.8082899991</v>
      </c>
      <c r="T16" s="611">
        <v>6712857.2423599996</v>
      </c>
      <c r="U16" s="611">
        <v>2103600.56593</v>
      </c>
      <c r="V16" s="611"/>
      <c r="W16" s="611">
        <f>'Cuenta Ahorro-Inversión-Financi'!X16+'Cuenta Ahorro-Inversión-Financi'!Y16</f>
        <v>1443.9202299999999</v>
      </c>
      <c r="X16" s="611">
        <v>1443.9202299999999</v>
      </c>
      <c r="Y16" s="611"/>
      <c r="Z16" s="611"/>
      <c r="AA16" s="611"/>
      <c r="AB16" s="611"/>
      <c r="AC16" s="604">
        <f>'Cuenta Ahorro-Inversión-Financi'!AD16+'Cuenta Ahorro-Inversión-Financi'!AE16</f>
        <v>82996.155939999997</v>
      </c>
      <c r="AD16" s="611">
        <v>82996.155939999997</v>
      </c>
      <c r="AE16" s="611"/>
      <c r="AF16" s="604">
        <f>'Cuenta Ahorro-Inversión-Financi'!AC16+'Cuenta Ahorro-Inversión-Financi'!F16</f>
        <v>15595848.643929997</v>
      </c>
      <c r="AG16" s="608">
        <v>6052619.3360000001</v>
      </c>
      <c r="AH16" s="607">
        <f>'Cálculo masa impuestos copartic'!U12*1000</f>
        <v>3765213.684469603</v>
      </c>
      <c r="AI16" s="607"/>
      <c r="AJ16" s="607"/>
      <c r="AK16" s="607"/>
      <c r="AL16" s="607"/>
      <c r="AM16" s="606">
        <f>'Cuenta Ahorro-Inversión-Financi'!AG16-('Cuenta Ahorro-Inversión-Financi'!AH16+'Cuenta Ahorro-Inversión-Financi'!AJ16+'Cuenta Ahorro-Inversión-Financi'!AK16+'Cuenta Ahorro-Inversión-Financi'!AL16)</f>
        <v>2287405.6515303971</v>
      </c>
      <c r="AN16" s="606">
        <f>'Cuenta Ahorro-Inversión-Financi'!AH16-'Cuenta Ahorro-Inversión-Financi'!CG16</f>
        <v>1371140.0927096028</v>
      </c>
      <c r="AO16" s="606">
        <f>'Cuenta Ahorro-Inversión-Financi'!AN16</f>
        <v>1371140.0927096028</v>
      </c>
      <c r="AP16" s="609" t="s">
        <v>883</v>
      </c>
      <c r="AQ16" s="609"/>
      <c r="AR16" s="609"/>
      <c r="AS16" s="594"/>
      <c r="AT16" s="594"/>
      <c r="AU16" s="594"/>
      <c r="AV16" s="610">
        <v>2000</v>
      </c>
      <c r="AW16" s="604">
        <f>'Cuenta Ahorro-Inversión-Financi'!AX16+'Cuenta Ahorro-Inversión-Financi'!BB16+'Cuenta Ahorro-Inversión-Financi'!BE16+'Cuenta Ahorro-Inversión-Financi'!BW16</f>
        <v>19118281.12071</v>
      </c>
      <c r="AX16" s="606">
        <f>'Cuenta Ahorro-Inversión-Financi'!AY16+'Cuenta Ahorro-Inversión-Financi'!AZ16</f>
        <v>215402.99416</v>
      </c>
      <c r="AY16" s="606">
        <v>136565.76000000001</v>
      </c>
      <c r="AZ16" s="606">
        <v>78837.234160000007</v>
      </c>
      <c r="BA16" s="606"/>
      <c r="BB16" s="606">
        <v>1700</v>
      </c>
      <c r="BC16" s="606"/>
      <c r="BD16" s="606"/>
      <c r="BE16" s="604">
        <v>14736000.84866</v>
      </c>
      <c r="BF16" s="604"/>
      <c r="BG16" s="604"/>
      <c r="BH16" s="604"/>
      <c r="BI16" s="604"/>
      <c r="BJ16" s="604"/>
      <c r="BK16" s="604"/>
      <c r="BL16" s="606">
        <v>239.91913</v>
      </c>
      <c r="BM16" s="606">
        <v>4165177.27789</v>
      </c>
      <c r="BN16" s="607">
        <v>3997048.3812500001</v>
      </c>
      <c r="BO16" s="607">
        <v>168053.71562999999</v>
      </c>
      <c r="BP16" s="607">
        <v>75.181010000000001</v>
      </c>
      <c r="BQ16" s="607">
        <v>1742407.70325</v>
      </c>
      <c r="BR16" s="607">
        <v>2086290.7486399999</v>
      </c>
      <c r="BS16" s="606"/>
      <c r="BT16" s="607">
        <v>336478.826</v>
      </c>
      <c r="BU16" s="607"/>
      <c r="BV16" s="607"/>
      <c r="BW16" s="607">
        <f>'Cuenta Ahorro-Inversión-Financi'!BM16-'Cuenta Ahorro-Inversión-Financi'!BU16-'Cuenta Ahorro-Inversión-Financi'!BV16</f>
        <v>4165177.27789</v>
      </c>
      <c r="BX16" s="607">
        <v>2590803.25128</v>
      </c>
      <c r="BY16" s="604">
        <f>'Cuenta Ahorro-Inversión-Financi'!BZ16+'Cuenta Ahorro-Inversión-Financi'!CA16</f>
        <v>5168.1233499999998</v>
      </c>
      <c r="BZ16" s="606">
        <v>5168.1233499999998</v>
      </c>
      <c r="CA16" s="606"/>
      <c r="CB16" s="606"/>
      <c r="CC16" s="606"/>
      <c r="CD16" s="606"/>
      <c r="CE16" s="606"/>
      <c r="CF16" s="604">
        <f>'Cuenta Ahorro-Inversión-Financi'!BY16+'Cuenta Ahorro-Inversión-Financi'!AW16</f>
        <v>19123449.244059999</v>
      </c>
      <c r="CG16" s="604">
        <v>2394073.5917600002</v>
      </c>
      <c r="CH16" s="604"/>
      <c r="CI16" s="604">
        <f>1300825337.34/1000</f>
        <v>1300825.3373399999</v>
      </c>
      <c r="CJ16" s="604">
        <f>668539287.47/1000</f>
        <v>668539.28746999998</v>
      </c>
      <c r="CK16" s="604">
        <f>(1052557742.67+40690511.75)/1000-CJ16</f>
        <v>424708.96695000015</v>
      </c>
      <c r="CL16" s="604"/>
      <c r="CM16" s="604"/>
      <c r="CN16" s="604">
        <f>'Cuenta Ahorro-Inversión-Financi'!F16-'Cuenta Ahorro-Inversión-Financi'!AW16</f>
        <v>-3605428.6327200029</v>
      </c>
      <c r="CO16" s="606">
        <f>'Cuenta Ahorro-Inversión-Financi'!CN16+'Cuenta Ahorro-Inversión-Financi'!AC16-'Cuenta Ahorro-Inversión-Financi'!BY16</f>
        <v>-3527600.6001300029</v>
      </c>
      <c r="CP16" s="606">
        <f>'Cuenta Ahorro-Inversión-Financi'!S16-'Cuenta Ahorro-Inversión-Financi'!BE16-'Cuenta Ahorro-Inversión-Financi'!BQ16</f>
        <v>-7661950.7436200008</v>
      </c>
      <c r="CQ16" s="606">
        <f>'Cuenta Ahorro-Inversión-Financi'!F16-'Cuenta Ahorro-Inversión-Financi'!BE16-'Cuenta Ahorro-Inversión-Financi'!BQ16-'Cuenta Ahorro-Inversión-Financi'!W16</f>
        <v>-966999.98415000224</v>
      </c>
      <c r="CR16" s="606"/>
      <c r="CS16" s="613" t="s">
        <v>884</v>
      </c>
      <c r="CT16" s="613"/>
      <c r="CV16" s="579">
        <v>2001</v>
      </c>
      <c r="CW16" s="584">
        <f>'PIB corriente base 1993'!V73*1000</f>
        <v>263330588.68695301</v>
      </c>
      <c r="CX16" s="584">
        <f>'PIB corriente base 1993'!V74*1000</f>
        <v>288026075.22980601</v>
      </c>
      <c r="CY16" s="584">
        <f>'PIB corriente base 1993'!V75*1000</f>
        <v>271367227.09886003</v>
      </c>
      <c r="CZ16" s="584">
        <f>'PIB corriente base 1993'!V76*1000</f>
        <v>252062944.321547</v>
      </c>
      <c r="DA16" s="585">
        <f>'PIB corriente base 1993'!V16*1000</f>
        <v>268696708.83429199</v>
      </c>
      <c r="DB16" s="586"/>
      <c r="DC16" s="584"/>
      <c r="DD16" s="584"/>
      <c r="DE16" s="584"/>
      <c r="DF16" s="587"/>
      <c r="DH16" s="1">
        <v>2009</v>
      </c>
      <c r="DI16" s="452">
        <v>20561471</v>
      </c>
      <c r="DJ16" s="455">
        <f>'Cuenta Ahorro-Inversión-Financi'!DI16/1000/'PIB corriente base 2004'!X13</f>
        <v>1.6476471473188443E-2</v>
      </c>
      <c r="DK16" s="28">
        <v>11102856.861199999</v>
      </c>
      <c r="DL16" s="455">
        <f>'Cuenta Ahorro-Inversión-Financi'!DK16/1000/'PIB corriente base 2004'!X13</f>
        <v>8.8970241644898054E-3</v>
      </c>
      <c r="DN16" s="1">
        <f t="shared" si="5"/>
        <v>2015</v>
      </c>
      <c r="DO16" s="1">
        <v>664029000</v>
      </c>
      <c r="DP16" s="28">
        <f t="shared" si="0"/>
        <v>53180983.236749999</v>
      </c>
      <c r="DQ16" s="455">
        <f t="shared" si="1"/>
        <v>0.11151696783028424</v>
      </c>
      <c r="DR16" s="455">
        <f t="shared" si="2"/>
        <v>8.9312093248872185E-3</v>
      </c>
      <c r="DS16" s="455">
        <f t="shared" si="6"/>
        <v>0.11260835174478312</v>
      </c>
      <c r="DU16" s="455">
        <f t="shared" si="3"/>
        <v>0.10134535839566343</v>
      </c>
      <c r="DV16" s="455">
        <f t="shared" si="4"/>
        <v>8.116581965489757E-3</v>
      </c>
      <c r="DW16" s="455">
        <f t="shared" si="7"/>
        <v>0.30766515982263376</v>
      </c>
      <c r="DX16" s="455">
        <f t="shared" si="8"/>
        <v>0.40605168708246431</v>
      </c>
    </row>
    <row r="17" spans="1:135" ht="15.75" customHeight="1">
      <c r="B17" s="455">
        <f>'Cuenta Ahorro-Inversión-Financi'!G17/'Cuenta Ahorro-Inversión-Financi'!F17</f>
        <v>0.41919767556842275</v>
      </c>
      <c r="C17" s="455">
        <f>'Cuenta Ahorro-Inversión-Financi'!S17/'Cuenta Ahorro-Inversión-Financi'!F17</f>
        <v>0.57775711750973113</v>
      </c>
      <c r="E17" s="588">
        <v>2001</v>
      </c>
      <c r="F17" s="589">
        <f>'Cuenta Ahorro-Inversión-Financi'!G17+'Cuenta Ahorro-Inversión-Financi'!R17+'Cuenta Ahorro-Inversión-Financi'!S17+'Cuenta Ahorro-Inversión-Financi'!W17</f>
        <v>13647956.7355</v>
      </c>
      <c r="G17" s="590">
        <f>'Cuenta Ahorro-Inversión-Financi'!H17+'Cuenta Ahorro-Inversión-Financi'!I17+'Cuenta Ahorro-Inversión-Financi'!J17+'Cuenta Ahorro-Inversión-Financi'!O17</f>
        <v>5721191.7397799995</v>
      </c>
      <c r="H17" s="591">
        <v>1994592.0704699999</v>
      </c>
      <c r="I17" s="591">
        <v>29957.944289999999</v>
      </c>
      <c r="J17" s="591">
        <v>3262688.22432</v>
      </c>
      <c r="K17" s="592">
        <f>IVA!AU31</f>
        <v>1582734.8478956614</v>
      </c>
      <c r="L17" s="592">
        <f>'Cuenta Ahorro-Inversión-Financi'!M17+'Cuenta Ahorro-Inversión-Financi'!N17</f>
        <v>1739519.1815753002</v>
      </c>
      <c r="M17" s="592">
        <f>IVA!AU116</f>
        <v>1357144.4368100001</v>
      </c>
      <c r="N17" s="592">
        <f>IVA!AU150</f>
        <v>382374.74476530001</v>
      </c>
      <c r="O17" s="591">
        <v>433953.50069999998</v>
      </c>
      <c r="P17" s="591">
        <f>IVA!AU99</f>
        <v>225853.29969000001</v>
      </c>
      <c r="Q17" s="591">
        <f>IVA!AU167*0.7</f>
        <v>213002.63159</v>
      </c>
      <c r="R17" s="591">
        <v>41217.05386</v>
      </c>
      <c r="S17" s="589">
        <f>'Cuenta Ahorro-Inversión-Financi'!T17+'Cuenta Ahorro-Inversión-Financi'!U17</f>
        <v>7885204.1434000004</v>
      </c>
      <c r="T17" s="591">
        <v>6415367.5911600003</v>
      </c>
      <c r="U17" s="591">
        <v>1469836.5522400001</v>
      </c>
      <c r="V17" s="591"/>
      <c r="W17" s="591">
        <f>'Cuenta Ahorro-Inversión-Financi'!X17+'Cuenta Ahorro-Inversión-Financi'!Y17</f>
        <v>343.79845999999998</v>
      </c>
      <c r="X17" s="591">
        <v>343.79845999999998</v>
      </c>
      <c r="Y17" s="591"/>
      <c r="Z17" s="591"/>
      <c r="AA17" s="591"/>
      <c r="AB17" s="591"/>
      <c r="AC17" s="589">
        <f>'Cuenta Ahorro-Inversión-Financi'!AD17+'Cuenta Ahorro-Inversión-Financi'!AE17</f>
        <v>4777.7691000000004</v>
      </c>
      <c r="AD17" s="591">
        <v>4777.7691000000004</v>
      </c>
      <c r="AE17" s="591"/>
      <c r="AF17" s="589">
        <f>'Cuenta Ahorro-Inversión-Financi'!AC17+'Cuenta Ahorro-Inversión-Financi'!F17</f>
        <v>13652734.5046</v>
      </c>
      <c r="AG17" s="589">
        <v>6487130.574</v>
      </c>
      <c r="AH17" s="592">
        <f>'Cálculo masa impuestos copartic'!U13*1000</f>
        <v>3343942.456313069</v>
      </c>
      <c r="AI17" s="592"/>
      <c r="AJ17" s="592"/>
      <c r="AK17" s="592"/>
      <c r="AL17" s="592"/>
      <c r="AM17" s="591">
        <f>'Cuenta Ahorro-Inversión-Financi'!AG17-('Cuenta Ahorro-Inversión-Financi'!AH17+'Cuenta Ahorro-Inversión-Financi'!AJ17+'Cuenta Ahorro-Inversión-Financi'!AK17+'Cuenta Ahorro-Inversión-Financi'!AL17)</f>
        <v>3143188.117686931</v>
      </c>
      <c r="AN17" s="591">
        <f>'Cuenta Ahorro-Inversión-Financi'!AH17-'Cuenta Ahorro-Inversión-Financi'!CG17</f>
        <v>1058361.6430730689</v>
      </c>
      <c r="AO17" s="591">
        <f>'Cuenta Ahorro-Inversión-Financi'!AN17</f>
        <v>1058361.6430730689</v>
      </c>
      <c r="AP17" s="614" t="s">
        <v>883</v>
      </c>
      <c r="AQ17" s="614"/>
      <c r="AR17" s="614"/>
      <c r="AS17" s="594"/>
      <c r="AT17" s="594"/>
      <c r="AU17" s="594"/>
      <c r="AV17" s="610">
        <v>2001</v>
      </c>
      <c r="AW17" s="596">
        <f>'Cuenta Ahorro-Inversión-Financi'!AX17+'Cuenta Ahorro-Inversión-Financi'!BB17+'Cuenta Ahorro-Inversión-Financi'!BE17+'Cuenta Ahorro-Inversión-Financi'!BW17</f>
        <v>17999214.210930001</v>
      </c>
      <c r="AX17" s="599">
        <f>'Cuenta Ahorro-Inversión-Financi'!AY17+'Cuenta Ahorro-Inversión-Financi'!AZ17</f>
        <v>184976.21637000001</v>
      </c>
      <c r="AY17" s="597">
        <v>125278.75</v>
      </c>
      <c r="AZ17" s="597">
        <v>59697.466370000002</v>
      </c>
      <c r="BA17" s="597"/>
      <c r="BB17" s="597">
        <v>19.414999999999999</v>
      </c>
      <c r="BC17" s="597"/>
      <c r="BD17" s="597"/>
      <c r="BE17" s="596">
        <v>14112362.47576</v>
      </c>
      <c r="BF17" s="596"/>
      <c r="BG17" s="596"/>
      <c r="BH17" s="597"/>
      <c r="BI17" s="597"/>
      <c r="BJ17" s="597"/>
      <c r="BK17" s="597"/>
      <c r="BL17" s="597">
        <v>0.26332</v>
      </c>
      <c r="BM17" s="597">
        <v>3701856.1038000002</v>
      </c>
      <c r="BN17" s="598">
        <v>3559464.3131599999</v>
      </c>
      <c r="BO17" s="598">
        <v>142265.99523</v>
      </c>
      <c r="BP17" s="598">
        <v>125.79541</v>
      </c>
      <c r="BQ17" s="598">
        <v>1670406.61644</v>
      </c>
      <c r="BR17" s="598">
        <v>2031449.4873599999</v>
      </c>
      <c r="BS17" s="597"/>
      <c r="BT17" s="597"/>
      <c r="BU17" s="597"/>
      <c r="BV17" s="597"/>
      <c r="BW17" s="597">
        <f>'Cuenta Ahorro-Inversión-Financi'!BM17-'Cuenta Ahorro-Inversión-Financi'!BU17-'Cuenta Ahorro-Inversión-Financi'!BV17</f>
        <v>3701856.1038000002</v>
      </c>
      <c r="BX17" s="598">
        <v>2173864.0780000002</v>
      </c>
      <c r="BY17" s="596">
        <f>'Cuenta Ahorro-Inversión-Financi'!BZ17+'Cuenta Ahorro-Inversión-Financi'!CA17</f>
        <v>4323.7665699999998</v>
      </c>
      <c r="BZ17" s="597">
        <v>4323.7665699999998</v>
      </c>
      <c r="CA17" s="597"/>
      <c r="CB17" s="597"/>
      <c r="CC17" s="597"/>
      <c r="CD17" s="597"/>
      <c r="CE17" s="597"/>
      <c r="CF17" s="596">
        <f>'Cuenta Ahorro-Inversión-Financi'!BY17+'Cuenta Ahorro-Inversión-Financi'!AW17</f>
        <v>18003537.977500003</v>
      </c>
      <c r="CG17" s="596">
        <v>2285580.81324</v>
      </c>
      <c r="CH17" s="596"/>
      <c r="CI17" s="596">
        <f>1232567647.49/1000</f>
        <v>1232567.6474900001</v>
      </c>
      <c r="CJ17" s="596">
        <f>678337147.87/1000</f>
        <v>678337.14786999999</v>
      </c>
      <c r="CK17" s="596">
        <f>(1014164460.62+38848705.13)/1000-CJ17</f>
        <v>374676.01787999994</v>
      </c>
      <c r="CL17" s="596"/>
      <c r="CM17" s="596"/>
      <c r="CN17" s="596">
        <f>'Cuenta Ahorro-Inversión-Financi'!F17-'Cuenta Ahorro-Inversión-Financi'!AW17</f>
        <v>-4351257.4754300006</v>
      </c>
      <c r="CO17" s="597">
        <f>'Cuenta Ahorro-Inversión-Financi'!CN17+'Cuenta Ahorro-Inversión-Financi'!AC17-'Cuenta Ahorro-Inversión-Financi'!BY17</f>
        <v>-4350803.4729000004</v>
      </c>
      <c r="CP17" s="597">
        <f>'Cuenta Ahorro-Inversión-Financi'!S17-'Cuenta Ahorro-Inversión-Financi'!BE17-'Cuenta Ahorro-Inversión-Financi'!BQ17</f>
        <v>-7897564.9487999994</v>
      </c>
      <c r="CQ17" s="597">
        <f>'Cuenta Ahorro-Inversión-Financi'!F17-'Cuenta Ahorro-Inversión-Financi'!BE17-'Cuenta Ahorro-Inversión-Financi'!BQ17-'Cuenta Ahorro-Inversión-Financi'!W17</f>
        <v>-2135156.1551599996</v>
      </c>
      <c r="CR17" s="597"/>
      <c r="CS17" s="616" t="s">
        <v>884</v>
      </c>
      <c r="CT17" s="616"/>
      <c r="CV17" s="579">
        <v>2002</v>
      </c>
      <c r="CW17" s="96">
        <f>'PIB corriente base 1993'!V77*1000</f>
        <v>237056719.88891801</v>
      </c>
      <c r="CX17" s="96">
        <f>'PIB corriente base 1993'!V78*1000</f>
        <v>339008201.67956102</v>
      </c>
      <c r="CY17" s="96">
        <f>'PIB corriente base 1993'!V79*1000</f>
        <v>334006230.84900904</v>
      </c>
      <c r="CZ17" s="96">
        <f>'PIB corriente base 1993'!V80*1000</f>
        <v>340249423.02398199</v>
      </c>
      <c r="DA17" s="601">
        <f>'PIB corriente base 1993'!V17*1000</f>
        <v>312580143.860367</v>
      </c>
      <c r="DB17" s="602"/>
      <c r="DC17" s="96"/>
      <c r="DD17" s="96"/>
      <c r="DE17" s="96"/>
      <c r="DF17" s="603"/>
      <c r="DH17" s="1">
        <v>2010</v>
      </c>
      <c r="DI17" s="452">
        <v>26884733</v>
      </c>
      <c r="DJ17" s="455">
        <f>'Cuenta Ahorro-Inversión-Financi'!DI17/1000/'PIB corriente base 2004'!X14</f>
        <v>1.6178849637292606E-2</v>
      </c>
      <c r="DK17" s="28">
        <v>15263717.30188</v>
      </c>
      <c r="DL17" s="455">
        <f>'Cuenta Ahorro-Inversión-Financi'!DK17/1000/'PIB corriente base 2004'!X14</f>
        <v>9.1854878057839786E-3</v>
      </c>
      <c r="DN17" s="1">
        <f t="shared" si="5"/>
        <v>2016</v>
      </c>
      <c r="DO17" s="1">
        <v>875380000</v>
      </c>
      <c r="DP17" s="28">
        <f t="shared" si="0"/>
        <v>72470214.437590003</v>
      </c>
      <c r="DQ17" s="455">
        <f t="shared" si="1"/>
        <v>0.10638831126027455</v>
      </c>
      <c r="DR17" s="455">
        <f t="shared" si="2"/>
        <v>8.8075849695962525E-3</v>
      </c>
      <c r="DS17" s="455">
        <f t="shared" si="6"/>
        <v>0.10913712268227743</v>
      </c>
      <c r="DT17" s="455">
        <f>AVERAGE(DS15:DS18)</f>
        <v>0.11605552595327986</v>
      </c>
      <c r="DU17" s="455">
        <f t="shared" si="3"/>
        <v>9.7657157800075653E-2</v>
      </c>
      <c r="DV17" s="455">
        <f t="shared" si="4"/>
        <v>8.0847576676838038E-3</v>
      </c>
      <c r="DW17" s="455">
        <f t="shared" si="7"/>
        <v>0.36807326417683722</v>
      </c>
      <c r="DX17" s="455">
        <f t="shared" si="8"/>
        <v>0.31828579775883281</v>
      </c>
    </row>
    <row r="18" spans="1:135" ht="15.75" customHeight="1">
      <c r="B18" s="455">
        <f>'Cuenta Ahorro-Inversión-Financi'!G18/'Cuenta Ahorro-Inversión-Financi'!F18</f>
        <v>0.40024898404812204</v>
      </c>
      <c r="C18" s="455">
        <f>'Cuenta Ahorro-Inversión-Financi'!S18/'Cuenta Ahorro-Inversión-Financi'!F18</f>
        <v>0.59899783747296376</v>
      </c>
      <c r="E18" s="588">
        <v>2002</v>
      </c>
      <c r="F18" s="604">
        <f>'Cuenta Ahorro-Inversión-Financi'!G18+'Cuenta Ahorro-Inversión-Financi'!R18+'Cuenta Ahorro-Inversión-Financi'!S18+'Cuenta Ahorro-Inversión-Financi'!W18+'Cuenta Ahorro-Inversión-Financi'!Z18</f>
        <v>13308284.570809999</v>
      </c>
      <c r="G18" s="605">
        <f>'Cuenta Ahorro-Inversión-Financi'!H18+'Cuenta Ahorro-Inversión-Financi'!I18+'Cuenta Ahorro-Inversión-Financi'!J18+'Cuenta Ahorro-Inversión-Financi'!O18</f>
        <v>5326627.3788900003</v>
      </c>
      <c r="H18" s="611">
        <v>1721480.99196</v>
      </c>
      <c r="I18" s="611">
        <v>30695.488109999998</v>
      </c>
      <c r="J18" s="611">
        <v>3233264.40289</v>
      </c>
      <c r="K18" s="612">
        <f>IVA!AU32</f>
        <v>1571513.8881943102</v>
      </c>
      <c r="L18" s="612">
        <f>'Cuenta Ahorro-Inversión-Financi'!M18+'Cuenta Ahorro-Inversión-Financi'!N18</f>
        <v>1808967.1664198001</v>
      </c>
      <c r="M18" s="612">
        <f>IVA!AU117</f>
        <v>1456486.7861300001</v>
      </c>
      <c r="N18" s="612">
        <f>IVA!AU151</f>
        <v>352480.38028979994</v>
      </c>
      <c r="O18" s="611">
        <v>341186.49592999998</v>
      </c>
      <c r="P18" s="611">
        <f>IVA!AU100</f>
        <v>217634.09198</v>
      </c>
      <c r="Q18" s="611">
        <f>IVA!AU168*0.7</f>
        <v>161900.70904000002</v>
      </c>
      <c r="R18" s="611">
        <v>4589.50749</v>
      </c>
      <c r="S18" s="604">
        <f>'Cuenta Ahorro-Inversión-Financi'!T18+'Cuenta Ahorro-Inversión-Financi'!U18</f>
        <v>7971633.67839</v>
      </c>
      <c r="T18" s="611">
        <v>6392638.9266499998</v>
      </c>
      <c r="U18" s="611">
        <v>1578994.75174</v>
      </c>
      <c r="V18" s="611"/>
      <c r="W18" s="611">
        <f>'Cuenta Ahorro-Inversión-Financi'!X18+'Cuenta Ahorro-Inversión-Financi'!Y18</f>
        <v>5371.0925999999999</v>
      </c>
      <c r="X18" s="611">
        <v>5371.0925999999999</v>
      </c>
      <c r="Y18" s="611"/>
      <c r="Z18" s="611">
        <v>62.913440000000001</v>
      </c>
      <c r="AA18" s="611"/>
      <c r="AB18" s="611"/>
      <c r="AC18" s="604">
        <f>'Cuenta Ahorro-Inversión-Financi'!AD18+'Cuenta Ahorro-Inversión-Financi'!AE18</f>
        <v>4387.1511799999998</v>
      </c>
      <c r="AD18" s="611">
        <v>4387.1511799999998</v>
      </c>
      <c r="AE18" s="611"/>
      <c r="AF18" s="604">
        <f>'Cuenta Ahorro-Inversión-Financi'!AC18+'Cuenta Ahorro-Inversión-Financi'!F18</f>
        <v>13312671.721989999</v>
      </c>
      <c r="AG18" s="608">
        <v>7316819.8859999999</v>
      </c>
      <c r="AH18" s="607">
        <f>'Cálculo masa impuestos copartic'!U14*1000</f>
        <v>3012321.7327098199</v>
      </c>
      <c r="AI18" s="607"/>
      <c r="AJ18" s="607"/>
      <c r="AK18" s="607"/>
      <c r="AL18" s="607"/>
      <c r="AM18" s="606">
        <f>'Cuenta Ahorro-Inversión-Financi'!AG18-('Cuenta Ahorro-Inversión-Financi'!AH18+'Cuenta Ahorro-Inversión-Financi'!AJ18+'Cuenta Ahorro-Inversión-Financi'!AK18+'Cuenta Ahorro-Inversión-Financi'!AL18)</f>
        <v>4304498.1532901805</v>
      </c>
      <c r="AN18" s="606">
        <f>'Cuenta Ahorro-Inversión-Financi'!AH18-'Cuenta Ahorro-Inversión-Financi'!CG18</f>
        <v>887174.37547981972</v>
      </c>
      <c r="AO18" s="606">
        <f>'Cuenta Ahorro-Inversión-Financi'!AN18</f>
        <v>887174.37547981972</v>
      </c>
      <c r="AP18" s="609" t="s">
        <v>885</v>
      </c>
      <c r="AQ18" s="609"/>
      <c r="AR18" s="609"/>
      <c r="AS18" s="594"/>
      <c r="AT18" s="594"/>
      <c r="AU18" s="594"/>
      <c r="AV18" s="610">
        <v>2002</v>
      </c>
      <c r="AW18" s="604">
        <f>'Cuenta Ahorro-Inversión-Financi'!AX18+'Cuenta Ahorro-Inversión-Financi'!BB18+'Cuenta Ahorro-Inversión-Financi'!BE18+'Cuenta Ahorro-Inversión-Financi'!BW18</f>
        <v>18302999.507229999</v>
      </c>
      <c r="AX18" s="606">
        <f>'Cuenta Ahorro-Inversión-Financi'!AY18+'Cuenta Ahorro-Inversión-Financi'!AZ18</f>
        <v>210715.14495000002</v>
      </c>
      <c r="AY18" s="606">
        <v>148282.41964000001</v>
      </c>
      <c r="AZ18" s="606">
        <v>62432.725310000002</v>
      </c>
      <c r="BA18" s="606"/>
      <c r="BB18" s="606"/>
      <c r="BC18" s="606"/>
      <c r="BD18" s="606"/>
      <c r="BE18" s="604">
        <v>13860479.61076</v>
      </c>
      <c r="BF18" s="604"/>
      <c r="BG18" s="604"/>
      <c r="BH18" s="604"/>
      <c r="BI18" s="604"/>
      <c r="BJ18" s="604"/>
      <c r="BK18" s="604"/>
      <c r="BL18" s="606"/>
      <c r="BM18" s="606">
        <v>4231804.7515200004</v>
      </c>
      <c r="BN18" s="607">
        <v>3926557.39812</v>
      </c>
      <c r="BO18" s="607">
        <v>305172.47340000002</v>
      </c>
      <c r="BP18" s="607">
        <v>74.88</v>
      </c>
      <c r="BQ18" s="607">
        <v>2121143.08549</v>
      </c>
      <c r="BR18" s="607">
        <v>1911661.8811699999</v>
      </c>
      <c r="BS18" s="606"/>
      <c r="BT18" s="607">
        <v>198999.78486000001</v>
      </c>
      <c r="BU18" s="607"/>
      <c r="BV18" s="607"/>
      <c r="BW18" s="607">
        <f>'Cuenta Ahorro-Inversión-Financi'!BM18-'Cuenta Ahorro-Inversión-Financi'!BU18-'Cuenta Ahorro-Inversión-Financi'!BV18</f>
        <v>4231804.7515200004</v>
      </c>
      <c r="BX18" s="607">
        <v>2416072.5194299999</v>
      </c>
      <c r="BY18" s="604">
        <f>'Cuenta Ahorro-Inversión-Financi'!BZ18+'Cuenta Ahorro-Inversión-Financi'!CA18</f>
        <v>1669.1996999999999</v>
      </c>
      <c r="BZ18" s="606">
        <v>1669.1996999999999</v>
      </c>
      <c r="CA18" s="606"/>
      <c r="CB18" s="606"/>
      <c r="CC18" s="606"/>
      <c r="CD18" s="606"/>
      <c r="CE18" s="606"/>
      <c r="CF18" s="604">
        <f>'Cuenta Ahorro-Inversión-Financi'!BY18+'Cuenta Ahorro-Inversión-Financi'!AW18</f>
        <v>18304668.70693</v>
      </c>
      <c r="CG18" s="604">
        <v>2125147.3572300002</v>
      </c>
      <c r="CH18" s="604"/>
      <c r="CI18" s="604">
        <f>1228490334.47/1000</f>
        <v>1228490.3344700001</v>
      </c>
      <c r="CJ18" s="604">
        <f>599173218.95/1000</f>
        <v>599173.21895000001</v>
      </c>
      <c r="CK18" s="604">
        <f>(6841.32+896650181.44)/1000-CJ18</f>
        <v>297483.80381000007</v>
      </c>
      <c r="CL18" s="604"/>
      <c r="CM18" s="604"/>
      <c r="CN18" s="604">
        <f>'Cuenta Ahorro-Inversión-Financi'!F18-'Cuenta Ahorro-Inversión-Financi'!AW18</f>
        <v>-4994714.9364199992</v>
      </c>
      <c r="CO18" s="606">
        <f>'Cuenta Ahorro-Inversión-Financi'!CN18+'Cuenta Ahorro-Inversión-Financi'!AC18-'Cuenta Ahorro-Inversión-Financi'!BY18</f>
        <v>-4991996.9849399989</v>
      </c>
      <c r="CP18" s="606">
        <f>'Cuenta Ahorro-Inversión-Financi'!S18-'Cuenta Ahorro-Inversión-Financi'!BE18-'Cuenta Ahorro-Inversión-Financi'!BQ18</f>
        <v>-8009989.0178599991</v>
      </c>
      <c r="CQ18" s="606">
        <f>'Cuenta Ahorro-Inversión-Financi'!F18-'Cuenta Ahorro-Inversión-Financi'!BE18-'Cuenta Ahorro-Inversión-Financi'!BQ18-'Cuenta Ahorro-Inversión-Financi'!W18</f>
        <v>-2678709.2180400002</v>
      </c>
      <c r="CR18" s="606"/>
      <c r="CS18" s="613" t="s">
        <v>886</v>
      </c>
      <c r="CT18" s="613"/>
      <c r="CV18" s="579">
        <v>2003</v>
      </c>
      <c r="CW18" s="584">
        <f>'PIB corriente base 1993'!V81*1000</f>
        <v>327361767.05995703</v>
      </c>
      <c r="CX18" s="584">
        <f>'PIB corriente base 1993'!V82*1000</f>
        <v>399118836.68133497</v>
      </c>
      <c r="CY18" s="584">
        <f>'PIB corriente base 1993'!V83*1000</f>
        <v>377887242.82742798</v>
      </c>
      <c r="CZ18" s="584">
        <f>'PIB corriente base 1993'!V84*1000</f>
        <v>399269599.01787704</v>
      </c>
      <c r="DA18" s="585">
        <f>'PIB corriente base 1993'!V18*1000</f>
        <v>375909361.396649</v>
      </c>
      <c r="DB18" s="586"/>
      <c r="DC18" s="584"/>
      <c r="DD18" s="584"/>
      <c r="DE18" s="584"/>
      <c r="DF18" s="587"/>
      <c r="DH18" s="1">
        <v>2011</v>
      </c>
      <c r="DI18" s="452">
        <v>36179425</v>
      </c>
      <c r="DJ18" s="455">
        <f>'Cuenta Ahorro-Inversión-Financi'!DI18/1000/'PIB corriente base 2004'!X15</f>
        <v>1.6603499217707776E-2</v>
      </c>
      <c r="DK18" s="28">
        <v>21562243.170990001</v>
      </c>
      <c r="DL18" s="455">
        <f>'Cuenta Ahorro-Inversión-Financi'!DK18/1000/'PIB corriente base 2004'!X15</f>
        <v>9.8953669833491634E-3</v>
      </c>
      <c r="DN18" s="1">
        <f t="shared" si="5"/>
        <v>2017</v>
      </c>
      <c r="DO18" s="1">
        <v>1202579000</v>
      </c>
      <c r="DP18" s="28">
        <f t="shared" si="0"/>
        <v>110276582.29881001</v>
      </c>
      <c r="DQ18" s="455">
        <f t="shared" si="1"/>
        <v>0.11297360167706037</v>
      </c>
      <c r="DR18" s="455">
        <f t="shared" si="2"/>
        <v>1.0359687540638351E-2</v>
      </c>
      <c r="DS18" s="455">
        <f t="shared" si="6"/>
        <v>0.12597567033609405</v>
      </c>
      <c r="DT18" s="455">
        <f>AVERAGE(DS10:DS18)</f>
        <v>9.5251757197945694E-2</v>
      </c>
      <c r="DU18" s="455">
        <f t="shared" si="3"/>
        <v>0.10278885414741659</v>
      </c>
      <c r="DV18" s="455">
        <f t="shared" si="4"/>
        <v>9.4257454469003406E-3</v>
      </c>
      <c r="DW18" s="455">
        <f t="shared" si="7"/>
        <v>0.30519394845613018</v>
      </c>
      <c r="DX18" s="455">
        <f t="shared" si="8"/>
        <v>0.37377938723754256</v>
      </c>
      <c r="DY18" s="455">
        <f>(DO18-DO10)/DO10</f>
        <v>7.8625180278673801</v>
      </c>
      <c r="DZ18" s="455">
        <f>(DE32-DE24)/DE24</f>
        <v>7.6139159689945108</v>
      </c>
      <c r="EA18" s="455">
        <f>(DY18-DZ18)/DZ18</f>
        <v>3.2651011632546224E-2</v>
      </c>
    </row>
    <row r="19" spans="1:135" ht="15.75" customHeight="1">
      <c r="B19" s="455">
        <f>'Cuenta Ahorro-Inversión-Financi'!G19/'Cuenta Ahorro-Inversión-Financi'!F19</f>
        <v>0.49036396617218253</v>
      </c>
      <c r="C19" s="455">
        <f>'Cuenta Ahorro-Inversión-Financi'!S19/'Cuenta Ahorro-Inversión-Financi'!F19</f>
        <v>0.50758207832078328</v>
      </c>
      <c r="E19" s="588">
        <v>2003</v>
      </c>
      <c r="F19" s="589">
        <f>'Cuenta Ahorro-Inversión-Financi'!G19+'Cuenta Ahorro-Inversión-Financi'!R19+'Cuenta Ahorro-Inversión-Financi'!S19+'Cuenta Ahorro-Inversión-Financi'!W19+'Cuenta Ahorro-Inversión-Financi'!Z19</f>
        <v>15161823.342010001</v>
      </c>
      <c r="G19" s="590">
        <f>'Cuenta Ahorro-Inversión-Financi'!H19+'Cuenta Ahorro-Inversión-Financi'!I19+'Cuenta Ahorro-Inversión-Financi'!J19+'Cuenta Ahorro-Inversión-Financi'!O19</f>
        <v>7434811.8283899995</v>
      </c>
      <c r="H19" s="591">
        <v>2926862.8053299999</v>
      </c>
      <c r="I19" s="591">
        <v>99812.00606</v>
      </c>
      <c r="J19" s="591">
        <v>3969022.0241</v>
      </c>
      <c r="K19" s="592">
        <f>IVA!AU33</f>
        <v>2159757.5957074119</v>
      </c>
      <c r="L19" s="592">
        <f>'Cuenta Ahorro-Inversión-Financi'!M19+'Cuenta Ahorro-Inversión-Financi'!N19</f>
        <v>1866693.8263829998</v>
      </c>
      <c r="M19" s="592">
        <f>IVA!AU118</f>
        <v>1528781.1664799999</v>
      </c>
      <c r="N19" s="592">
        <f>IVA!AU152</f>
        <v>337912.65990299999</v>
      </c>
      <c r="O19" s="591">
        <v>439114.99290000001</v>
      </c>
      <c r="P19" s="591">
        <f>IVA!AU101</f>
        <v>256304.73254</v>
      </c>
      <c r="Q19" s="591">
        <f>IVA!AU169*0.7</f>
        <v>206266.97884799994</v>
      </c>
      <c r="R19" s="591">
        <v>29015.753690000001</v>
      </c>
      <c r="S19" s="589">
        <f>'Cuenta Ahorro-Inversión-Financi'!T19+'Cuenta Ahorro-Inversión-Financi'!U19</f>
        <v>7695869.8030700004</v>
      </c>
      <c r="T19" s="591">
        <v>7354693.9275200004</v>
      </c>
      <c r="U19" s="591">
        <v>341175.87555</v>
      </c>
      <c r="V19" s="591"/>
      <c r="W19" s="591">
        <f>'Cuenta Ahorro-Inversión-Financi'!X19+'Cuenta Ahorro-Inversión-Financi'!Y19</f>
        <v>2052.3557300000002</v>
      </c>
      <c r="X19" s="591">
        <v>2052.3557300000002</v>
      </c>
      <c r="Y19" s="591"/>
      <c r="Z19" s="591">
        <v>73.601129999999998</v>
      </c>
      <c r="AA19" s="591"/>
      <c r="AB19" s="591"/>
      <c r="AC19" s="589">
        <f>'Cuenta Ahorro-Inversión-Financi'!AD19+'Cuenta Ahorro-Inversión-Financi'!AE19</f>
        <v>1414.7593199999999</v>
      </c>
      <c r="AD19" s="591">
        <v>1414.73632</v>
      </c>
      <c r="AE19" s="591">
        <v>2.3E-2</v>
      </c>
      <c r="AF19" s="589">
        <f>'Cuenta Ahorro-Inversión-Financi'!AC19+'Cuenta Ahorro-Inversión-Financi'!F19</f>
        <v>15163238.101330001</v>
      </c>
      <c r="AG19" s="589">
        <v>7420910.727</v>
      </c>
      <c r="AH19" s="592">
        <f>'Cálculo masa impuestos copartic'!U15*1000</f>
        <v>4436735.161974933</v>
      </c>
      <c r="AI19" s="592"/>
      <c r="AJ19" s="592"/>
      <c r="AK19" s="592"/>
      <c r="AL19" s="592"/>
      <c r="AM19" s="591">
        <f>'Cuenta Ahorro-Inversión-Financi'!AG19-('Cuenta Ahorro-Inversión-Financi'!AH19+'Cuenta Ahorro-Inversión-Financi'!AJ19+'Cuenta Ahorro-Inversión-Financi'!AK19+'Cuenta Ahorro-Inversión-Financi'!AL19)</f>
        <v>2984175.565025067</v>
      </c>
      <c r="AN19" s="591">
        <f>'Cuenta Ahorro-Inversión-Financi'!AH19-'Cuenta Ahorro-Inversión-Financi'!CG19</f>
        <v>1881989.1845149328</v>
      </c>
      <c r="AO19" s="591">
        <f>'Cuenta Ahorro-Inversión-Financi'!AN19</f>
        <v>1881989.1845149328</v>
      </c>
      <c r="AP19" s="614" t="s">
        <v>885</v>
      </c>
      <c r="AQ19" s="614"/>
      <c r="AR19" s="614"/>
      <c r="AS19" s="594"/>
      <c r="AT19" s="594"/>
      <c r="AU19" s="594"/>
      <c r="AV19" s="610">
        <v>2003</v>
      </c>
      <c r="AW19" s="596">
        <f>'Cuenta Ahorro-Inversión-Financi'!AX19+'Cuenta Ahorro-Inversión-Financi'!BB19+'Cuenta Ahorro-Inversión-Financi'!BE19+'Cuenta Ahorro-Inversión-Financi'!BW19</f>
        <v>18895945.765220001</v>
      </c>
      <c r="AX19" s="599">
        <f>'Cuenta Ahorro-Inversión-Financi'!AY19+'Cuenta Ahorro-Inversión-Financi'!AZ19</f>
        <v>256579.96756999998</v>
      </c>
      <c r="AY19" s="597">
        <v>176440.61</v>
      </c>
      <c r="AZ19" s="597">
        <v>80139.357569999993</v>
      </c>
      <c r="BA19" s="597"/>
      <c r="BB19" s="597">
        <v>4906.8106699999998</v>
      </c>
      <c r="BC19" s="597"/>
      <c r="BD19" s="597"/>
      <c r="BE19" s="596">
        <v>15568477.884780001</v>
      </c>
      <c r="BF19" s="596"/>
      <c r="BG19" s="596"/>
      <c r="BH19" s="597"/>
      <c r="BI19" s="597"/>
      <c r="BJ19" s="597"/>
      <c r="BK19" s="597"/>
      <c r="BL19" s="597"/>
      <c r="BM19" s="597">
        <v>3065981.1022000001</v>
      </c>
      <c r="BN19" s="598">
        <v>2556953.8684700001</v>
      </c>
      <c r="BO19" s="598">
        <v>508850.85291000002</v>
      </c>
      <c r="BP19" s="598">
        <v>176.38082</v>
      </c>
      <c r="BQ19" s="598">
        <v>2027023.9475</v>
      </c>
      <c r="BR19" s="598">
        <v>985262.73393999995</v>
      </c>
      <c r="BS19" s="597"/>
      <c r="BT19" s="598">
        <v>53694.420760000001</v>
      </c>
      <c r="BU19" s="598"/>
      <c r="BV19" s="598"/>
      <c r="BW19" s="598">
        <f>'Cuenta Ahorro-Inversión-Financi'!BM19-'Cuenta Ahorro-Inversión-Financi'!BU19-'Cuenta Ahorro-Inversión-Financi'!BV19</f>
        <v>3065981.1022000001</v>
      </c>
      <c r="BX19" s="598">
        <v>1547975.2626100001</v>
      </c>
      <c r="BY19" s="596">
        <f>'Cuenta Ahorro-Inversión-Financi'!BZ19+'Cuenta Ahorro-Inversión-Financi'!CA19</f>
        <v>5555.3909400000002</v>
      </c>
      <c r="BZ19" s="597">
        <v>5555.3909400000002</v>
      </c>
      <c r="CA19" s="597"/>
      <c r="CB19" s="597"/>
      <c r="CC19" s="597"/>
      <c r="CD19" s="597"/>
      <c r="CE19" s="597"/>
      <c r="CF19" s="596">
        <f>'Cuenta Ahorro-Inversión-Financi'!BY19+'Cuenta Ahorro-Inversión-Financi'!AW19</f>
        <v>18901501.156160001</v>
      </c>
      <c r="CG19" s="596">
        <v>2554745.9774600002</v>
      </c>
      <c r="CH19" s="596"/>
      <c r="CI19" s="596">
        <f>(1474624887.3+12056.52)/1000</f>
        <v>1474636.9438199999</v>
      </c>
      <c r="CJ19" s="596">
        <f>687878694.59/1000</f>
        <v>687878.69459000009</v>
      </c>
      <c r="CK19" s="596">
        <f>(1068785361.64+11323672)/1000-CJ19</f>
        <v>392230.33904999972</v>
      </c>
      <c r="CL19" s="596"/>
      <c r="CM19" s="596"/>
      <c r="CN19" s="596">
        <f>'Cuenta Ahorro-Inversión-Financi'!F19-'Cuenta Ahorro-Inversión-Financi'!AW19</f>
        <v>-3734122.4232100006</v>
      </c>
      <c r="CO19" s="597">
        <f>'Cuenta Ahorro-Inversión-Financi'!CN19+'Cuenta Ahorro-Inversión-Financi'!AC19-'Cuenta Ahorro-Inversión-Financi'!BY19</f>
        <v>-3738263.0548300003</v>
      </c>
      <c r="CP19" s="597">
        <f>'Cuenta Ahorro-Inversión-Financi'!S19-'Cuenta Ahorro-Inversión-Financi'!BE19-'Cuenta Ahorro-Inversión-Financi'!BM19</f>
        <v>-10938589.183910001</v>
      </c>
      <c r="CQ19" s="597">
        <f>'Cuenta Ahorro-Inversión-Financi'!F19-'Cuenta Ahorro-Inversión-Financi'!BE19-'Cuenta Ahorro-Inversión-Financi'!BM19-'Cuenta Ahorro-Inversión-Financi'!W19</f>
        <v>-3474688.0007000002</v>
      </c>
      <c r="CR19" s="597"/>
      <c r="CS19" s="616" t="s">
        <v>887</v>
      </c>
      <c r="CT19" s="616"/>
      <c r="CV19" s="579">
        <v>2004</v>
      </c>
      <c r="CW19" s="96">
        <f>'PIB corriente base 1993'!V85*1000</f>
        <v>392817429.99690199</v>
      </c>
      <c r="CX19" s="96">
        <f>'PIB corriente base 1993'!V86*1000</f>
        <v>474213080.06317198</v>
      </c>
      <c r="CY19" s="96">
        <f>'PIB corriente base 1993'!V87*1000</f>
        <v>452079663.84084696</v>
      </c>
      <c r="CZ19" s="96">
        <f>'PIB corriente base 1993'!V88*1000</f>
        <v>471463528.66644299</v>
      </c>
      <c r="DA19" s="601">
        <f>'PIB corriente base 1993'!V19*1000</f>
        <v>447643425.64184099</v>
      </c>
      <c r="DB19" s="602">
        <f>'PIB corriente base 2004'!X40*1000</f>
        <v>439195865.00017297</v>
      </c>
      <c r="DC19" s="96">
        <f>'PIB corriente base 2004'!X41*1000</f>
        <v>509498663.24688303</v>
      </c>
      <c r="DD19" s="96">
        <f>'PIB corriente base 2004'!X42*1000</f>
        <v>488462382.59118301</v>
      </c>
      <c r="DE19" s="96">
        <f>'PIB corriente base 2004'!X43*1000</f>
        <v>503303868.06077898</v>
      </c>
      <c r="DF19" s="601">
        <f>('Cuenta Ahorro-Inversión-Financi'!DB19+'Cuenta Ahorro-Inversión-Financi'!DC19+'Cuenta Ahorro-Inversión-Financi'!DD19+'Cuenta Ahorro-Inversión-Financi'!DE19)/4</f>
        <v>485115194.72475445</v>
      </c>
      <c r="DH19" s="1">
        <v>2012</v>
      </c>
      <c r="DI19" s="452">
        <v>43931228</v>
      </c>
      <c r="DJ19" s="455">
        <f>'Cuenta Ahorro-Inversión-Financi'!DI19/1000/'PIB corriente base 2004'!X16</f>
        <v>1.6653776630998707E-2</v>
      </c>
      <c r="DK19" s="28">
        <v>27594331.3664</v>
      </c>
      <c r="DL19" s="455">
        <f>'Cuenta Ahorro-Inversión-Financi'!DK19/1000/'PIB corriente base 2004'!X16</f>
        <v>1.0460664356065503E-2</v>
      </c>
    </row>
    <row r="20" spans="1:135" ht="15.75" customHeight="1">
      <c r="B20" s="455">
        <f>'Cuenta Ahorro-Inversión-Financi'!G20/'Cuenta Ahorro-Inversión-Financi'!F20</f>
        <v>0.51999809906113315</v>
      </c>
      <c r="C20" s="455">
        <f>'Cuenta Ahorro-Inversión-Financi'!S20/'Cuenta Ahorro-Inversión-Financi'!F20</f>
        <v>0.47787226299520447</v>
      </c>
      <c r="E20" s="588">
        <v>2004</v>
      </c>
      <c r="F20" s="604">
        <f>'Cuenta Ahorro-Inversión-Financi'!G20+'Cuenta Ahorro-Inversión-Financi'!R20+'Cuenta Ahorro-Inversión-Financi'!S20+'Cuenta Ahorro-Inversión-Financi'!W20+'Cuenta Ahorro-Inversión-Financi'!Z20</f>
        <v>20159369.177170001</v>
      </c>
      <c r="G20" s="605">
        <f>'Cuenta Ahorro-Inversión-Financi'!H20+'Cuenta Ahorro-Inversión-Financi'!I20+'Cuenta Ahorro-Inversión-Financi'!J20+'Cuenta Ahorro-Inversión-Financi'!O20</f>
        <v>10482833.6504</v>
      </c>
      <c r="H20" s="611">
        <v>4445674.9967999998</v>
      </c>
      <c r="I20" s="611">
        <v>104192.00786</v>
      </c>
      <c r="J20" s="611">
        <v>5248000.04574</v>
      </c>
      <c r="K20" s="612">
        <f>IVA!AU34</f>
        <v>3193816.3855059966</v>
      </c>
      <c r="L20" s="612">
        <f>'Cuenta Ahorro-Inversión-Financi'!M20+'Cuenta Ahorro-Inversión-Financi'!N20</f>
        <v>2024594.8909331001</v>
      </c>
      <c r="M20" s="612">
        <f>IVA!AU119</f>
        <v>1677536.5471100002</v>
      </c>
      <c r="N20" s="612">
        <f>IVA!AU153</f>
        <v>347058.34382309997</v>
      </c>
      <c r="O20" s="611">
        <v>684966.6</v>
      </c>
      <c r="P20" s="611">
        <f>IVA!AU102</f>
        <v>343399.86403</v>
      </c>
      <c r="Q20" s="611">
        <f>IVA!AU170*0.7</f>
        <v>319188.20852099999</v>
      </c>
      <c r="R20" s="611">
        <v>31653.79783</v>
      </c>
      <c r="S20" s="604">
        <f>'Cuenta Ahorro-Inversión-Financi'!T20+'Cuenta Ahorro-Inversión-Financi'!U20</f>
        <v>9633603.3692500014</v>
      </c>
      <c r="T20" s="611">
        <v>9630140.3885900006</v>
      </c>
      <c r="U20" s="611">
        <v>3462.9806600000002</v>
      </c>
      <c r="V20" s="611"/>
      <c r="W20" s="611">
        <f>'Cuenta Ahorro-Inversión-Financi'!X20+'Cuenta Ahorro-Inversión-Financi'!Y20</f>
        <v>11200.38667</v>
      </c>
      <c r="X20" s="611">
        <v>10924.8595</v>
      </c>
      <c r="Y20" s="611">
        <v>275.52717000000001</v>
      </c>
      <c r="Z20" s="611">
        <v>77.973020000000005</v>
      </c>
      <c r="AA20" s="611"/>
      <c r="AB20" s="611"/>
      <c r="AC20" s="604">
        <f>'Cuenta Ahorro-Inversión-Financi'!AD20+'Cuenta Ahorro-Inversión-Financi'!AE20</f>
        <v>1946.0432800000001</v>
      </c>
      <c r="AD20" s="611">
        <v>1946.0432800000001</v>
      </c>
      <c r="AE20" s="611"/>
      <c r="AF20" s="604">
        <f>'Cuenta Ahorro-Inversión-Financi'!AC20+'Cuenta Ahorro-Inversión-Financi'!F20</f>
        <v>20161315.220450003</v>
      </c>
      <c r="AG20" s="608">
        <v>6463812.4550000001</v>
      </c>
      <c r="AH20" s="607">
        <f>'Cálculo masa impuestos copartic'!U16*1000</f>
        <v>6613425.9880671129</v>
      </c>
      <c r="AI20" s="607"/>
      <c r="AJ20" s="607"/>
      <c r="AK20" s="607"/>
      <c r="AL20" s="607"/>
      <c r="AM20" s="606">
        <f>'Cuenta Ahorro-Inversión-Financi'!AG20-('Cuenta Ahorro-Inversión-Financi'!AH20+'Cuenta Ahorro-Inversión-Financi'!AJ20+'Cuenta Ahorro-Inversión-Financi'!AK20+'Cuenta Ahorro-Inversión-Financi'!AL20)</f>
        <v>-149613.53306711279</v>
      </c>
      <c r="AN20" s="606">
        <f>'Cuenta Ahorro-Inversión-Financi'!AH20-'Cuenta Ahorro-Inversión-Financi'!CG20</f>
        <v>3585227.3302771128</v>
      </c>
      <c r="AO20" s="606">
        <f>'Cuenta Ahorro-Inversión-Financi'!AN20</f>
        <v>3585227.3302771128</v>
      </c>
      <c r="AP20" s="609" t="s">
        <v>885</v>
      </c>
      <c r="AQ20" s="609"/>
      <c r="AR20" s="609"/>
      <c r="AS20" s="594"/>
      <c r="AT20" s="594"/>
      <c r="AU20" s="594"/>
      <c r="AV20" s="610">
        <v>2004</v>
      </c>
      <c r="AW20" s="604">
        <f>'Cuenta Ahorro-Inversión-Financi'!AX20+'Cuenta Ahorro-Inversión-Financi'!BB20+'Cuenta Ahorro-Inversión-Financi'!BE20+'Cuenta Ahorro-Inversión-Financi'!BW20</f>
        <v>21741196.535299998</v>
      </c>
      <c r="AX20" s="606">
        <f>'Cuenta Ahorro-Inversión-Financi'!AY20+'Cuenta Ahorro-Inversión-Financi'!AZ20</f>
        <v>292385.97511999996</v>
      </c>
      <c r="AY20" s="606">
        <v>188507.25581999999</v>
      </c>
      <c r="AZ20" s="606">
        <v>103878.7193</v>
      </c>
      <c r="BA20" s="606"/>
      <c r="BB20" s="606">
        <v>8470.2603400000007</v>
      </c>
      <c r="BC20" s="606"/>
      <c r="BD20" s="606"/>
      <c r="BE20" s="604">
        <v>17806364.779300001</v>
      </c>
      <c r="BF20" s="604"/>
      <c r="BG20" s="604"/>
      <c r="BH20" s="604"/>
      <c r="BI20" s="604"/>
      <c r="BJ20" s="604"/>
      <c r="BK20" s="604"/>
      <c r="BL20" s="606"/>
      <c r="BM20" s="606">
        <v>3633975.5205399999</v>
      </c>
      <c r="BN20" s="607">
        <v>2435693.3328300002</v>
      </c>
      <c r="BO20" s="607">
        <v>1197820.40588</v>
      </c>
      <c r="BP20" s="607">
        <v>461.78183000000001</v>
      </c>
      <c r="BQ20" s="607">
        <v>2916772.19649</v>
      </c>
      <c r="BR20" s="607">
        <v>717203.32405000005</v>
      </c>
      <c r="BS20" s="606"/>
      <c r="BT20" s="606"/>
      <c r="BU20" s="606"/>
      <c r="BV20" s="606"/>
      <c r="BW20" s="606">
        <f>'Cuenta Ahorro-Inversión-Financi'!BM20-'Cuenta Ahorro-Inversión-Financi'!BU20-'Cuenta Ahorro-Inversión-Financi'!BV20</f>
        <v>3633975.5205399999</v>
      </c>
      <c r="BX20" s="607">
        <v>1915433.6617699999</v>
      </c>
      <c r="BY20" s="604">
        <f>'Cuenta Ahorro-Inversión-Financi'!BZ20+'Cuenta Ahorro-Inversión-Financi'!CA20+'Cuenta Ahorro-Inversión-Financi'!CE20</f>
        <v>17800.718680000002</v>
      </c>
      <c r="BZ20" s="606">
        <v>17800.718680000002</v>
      </c>
      <c r="CA20" s="606"/>
      <c r="CB20" s="606"/>
      <c r="CC20" s="606"/>
      <c r="CD20" s="606"/>
      <c r="CE20" s="620"/>
      <c r="CF20" s="604">
        <f>'Cuenta Ahorro-Inversión-Financi'!BY20+'Cuenta Ahorro-Inversión-Financi'!AW20</f>
        <v>21758997.25398</v>
      </c>
      <c r="CG20" s="604">
        <v>3028198.6577900001</v>
      </c>
      <c r="CH20" s="604"/>
      <c r="CI20" s="604">
        <f>1469347762.51/1000</f>
        <v>1469347.76251</v>
      </c>
      <c r="CJ20" s="604">
        <f>1112706705.47/1000</f>
        <v>1112706.7054699999</v>
      </c>
      <c r="CK20" s="604">
        <f>(1558699405.28+151490)/1000-CJ20</f>
        <v>446144.18981000013</v>
      </c>
      <c r="CL20" s="604"/>
      <c r="CM20" s="604"/>
      <c r="CN20" s="604">
        <f>'Cuenta Ahorro-Inversión-Financi'!F20-'Cuenta Ahorro-Inversión-Financi'!AW20</f>
        <v>-1581827.3581299968</v>
      </c>
      <c r="CO20" s="606">
        <f>'Cuenta Ahorro-Inversión-Financi'!CN20+'Cuenta Ahorro-Inversión-Financi'!AC20-'Cuenta Ahorro-Inversión-Financi'!BY20</f>
        <v>-1597682.0335299966</v>
      </c>
      <c r="CP20" s="606">
        <f>'Cuenta Ahorro-Inversión-Financi'!S20-'Cuenta Ahorro-Inversión-Financi'!BE20-'Cuenta Ahorro-Inversión-Financi'!BM20</f>
        <v>-11806736.93059</v>
      </c>
      <c r="CQ20" s="606">
        <f>'Cuenta Ahorro-Inversión-Financi'!F20-'Cuenta Ahorro-Inversión-Financi'!BE20-'Cuenta Ahorro-Inversión-Financi'!BM20-'Cuenta Ahorro-Inversión-Financi'!W20</f>
        <v>-1292171.5093399994</v>
      </c>
      <c r="CR20" s="606"/>
      <c r="CS20" s="613" t="s">
        <v>888</v>
      </c>
      <c r="CT20" s="613"/>
      <c r="CV20" s="579">
        <v>2005</v>
      </c>
      <c r="CW20" s="584">
        <f>'PIB corriente base 1993'!V89*1000</f>
        <v>456763738.57140404</v>
      </c>
      <c r="CX20" s="584">
        <f>'PIB corriente base 1993'!V90*1000</f>
        <v>552411829.67394102</v>
      </c>
      <c r="CY20" s="584">
        <f>'PIB corriente base 1993'!V91*1000</f>
        <v>544228166.86561406</v>
      </c>
      <c r="CZ20" s="584">
        <f>'PIB corriente base 1993'!V92*1000</f>
        <v>574351154.07466006</v>
      </c>
      <c r="DA20" s="585">
        <f>'PIB corriente base 1993'!V20*1000</f>
        <v>531938722.29640502</v>
      </c>
      <c r="DB20" s="586">
        <f>'PIB corriente base 2004'!X44*1000</f>
        <v>510703427.01511598</v>
      </c>
      <c r="DC20" s="584">
        <f>'PIB corriente base 2004'!X45*1000</f>
        <v>605771775.84650993</v>
      </c>
      <c r="DD20" s="584">
        <f>'PIB corriente base 2004'!X46*1000</f>
        <v>590219559.14262903</v>
      </c>
      <c r="DE20" s="584">
        <f>'PIB corriente base 2004'!X47*1000</f>
        <v>623457929.74484301</v>
      </c>
      <c r="DF20" s="585">
        <f>('Cuenta Ahorro-Inversión-Financi'!DB20+'Cuenta Ahorro-Inversión-Financi'!DC20+'Cuenta Ahorro-Inversión-Financi'!DD20+'Cuenta Ahorro-Inversión-Financi'!DE20)/4</f>
        <v>582538172.93727446</v>
      </c>
      <c r="DG20" s="455"/>
      <c r="DH20" s="1">
        <v>2013</v>
      </c>
      <c r="DI20" s="621">
        <v>56514839</v>
      </c>
      <c r="DJ20" s="455">
        <f>'Cuenta Ahorro-Inversión-Financi'!DI20/1000/'PIB corriente base 2004'!X17</f>
        <v>1.6878623698714911E-2</v>
      </c>
      <c r="DK20" s="28">
        <v>36576358.350000001</v>
      </c>
      <c r="DL20" s="455">
        <f>'Cuenta Ahorro-Inversión-Financi'!DK20/1000/'PIB corriente base 2004'!X17</f>
        <v>1.0923831683551271E-2</v>
      </c>
      <c r="DN20" s="310">
        <v>207.09999955383299</v>
      </c>
      <c r="DO20" s="28">
        <f>DO18-DO17</f>
        <v>327199000</v>
      </c>
      <c r="DY20" s="1">
        <v>2004</v>
      </c>
      <c r="EA20" s="28">
        <f t="shared" ref="EA20:EA33" si="9">BN20-BU20-BV20</f>
        <v>2435693.3328300002</v>
      </c>
      <c r="EB20" s="28">
        <f t="shared" ref="EB20:EB33" si="10">BR20</f>
        <v>717203.32405000005</v>
      </c>
      <c r="EC20" s="455">
        <f>EA20/1000/'PIB corriente base 2004'!X8</f>
        <v>5.0208555809346861E-3</v>
      </c>
      <c r="ED20" s="455">
        <f>EB20/1000/'PIB corriente base 2004'!X8</f>
        <v>1.4784185938701185E-3</v>
      </c>
      <c r="EE20" s="455">
        <f t="shared" ref="EE20:EE33" si="11">EC20+ED20</f>
        <v>6.4992741748048045E-3</v>
      </c>
    </row>
    <row r="21" spans="1:135" ht="15.75" customHeight="1">
      <c r="B21" s="455">
        <f>'Cuenta Ahorro-Inversión-Financi'!G21/'Cuenta Ahorro-Inversión-Financi'!F21</f>
        <v>0.50394680009644055</v>
      </c>
      <c r="C21" s="455">
        <f>'Cuenta Ahorro-Inversión-Financi'!S21/'Cuenta Ahorro-Inversión-Financi'!F21</f>
        <v>0.49322271595344741</v>
      </c>
      <c r="E21" s="588">
        <v>2005</v>
      </c>
      <c r="F21" s="589">
        <f>'Cuenta Ahorro-Inversión-Financi'!G21+'Cuenta Ahorro-Inversión-Financi'!R21+'Cuenta Ahorro-Inversión-Financi'!S21+'Cuenta Ahorro-Inversión-Financi'!W21+'Cuenta Ahorro-Inversión-Financi'!Z21</f>
        <v>25304729.478210002</v>
      </c>
      <c r="G21" s="590">
        <f>'Cuenta Ahorro-Inversión-Financi'!H21+'Cuenta Ahorro-Inversión-Financi'!I21+'Cuenta Ahorro-Inversión-Financi'!J21+'Cuenta Ahorro-Inversión-Financi'!O21</f>
        <v>12752237.447850002</v>
      </c>
      <c r="H21" s="591">
        <v>5603319.4768000003</v>
      </c>
      <c r="I21" s="591">
        <v>113337.96103999999</v>
      </c>
      <c r="J21" s="591">
        <v>6104080.1100099999</v>
      </c>
      <c r="K21" s="592">
        <f>IVA!AU35</f>
        <v>3799668.1486333674</v>
      </c>
      <c r="L21" s="592">
        <f>'Cuenta Ahorro-Inversión-Financi'!M21+'Cuenta Ahorro-Inversión-Financi'!N21</f>
        <v>2283146.7197572999</v>
      </c>
      <c r="M21" s="592">
        <f>IVA!AU120</f>
        <v>1911649.0683799998</v>
      </c>
      <c r="N21" s="592">
        <f>IVA!AU154</f>
        <v>371497.65137729998</v>
      </c>
      <c r="O21" s="591">
        <v>931499.9</v>
      </c>
      <c r="P21" s="591">
        <f>IVA!AU103</f>
        <v>392086.01100000006</v>
      </c>
      <c r="Q21" s="591">
        <f>IVA!AU171*0.7</f>
        <v>414100.61929599999</v>
      </c>
      <c r="R21" s="591">
        <v>32809.732329999999</v>
      </c>
      <c r="S21" s="589">
        <f>'Cuenta Ahorro-Inversión-Financi'!T21+'Cuenta Ahorro-Inversión-Financi'!U21</f>
        <v>12480867.39971</v>
      </c>
      <c r="T21" s="591">
        <v>12478433.829369999</v>
      </c>
      <c r="U21" s="591">
        <v>2433.5703400000002</v>
      </c>
      <c r="V21" s="591"/>
      <c r="W21" s="591">
        <f>'Cuenta Ahorro-Inversión-Financi'!X21+'Cuenta Ahorro-Inversión-Financi'!Y21</f>
        <v>38724.72062</v>
      </c>
      <c r="X21" s="591">
        <v>7616.8823899999998</v>
      </c>
      <c r="Y21" s="591">
        <v>31107.838230000001</v>
      </c>
      <c r="Z21" s="591">
        <v>90.177700000000002</v>
      </c>
      <c r="AA21" s="591"/>
      <c r="AB21" s="591"/>
      <c r="AC21" s="589">
        <f>'Cuenta Ahorro-Inversión-Financi'!AD21+'Cuenta Ahorro-Inversión-Financi'!AE21</f>
        <v>2381.7559500000002</v>
      </c>
      <c r="AD21" s="591">
        <v>2381.7559500000002</v>
      </c>
      <c r="AE21" s="591"/>
      <c r="AF21" s="589">
        <f>'Cuenta Ahorro-Inversión-Financi'!AC21+'Cuenta Ahorro-Inversión-Financi'!F21</f>
        <v>25307111.234160002</v>
      </c>
      <c r="AG21" s="589">
        <v>8133300</v>
      </c>
      <c r="AH21" s="592">
        <f>'Cálculo masa impuestos copartic'!U17*1000</f>
        <v>8146311.5044247787</v>
      </c>
      <c r="AI21" s="592"/>
      <c r="AJ21" s="592"/>
      <c r="AK21" s="592"/>
      <c r="AL21" s="592"/>
      <c r="AM21" s="591">
        <f>'Cuenta Ahorro-Inversión-Financi'!AG21-('Cuenta Ahorro-Inversión-Financi'!AH21+'Cuenta Ahorro-Inversión-Financi'!AJ21+'Cuenta Ahorro-Inversión-Financi'!AK21+'Cuenta Ahorro-Inversión-Financi'!AL21)</f>
        <v>-13011.504424778745</v>
      </c>
      <c r="AN21" s="591">
        <f>'Cuenta Ahorro-Inversión-Financi'!AH21-'Cuenta Ahorro-Inversión-Financi'!CG21</f>
        <v>4667908.8585747788</v>
      </c>
      <c r="AO21" s="591">
        <f>'Cuenta Ahorro-Inversión-Financi'!AN21</f>
        <v>4667908.8585747788</v>
      </c>
      <c r="AP21" s="614" t="s">
        <v>885</v>
      </c>
      <c r="AQ21" s="614"/>
      <c r="AR21" s="614"/>
      <c r="AS21" s="594"/>
      <c r="AT21" s="622">
        <f>'Cuenta Ahorro-Inversión-Financi'!BR21/'Cuenta Ahorro-Inversión-Financi'!AU21</f>
        <v>3.9600029032840885E-2</v>
      </c>
      <c r="AU21" s="594">
        <f>'Cuenta Ahorro-Inversión-Financi'!BE21-'Cuenta Ahorro-Inversión-Financi'!BK21</f>
        <v>19925345.721480001</v>
      </c>
      <c r="AV21" s="610">
        <v>2005</v>
      </c>
      <c r="AW21" s="596">
        <f>'Cuenta Ahorro-Inversión-Financi'!AX21+'Cuenta Ahorro-Inversión-Financi'!BB21+'Cuenta Ahorro-Inversión-Financi'!BE21+'Cuenta Ahorro-Inversión-Financi'!BW21</f>
        <v>25545332.546110004</v>
      </c>
      <c r="AX21" s="599">
        <f>'Cuenta Ahorro-Inversión-Financi'!AY21+'Cuenta Ahorro-Inversión-Financi'!AZ21</f>
        <v>443286.29687999998</v>
      </c>
      <c r="AY21" s="597">
        <v>264799.77078999998</v>
      </c>
      <c r="AZ21" s="597">
        <v>178486.52609</v>
      </c>
      <c r="BA21" s="597"/>
      <c r="BB21" s="597">
        <v>8341.7013599999991</v>
      </c>
      <c r="BC21" s="597"/>
      <c r="BD21" s="597"/>
      <c r="BE21" s="596">
        <v>20127038.311170001</v>
      </c>
      <c r="BF21" s="596"/>
      <c r="BG21" s="596"/>
      <c r="BH21" s="597"/>
      <c r="BI21" s="597"/>
      <c r="BJ21" s="597"/>
      <c r="BK21" s="597">
        <v>201692.58968999999</v>
      </c>
      <c r="BL21" s="597">
        <v>33.460740000000001</v>
      </c>
      <c r="BM21" s="597">
        <v>4966666.2367000002</v>
      </c>
      <c r="BN21" s="598">
        <v>2976976.7896199999</v>
      </c>
      <c r="BO21" s="598">
        <v>1989296.31678</v>
      </c>
      <c r="BP21" s="598">
        <v>393.13029999999998</v>
      </c>
      <c r="BQ21" s="598">
        <v>4177621.9676399999</v>
      </c>
      <c r="BR21" s="598">
        <v>789044.26905999996</v>
      </c>
      <c r="BS21" s="597"/>
      <c r="BT21" s="597"/>
      <c r="BU21" s="597"/>
      <c r="BV21" s="597"/>
      <c r="BW21" s="597">
        <f>'Cuenta Ahorro-Inversión-Financi'!BM21-'Cuenta Ahorro-Inversión-Financi'!BU21-'Cuenta Ahorro-Inversión-Financi'!BV21</f>
        <v>4966666.2367000002</v>
      </c>
      <c r="BX21" s="598">
        <v>2778632.6958400002</v>
      </c>
      <c r="BY21" s="596">
        <f>'Cuenta Ahorro-Inversión-Financi'!BZ21+'Cuenta Ahorro-Inversión-Financi'!CA21+'Cuenta Ahorro-Inversión-Financi'!CE21</f>
        <v>15319.841270000001</v>
      </c>
      <c r="BZ21" s="597">
        <v>15319.841270000001</v>
      </c>
      <c r="CA21" s="597"/>
      <c r="CB21" s="597"/>
      <c r="CC21" s="597"/>
      <c r="CD21" s="597"/>
      <c r="CE21" s="597"/>
      <c r="CF21" s="596">
        <f>'Cuenta Ahorro-Inversión-Financi'!BY21+'Cuenta Ahorro-Inversión-Financi'!AW21</f>
        <v>25560652.387380004</v>
      </c>
      <c r="CG21" s="596">
        <v>3478402.64585</v>
      </c>
      <c r="CH21" s="596"/>
      <c r="CI21" s="596">
        <f>1538056664.77/1000</f>
        <v>1538056.6647699999</v>
      </c>
      <c r="CJ21" s="596">
        <f>1331194173.41/1000</f>
        <v>1331194.17341</v>
      </c>
      <c r="CK21" s="596">
        <f>(1940295981.08+50000)/1000-CJ21</f>
        <v>609151.80766999978</v>
      </c>
      <c r="CL21" s="596"/>
      <c r="CM21" s="596"/>
      <c r="CN21" s="596">
        <f>'Cuenta Ahorro-Inversión-Financi'!F21-'Cuenta Ahorro-Inversión-Financi'!AW21</f>
        <v>-240603.067900002</v>
      </c>
      <c r="CO21" s="597">
        <f>'Cuenta Ahorro-Inversión-Financi'!CN21+'Cuenta Ahorro-Inversión-Financi'!AC21-'Cuenta Ahorro-Inversión-Financi'!BY21</f>
        <v>-253541.15322000202</v>
      </c>
      <c r="CP21" s="597">
        <f>'Cuenta Ahorro-Inversión-Financi'!S21-'Cuenta Ahorro-Inversión-Financi'!BE21-'Cuenta Ahorro-Inversión-Financi'!BM21</f>
        <v>-12612837.148160001</v>
      </c>
      <c r="CQ21" s="597">
        <f>'Cuenta Ahorro-Inversión-Financi'!F21-'Cuenta Ahorro-Inversión-Financi'!BE21-'Cuenta Ahorro-Inversión-Financi'!BM21-'Cuenta Ahorro-Inversión-Financi'!W21</f>
        <v>172300.20972000135</v>
      </c>
      <c r="CR21" s="597"/>
      <c r="CS21" s="616" t="s">
        <v>886</v>
      </c>
      <c r="CT21" s="616"/>
      <c r="CV21" s="579">
        <v>2006</v>
      </c>
      <c r="CW21" s="96">
        <f>'PIB corriente base 1993'!V93*1000</f>
        <v>567994315.70695508</v>
      </c>
      <c r="CX21" s="96">
        <f>'PIB corriente base 1993'!V94*1000</f>
        <v>678278475.2845391</v>
      </c>
      <c r="CY21" s="96">
        <f>'PIB corriente base 1993'!V95*1000</f>
        <v>668197229.16459394</v>
      </c>
      <c r="CZ21" s="96">
        <f>'PIB corriente base 1993'!V96*1000</f>
        <v>703285920.83849895</v>
      </c>
      <c r="DA21" s="601">
        <f>'PIB corriente base 1993'!V21*1000</f>
        <v>654438985.24864709</v>
      </c>
      <c r="DB21" s="602">
        <f>'PIB corriente base 2004'!X48*1000</f>
        <v>643562379.58706105</v>
      </c>
      <c r="DC21" s="96">
        <f>'PIB corriente base 2004'!X49*1000</f>
        <v>727989187.26691103</v>
      </c>
      <c r="DD21" s="96">
        <f>'PIB corriente base 2004'!X50*1000</f>
        <v>729299498.00619602</v>
      </c>
      <c r="DE21" s="96">
        <f>'PIB corriente base 2004'!X51*1000</f>
        <v>762766022.07522595</v>
      </c>
      <c r="DF21" s="601">
        <f>('Cuenta Ahorro-Inversión-Financi'!DB21+'Cuenta Ahorro-Inversión-Financi'!DC21+'Cuenta Ahorro-Inversión-Financi'!DD21+'Cuenta Ahorro-Inversión-Financi'!DE21)/4</f>
        <v>715904271.73384845</v>
      </c>
      <c r="DG21" s="455"/>
      <c r="DH21" s="1">
        <v>2014</v>
      </c>
      <c r="DI21" s="621">
        <v>76739818</v>
      </c>
      <c r="DJ21" s="455">
        <f>'Cuenta Ahorro-Inversión-Financi'!DI21/1000/'PIB corriente base 2004'!X18</f>
        <v>1.6758761654761131E-2</v>
      </c>
      <c r="DK21" s="28">
        <v>53294684.664030001</v>
      </c>
      <c r="DL21" s="455">
        <f>'Cuenta Ahorro-Inversión-Financi'!DK21/1000/'PIB corriente base 2004'!X18</f>
        <v>1.1638715611107287E-2</v>
      </c>
      <c r="DN21" s="1">
        <f>DO18*100/DN20</f>
        <v>580675520.32389307</v>
      </c>
      <c r="DO21" s="455">
        <f>(DO18-DO10)/DO10</f>
        <v>7.8625180278673801</v>
      </c>
      <c r="DP21" s="455">
        <f>(DO18-DO9)/DO9</f>
        <v>11.243229760547321</v>
      </c>
      <c r="DR21" s="455">
        <f>AVERAGE(DR15:DR18)</f>
        <v>9.120224276559041E-3</v>
      </c>
      <c r="DS21" s="455">
        <f>AVERAGE(DS15:DS18)</f>
        <v>0.11605552595327986</v>
      </c>
      <c r="DU21" s="455">
        <f>AVERAGE(DU15:DU18)</f>
        <v>9.9011306770867419E-2</v>
      </c>
      <c r="DV21" s="455">
        <f>AVERAGE(DV15:DV18)</f>
        <v>8.3219150777797853E-3</v>
      </c>
      <c r="DY21" s="1">
        <f t="shared" ref="DY21:DY33" si="12">DY20+1</f>
        <v>2005</v>
      </c>
      <c r="EA21" s="28">
        <f t="shared" si="9"/>
        <v>2976976.7896199999</v>
      </c>
      <c r="EB21" s="28">
        <f t="shared" si="10"/>
        <v>789044.26905999996</v>
      </c>
      <c r="EC21" s="455">
        <f>EA21/1000/'PIB corriente base 2004'!X9</f>
        <v>5.1103548710112598E-3</v>
      </c>
      <c r="ED21" s="455">
        <f>EB21/1000/'PIB corriente base 2004'!X9</f>
        <v>1.3544936722025961E-3</v>
      </c>
      <c r="EE21" s="455">
        <f t="shared" si="11"/>
        <v>6.4648485432138563E-3</v>
      </c>
    </row>
    <row r="22" spans="1:135" ht="15.75" customHeight="1">
      <c r="B22" s="455">
        <f>'Cuenta Ahorro-Inversión-Financi'!G22/'Cuenta Ahorro-Inversión-Financi'!F22</f>
        <v>0.45223699244884979</v>
      </c>
      <c r="C22" s="455">
        <f>'Cuenta Ahorro-Inversión-Financi'!S22/'Cuenta Ahorro-Inversión-Financi'!F22</f>
        <v>0.53878463512184949</v>
      </c>
      <c r="E22" s="588">
        <v>2006</v>
      </c>
      <c r="F22" s="604">
        <f>'Cuenta Ahorro-Inversión-Financi'!G22+'Cuenta Ahorro-Inversión-Financi'!R22+'Cuenta Ahorro-Inversión-Financi'!S22+'Cuenta Ahorro-Inversión-Financi'!W22+'Cuenta Ahorro-Inversión-Financi'!Z22</f>
        <v>33560747.247090004</v>
      </c>
      <c r="G22" s="605">
        <f>'Cuenta Ahorro-Inversión-Financi'!H22+'Cuenta Ahorro-Inversión-Financi'!I22+'Cuenta Ahorro-Inversión-Financi'!J22+'Cuenta Ahorro-Inversión-Financi'!O22</f>
        <v>15177411.399359999</v>
      </c>
      <c r="H22" s="611">
        <v>6733513.0545899998</v>
      </c>
      <c r="I22" s="611">
        <v>144334.82750000001</v>
      </c>
      <c r="J22" s="611">
        <v>7289327.6172700003</v>
      </c>
      <c r="K22" s="612">
        <f>IVA!AU36</f>
        <v>4856595.5701867305</v>
      </c>
      <c r="L22" s="612">
        <f>'Cuenta Ahorro-Inversión-Financi'!M22+'Cuenta Ahorro-Inversión-Financi'!N22</f>
        <v>2437923.9389404999</v>
      </c>
      <c r="M22" s="612">
        <f>IVA!AU121</f>
        <v>2007047.3776400001</v>
      </c>
      <c r="N22" s="612">
        <f>IVA!AU155</f>
        <v>430876.56130049995</v>
      </c>
      <c r="O22" s="611">
        <v>1010235.9</v>
      </c>
      <c r="P22" s="611">
        <f>IVA!AU104</f>
        <v>398243.52608999994</v>
      </c>
      <c r="Q22" s="611">
        <f>IVA!AU172*0.7</f>
        <v>463050.86803499988</v>
      </c>
      <c r="R22" s="611">
        <v>13848.116749999999</v>
      </c>
      <c r="S22" s="604">
        <f>'Cuenta Ahorro-Inversión-Financi'!T22+'Cuenta Ahorro-Inversión-Financi'!U22</f>
        <v>18082014.959940001</v>
      </c>
      <c r="T22" s="611">
        <v>18078656.31106</v>
      </c>
      <c r="U22" s="611">
        <v>3358.6488800000002</v>
      </c>
      <c r="V22" s="611"/>
      <c r="W22" s="611">
        <f>'Cuenta Ahorro-Inversión-Financi'!X22+'Cuenta Ahorro-Inversión-Financi'!Y22</f>
        <v>287384.59230999998</v>
      </c>
      <c r="X22" s="611">
        <v>202474.31833000001</v>
      </c>
      <c r="Y22" s="611">
        <v>84910.273979999998</v>
      </c>
      <c r="Z22" s="611">
        <v>88.178730000000002</v>
      </c>
      <c r="AA22" s="611"/>
      <c r="AB22" s="611"/>
      <c r="AC22" s="604">
        <f>'Cuenta Ahorro-Inversión-Financi'!AD22+'Cuenta Ahorro-Inversión-Financi'!AE22</f>
        <v>2302.9649300000001</v>
      </c>
      <c r="AD22" s="611">
        <v>2273.86393</v>
      </c>
      <c r="AE22" s="611">
        <v>29.100999999999999</v>
      </c>
      <c r="AF22" s="604">
        <f>'Cuenta Ahorro-Inversión-Financi'!AC22+'Cuenta Ahorro-Inversión-Financi'!F22</f>
        <v>33563050.212020002</v>
      </c>
      <c r="AG22" s="608">
        <v>10149400</v>
      </c>
      <c r="AH22" s="607">
        <f>'Cálculo masa impuestos copartic'!U18*1000</f>
        <v>10103645.425059063</v>
      </c>
      <c r="AI22" s="607"/>
      <c r="AJ22" s="607"/>
      <c r="AK22" s="607"/>
      <c r="AL22" s="607"/>
      <c r="AM22" s="606">
        <f>'Cuenta Ahorro-Inversión-Financi'!AG22-('Cuenta Ahorro-Inversión-Financi'!AH22+'Cuenta Ahorro-Inversión-Financi'!AJ22+'Cuenta Ahorro-Inversión-Financi'!AK22+'Cuenta Ahorro-Inversión-Financi'!AL22)</f>
        <v>45754.57494093664</v>
      </c>
      <c r="AN22" s="606">
        <f>'Cuenta Ahorro-Inversión-Financi'!AH22-'Cuenta Ahorro-Inversión-Financi'!CG22</f>
        <v>5619418.4832990635</v>
      </c>
      <c r="AO22" s="606">
        <f>'Cuenta Ahorro-Inversión-Financi'!AN22</f>
        <v>5619418.4832990635</v>
      </c>
      <c r="AP22" s="609" t="s">
        <v>885</v>
      </c>
      <c r="AQ22" s="609"/>
      <c r="AR22" s="609"/>
      <c r="AS22" s="594"/>
      <c r="AT22" s="622">
        <f>'Cuenta Ahorro-Inversión-Financi'!BR22/'Cuenta Ahorro-Inversión-Financi'!AU22</f>
        <v>3.9029766733730133E-2</v>
      </c>
      <c r="AU22" s="594">
        <f>'Cuenta Ahorro-Inversión-Financi'!BE22-'Cuenta Ahorro-Inversión-Financi'!BK22</f>
        <v>26062861.440340001</v>
      </c>
      <c r="AV22" s="610">
        <v>2006</v>
      </c>
      <c r="AW22" s="604">
        <f>'Cuenta Ahorro-Inversión-Financi'!AX22+'Cuenta Ahorro-Inversión-Financi'!BB22+'Cuenta Ahorro-Inversión-Financi'!BE22+'Cuenta Ahorro-Inversión-Financi'!BW22</f>
        <v>32609654.80136</v>
      </c>
      <c r="AX22" s="606">
        <f>'Cuenta Ahorro-Inversión-Financi'!AY22+'Cuenta Ahorro-Inversión-Financi'!AZ22</f>
        <v>596706.40428999998</v>
      </c>
      <c r="AY22" s="606">
        <v>368205.56359999999</v>
      </c>
      <c r="AZ22" s="606">
        <v>228500.84069000001</v>
      </c>
      <c r="BA22" s="606"/>
      <c r="BB22" s="606">
        <v>2780.5671200000002</v>
      </c>
      <c r="BC22" s="606"/>
      <c r="BD22" s="606"/>
      <c r="BE22" s="604">
        <v>26375264.365260001</v>
      </c>
      <c r="BF22" s="604"/>
      <c r="BG22" s="604"/>
      <c r="BH22" s="604"/>
      <c r="BI22" s="604"/>
      <c r="BJ22" s="604"/>
      <c r="BK22" s="606">
        <v>312402.92492000002</v>
      </c>
      <c r="BL22" s="606">
        <v>12.316599999999999</v>
      </c>
      <c r="BM22" s="606">
        <v>5634903.4646899998</v>
      </c>
      <c r="BN22" s="607">
        <v>3838525.07779</v>
      </c>
      <c r="BO22" s="607">
        <v>1795918.1508899999</v>
      </c>
      <c r="BP22" s="607">
        <v>460.23601000000002</v>
      </c>
      <c r="BQ22" s="607">
        <v>4617676.06226</v>
      </c>
      <c r="BR22" s="607">
        <v>1017227.40243</v>
      </c>
      <c r="BS22" s="606"/>
      <c r="BT22" s="606"/>
      <c r="BU22" s="606"/>
      <c r="BV22" s="606"/>
      <c r="BW22" s="606">
        <f>'Cuenta Ahorro-Inversión-Financi'!BM22-'Cuenta Ahorro-Inversión-Financi'!BU22-'Cuenta Ahorro-Inversión-Financi'!BV22</f>
        <v>5634903.4646899998</v>
      </c>
      <c r="BX22" s="607">
        <v>2813516.4093599999</v>
      </c>
      <c r="BY22" s="604">
        <f>'Cuenta Ahorro-Inversión-Financi'!BZ22+'Cuenta Ahorro-Inversión-Financi'!CA22+'Cuenta Ahorro-Inversión-Financi'!CE22</f>
        <v>17580.03645</v>
      </c>
      <c r="BZ22" s="606">
        <v>17580.03645</v>
      </c>
      <c r="CA22" s="606"/>
      <c r="CB22" s="606"/>
      <c r="CC22" s="606"/>
      <c r="CD22" s="606"/>
      <c r="CE22" s="620"/>
      <c r="CF22" s="604">
        <f>'Cuenta Ahorro-Inversión-Financi'!BY22+'Cuenta Ahorro-Inversión-Financi'!AW22</f>
        <v>32627234.837809999</v>
      </c>
      <c r="CG22" s="604">
        <v>4484226.9417599998</v>
      </c>
      <c r="CH22" s="604"/>
      <c r="CI22" s="604">
        <f>1685933662.7/1000</f>
        <v>1685933.6627</v>
      </c>
      <c r="CJ22" s="604">
        <f>1990596677.77/1000</f>
        <v>1990596.67777</v>
      </c>
      <c r="CK22" s="604">
        <f>(2797538279.06+755000)/1000-CJ22</f>
        <v>807696.60129000014</v>
      </c>
      <c r="CL22" s="604"/>
      <c r="CM22" s="604"/>
      <c r="CN22" s="604">
        <f>'Cuenta Ahorro-Inversión-Financi'!F22-'Cuenta Ahorro-Inversión-Financi'!AW22</f>
        <v>951092.44573000446</v>
      </c>
      <c r="CO22" s="606">
        <f>'Cuenta Ahorro-Inversión-Financi'!CN22+'Cuenta Ahorro-Inversión-Financi'!AC22-'Cuenta Ahorro-Inversión-Financi'!BY22</f>
        <v>935815.37421000446</v>
      </c>
      <c r="CP22" s="606">
        <f>'Cuenta Ahorro-Inversión-Financi'!S22-'Cuenta Ahorro-Inversión-Financi'!BE22-'Cuenta Ahorro-Inversión-Financi'!BM22</f>
        <v>-13928152.87001</v>
      </c>
      <c r="CQ22" s="606">
        <f>'Cuenta Ahorro-Inversión-Financi'!F22-'Cuenta Ahorro-Inversión-Financi'!BE22-'Cuenta Ahorro-Inversión-Financi'!BM22-'Cuenta Ahorro-Inversión-Financi'!W22</f>
        <v>1263194.8248300033</v>
      </c>
      <c r="CR22" s="606"/>
      <c r="CS22" s="613" t="s">
        <v>886</v>
      </c>
      <c r="CT22" s="613"/>
      <c r="CV22" s="579">
        <v>2007</v>
      </c>
      <c r="CW22" s="584">
        <f>'PIB corriente base 1993'!V97*1000</f>
        <v>681119854.47374296</v>
      </c>
      <c r="CX22" s="584">
        <f>'PIB corriente base 1993'!V98*1000</f>
        <v>835125270.31233501</v>
      </c>
      <c r="CY22" s="584">
        <f>'PIB corriente base 1993'!V99*1000</f>
        <v>827463264.70569193</v>
      </c>
      <c r="CZ22" s="584">
        <f>'PIB corriente base 1993'!V100*1000</f>
        <v>906114923.56875503</v>
      </c>
      <c r="DA22" s="585">
        <f>'PIB corriente base 1993'!V22*1000</f>
        <v>812455828.265131</v>
      </c>
      <c r="DB22" s="586">
        <f>'PIB corriente base 2004'!X52*1000</f>
        <v>774387787.841277</v>
      </c>
      <c r="DC22" s="584">
        <f>'PIB corriente base 2004'!X53*1000</f>
        <v>904350388.093081</v>
      </c>
      <c r="DD22" s="584">
        <f>'PIB corriente base 2004'!X54*1000</f>
        <v>914103967.40191901</v>
      </c>
      <c r="DE22" s="584">
        <f>'PIB corriente base 2004'!X55*1000</f>
        <v>995078552.95133603</v>
      </c>
      <c r="DF22" s="585">
        <f>('Cuenta Ahorro-Inversión-Financi'!DB22+'Cuenta Ahorro-Inversión-Financi'!DC22+'Cuenta Ahorro-Inversión-Financi'!DD22+'Cuenta Ahorro-Inversión-Financi'!DE22)/4</f>
        <v>896980174.07190323</v>
      </c>
      <c r="DG22" s="455"/>
      <c r="DH22" s="1">
        <v>2015</v>
      </c>
      <c r="DI22" s="452">
        <v>97479599</v>
      </c>
      <c r="DJ22" s="455">
        <f>'Cuenta Ahorro-Inversión-Financi'!DI22/1000/'PIB corriente base 2004'!X19</f>
        <v>1.6370714691364394E-2</v>
      </c>
      <c r="DK22" s="28">
        <v>75797809.099999994</v>
      </c>
      <c r="DL22" s="455">
        <f>'Cuenta Ahorro-Inversión-Financi'!DK22/1000/'PIB corriente base 2004'!X19</f>
        <v>1.2729476934005482E-2</v>
      </c>
      <c r="DP22" s="455">
        <f>(DE32-DE23)/DE23</f>
        <v>9.0111151224284765</v>
      </c>
      <c r="DY22" s="1">
        <f t="shared" si="12"/>
        <v>2006</v>
      </c>
      <c r="EA22" s="28">
        <f t="shared" si="9"/>
        <v>3838525.07779</v>
      </c>
      <c r="EB22" s="28">
        <f t="shared" si="10"/>
        <v>1017227.40243</v>
      </c>
      <c r="EC22" s="455">
        <f>EA22/1000/'PIB corriente base 2004'!X10</f>
        <v>5.3617854081153566E-3</v>
      </c>
      <c r="ED22" s="455">
        <f>EB22/1000/'PIB corriente base 2004'!X10</f>
        <v>1.4208986349060009E-3</v>
      </c>
      <c r="EE22" s="455">
        <f t="shared" si="11"/>
        <v>6.7826840430213579E-3</v>
      </c>
    </row>
    <row r="23" spans="1:135" ht="15.75" customHeight="1">
      <c r="B23" s="455">
        <f>'Cuenta Ahorro-Inversión-Financi'!G23/'Cuenta Ahorro-Inversión-Financi'!F23</f>
        <v>0.34771481650750524</v>
      </c>
      <c r="C23" s="455">
        <f>'Cuenta Ahorro-Inversión-Financi'!S23/'Cuenta Ahorro-Inversión-Financi'!F23</f>
        <v>0.63963531442242372</v>
      </c>
      <c r="E23" s="588">
        <v>2007</v>
      </c>
      <c r="F23" s="589">
        <f>'Cuenta Ahorro-Inversión-Financi'!G23+'Cuenta Ahorro-Inversión-Financi'!R23+'Cuenta Ahorro-Inversión-Financi'!S23+'Cuenta Ahorro-Inversión-Financi'!W23+'Cuenta Ahorro-Inversión-Financi'!Z23</f>
        <v>53996454.561420001</v>
      </c>
      <c r="G23" s="590">
        <f>'Cuenta Ahorro-Inversión-Financi'!H23+'Cuenta Ahorro-Inversión-Financi'!I23+'Cuenta Ahorro-Inversión-Financi'!J23+'Cuenta Ahorro-Inversión-Financi'!O23</f>
        <v>18775367.28988</v>
      </c>
      <c r="H23" s="591">
        <v>8488745.6007599998</v>
      </c>
      <c r="I23" s="591"/>
      <c r="J23" s="591">
        <v>9106308.3536399994</v>
      </c>
      <c r="K23" s="592">
        <f>IVA!AU37</f>
        <v>6461394.6538314875</v>
      </c>
      <c r="L23" s="592">
        <f>'Cuenta Ahorro-Inversión-Financi'!M23+'Cuenta Ahorro-Inversión-Financi'!N23</f>
        <v>2704319.9941650997</v>
      </c>
      <c r="M23" s="592">
        <f>IVA!AU122</f>
        <v>2171389.7141199997</v>
      </c>
      <c r="N23" s="592">
        <f>IVA!AU156</f>
        <v>532930.28004510002</v>
      </c>
      <c r="O23" s="591">
        <v>1180313.3354799999</v>
      </c>
      <c r="P23" s="591">
        <f>IVA!AU105</f>
        <v>447075.21996999998</v>
      </c>
      <c r="Q23" s="591">
        <f>IVA!AU173*0.7</f>
        <v>525160.25262399996</v>
      </c>
      <c r="R23" s="591">
        <v>20733.85282</v>
      </c>
      <c r="S23" s="589">
        <f>'Cuenta Ahorro-Inversión-Financi'!T23+'Cuenta Ahorro-Inversión-Financi'!U23</f>
        <v>34538039.191089995</v>
      </c>
      <c r="T23" s="591">
        <v>34533885.637589999</v>
      </c>
      <c r="U23" s="591">
        <v>4153.5535</v>
      </c>
      <c r="V23" s="591"/>
      <c r="W23" s="591">
        <f>'Cuenta Ahorro-Inversión-Financi'!X23+'Cuenta Ahorro-Inversión-Financi'!Y23</f>
        <v>661907.51888999995</v>
      </c>
      <c r="X23" s="591">
        <v>416923.45660999999</v>
      </c>
      <c r="Y23" s="591">
        <v>244984.06228000001</v>
      </c>
      <c r="Z23" s="591">
        <f>'Cuenta Ahorro-Inversión-Financi'!AA23+'Cuenta Ahorro-Inversión-Financi'!AB23</f>
        <v>406.70873999999998</v>
      </c>
      <c r="AA23" s="591">
        <v>95.661230000000003</v>
      </c>
      <c r="AB23" s="591">
        <v>311.04750999999999</v>
      </c>
      <c r="AC23" s="589">
        <f>'Cuenta Ahorro-Inversión-Financi'!AD23+'Cuenta Ahorro-Inversión-Financi'!AE23</f>
        <v>45723.013919999998</v>
      </c>
      <c r="AD23" s="591">
        <v>45723.013919999998</v>
      </c>
      <c r="AE23" s="591"/>
      <c r="AF23" s="589">
        <f>'Cuenta Ahorro-Inversión-Financi'!AC23+'Cuenta Ahorro-Inversión-Financi'!F23</f>
        <v>54042177.575340003</v>
      </c>
      <c r="AG23" s="589">
        <v>13371108.30119</v>
      </c>
      <c r="AH23" s="592">
        <f>'Cálculo masa impuestos copartic'!V19*1000</f>
        <v>13371549.19129</v>
      </c>
      <c r="AI23" s="592"/>
      <c r="AJ23" s="592"/>
      <c r="AK23" s="592"/>
      <c r="AL23" s="592"/>
      <c r="AM23" s="591">
        <f>'Cuenta Ahorro-Inversión-Financi'!AG23-('Cuenta Ahorro-Inversión-Financi'!AH23+'Cuenta Ahorro-Inversión-Financi'!AJ23+'Cuenta Ahorro-Inversión-Financi'!AK23+'Cuenta Ahorro-Inversión-Financi'!AL23)</f>
        <v>-440.89010000042617</v>
      </c>
      <c r="AN23" s="591">
        <f>'Cuenta Ahorro-Inversión-Financi'!AH23-'Cuenta Ahorro-Inversión-Financi'!CG23</f>
        <v>7143151.3406400001</v>
      </c>
      <c r="AO23" s="591">
        <f>'Cuenta Ahorro-Inversión-Financi'!AN23</f>
        <v>7143151.3406400001</v>
      </c>
      <c r="AP23" s="614" t="s">
        <v>885</v>
      </c>
      <c r="AQ23" s="614"/>
      <c r="AR23" s="614"/>
      <c r="AS23" s="594"/>
      <c r="AT23" s="622">
        <f>'Cuenta Ahorro-Inversión-Financi'!BR23/'Cuenta Ahorro-Inversión-Financi'!AU23</f>
        <v>3.7274095235323712E-2</v>
      </c>
      <c r="AU23" s="594">
        <f>'Cuenta Ahorro-Inversión-Financi'!BE23-'Cuenta Ahorro-Inversión-Financi'!BK23</f>
        <v>43519286.891040005</v>
      </c>
      <c r="AV23" s="610">
        <v>2007</v>
      </c>
      <c r="AW23" s="596">
        <f>'Cuenta Ahorro-Inversión-Financi'!AX23+'Cuenta Ahorro-Inversión-Financi'!BB23+'Cuenta Ahorro-Inversión-Financi'!BE23+'Cuenta Ahorro-Inversión-Financi'!BW23</f>
        <v>51409594.720129997</v>
      </c>
      <c r="AX23" s="599">
        <f>'Cuenta Ahorro-Inversión-Financi'!AY23+'Cuenta Ahorro-Inversión-Financi'!AZ23</f>
        <v>838168.47267000005</v>
      </c>
      <c r="AY23" s="597">
        <v>505911.68079999997</v>
      </c>
      <c r="AZ23" s="597">
        <v>332256.79187000002</v>
      </c>
      <c r="BA23" s="597"/>
      <c r="BB23" s="597"/>
      <c r="BC23" s="597"/>
      <c r="BD23" s="597"/>
      <c r="BE23" s="596">
        <v>43934856.623230003</v>
      </c>
      <c r="BF23" s="596"/>
      <c r="BG23" s="596"/>
      <c r="BH23" s="597"/>
      <c r="BI23" s="597"/>
      <c r="BJ23" s="597"/>
      <c r="BK23" s="597">
        <v>415569.73219000001</v>
      </c>
      <c r="BL23" s="597">
        <v>72.762460000000004</v>
      </c>
      <c r="BM23" s="597">
        <v>6636569.6242300002</v>
      </c>
      <c r="BN23" s="598">
        <v>5249926.9321799995</v>
      </c>
      <c r="BO23" s="598">
        <v>1385857.8910699999</v>
      </c>
      <c r="BP23" s="598">
        <v>784.80097999999998</v>
      </c>
      <c r="BQ23" s="598">
        <v>5014427.5800799998</v>
      </c>
      <c r="BR23" s="598">
        <v>1622142.04415</v>
      </c>
      <c r="BS23" s="597"/>
      <c r="BT23" s="597"/>
      <c r="BU23" s="597"/>
      <c r="BV23" s="597"/>
      <c r="BW23" s="597">
        <f>'Cuenta Ahorro-Inversión-Financi'!BM23-'Cuenta Ahorro-Inversión-Financi'!BU23-'Cuenta Ahorro-Inversión-Financi'!BV23</f>
        <v>6636569.6242300002</v>
      </c>
      <c r="BX23" s="598">
        <v>3007999.9352199999</v>
      </c>
      <c r="BY23" s="596">
        <f>'Cuenta Ahorro-Inversión-Financi'!BZ23+'Cuenta Ahorro-Inversión-Financi'!CA23+'Cuenta Ahorro-Inversión-Financi'!CE23</f>
        <v>42102.120430000003</v>
      </c>
      <c r="BZ23" s="597">
        <v>42102.120430000003</v>
      </c>
      <c r="CA23" s="597"/>
      <c r="CB23" s="597"/>
      <c r="CC23" s="597"/>
      <c r="CD23" s="597"/>
      <c r="CE23" s="597"/>
      <c r="CF23" s="596">
        <f>'Cuenta Ahorro-Inversión-Financi'!BY23+'Cuenta Ahorro-Inversión-Financi'!AW23</f>
        <v>51451696.840559997</v>
      </c>
      <c r="CG23" s="596">
        <v>6228397.8506500004</v>
      </c>
      <c r="CH23" s="596"/>
      <c r="CI23" s="596">
        <f>2059936262.01/1000</f>
        <v>2059936.2620099999</v>
      </c>
      <c r="CJ23" s="596">
        <f>3211198804.04/1000</f>
        <v>3211198.8040399998</v>
      </c>
      <c r="CK23" s="596">
        <f>4169261100.58/1000-CJ23</f>
        <v>958062.29654000001</v>
      </c>
      <c r="CL23" s="596"/>
      <c r="CM23" s="596"/>
      <c r="CN23" s="596">
        <f>'Cuenta Ahorro-Inversión-Financi'!F23-'Cuenta Ahorro-Inversión-Financi'!AW23</f>
        <v>2586859.8412900046</v>
      </c>
      <c r="CO23" s="597">
        <f>'Cuenta Ahorro-Inversión-Financi'!CN23+'Cuenta Ahorro-Inversión-Financi'!AC23-'Cuenta Ahorro-Inversión-Financi'!BY23</f>
        <v>2590480.7347800042</v>
      </c>
      <c r="CP23" s="597">
        <f>'Cuenta Ahorro-Inversión-Financi'!S23-'Cuenta Ahorro-Inversión-Financi'!BE23-'Cuenta Ahorro-Inversión-Financi'!BM23</f>
        <v>-16033387.056370009</v>
      </c>
      <c r="CQ23" s="597">
        <f>'Cuenta Ahorro-Inversión-Financi'!F23-'Cuenta Ahorro-Inversión-Financi'!BE23-'Cuenta Ahorro-Inversión-Financi'!BM23-'Cuenta Ahorro-Inversión-Financi'!W23</f>
        <v>2763120.7950699981</v>
      </c>
      <c r="CR23" s="597"/>
      <c r="CS23" s="616" t="s">
        <v>886</v>
      </c>
      <c r="CT23" s="616"/>
      <c r="CV23" s="579">
        <v>2008</v>
      </c>
      <c r="CW23" s="96">
        <f>'PIB corriente base 1993'!V101*1000</f>
        <v>887643010.77871001</v>
      </c>
      <c r="CX23" s="96">
        <f>'PIB corriente base 1993'!V102*1000</f>
        <v>1107942840.35203</v>
      </c>
      <c r="CY23" s="96">
        <f>'PIB corriente base 1993'!V103*1000</f>
        <v>1057550793.49456</v>
      </c>
      <c r="CZ23" s="96">
        <f>'PIB corriente base 1993'!V104*1000</f>
        <v>1077896389.1833799</v>
      </c>
      <c r="DA23" s="601">
        <f>'PIB corriente base 1993'!V23*1000</f>
        <v>1032758258.4521699</v>
      </c>
      <c r="DB23" s="602">
        <f>'PIB corriente base 2004'!X56*1000</f>
        <v>1032356873.25936</v>
      </c>
      <c r="DC23" s="96">
        <f>'PIB corriente base 2004'!X57*1000</f>
        <v>1213883410.9890301</v>
      </c>
      <c r="DD23" s="96">
        <f>'PIB corriente base 2004'!X58*1000</f>
        <v>1183692269.70647</v>
      </c>
      <c r="DE23" s="96">
        <f>'PIB corriente base 2004'!X59*1000</f>
        <v>1168651808.3796799</v>
      </c>
      <c r="DF23" s="601">
        <f>('Cuenta Ahorro-Inversión-Financi'!DB23+'Cuenta Ahorro-Inversión-Financi'!DC23+'Cuenta Ahorro-Inversión-Financi'!DD23+'Cuenta Ahorro-Inversión-Financi'!DE23)/4</f>
        <v>1149646090.5836351</v>
      </c>
      <c r="DG23" s="455"/>
      <c r="DH23" s="1">
        <v>2016</v>
      </c>
      <c r="DI23" s="623">
        <v>131669079</v>
      </c>
      <c r="DJ23" s="455">
        <f>'Cuenta Ahorro-Inversión-Financi'!DI23/1000/'PIB corriente base 2004'!X20</f>
        <v>1.6002251547905685E-2</v>
      </c>
      <c r="DK23" s="28">
        <v>86485940.4164</v>
      </c>
      <c r="DL23" s="455">
        <f>'Cuenta Ahorro-Inversión-Financi'!DK23/1000/'PIB corriente base 2004'!X20</f>
        <v>1.0510970262808748E-2</v>
      </c>
      <c r="DY23" s="1">
        <f t="shared" si="12"/>
        <v>2007</v>
      </c>
      <c r="EA23" s="28">
        <f t="shared" si="9"/>
        <v>5249926.9321799995</v>
      </c>
      <c r="EB23" s="28">
        <f t="shared" si="10"/>
        <v>1622142.04415</v>
      </c>
      <c r="EC23" s="455">
        <f>EA23/1000/'PIB corriente base 2004'!X11</f>
        <v>5.8528907147942797E-3</v>
      </c>
      <c r="ED23" s="455">
        <f>EB23/1000/'PIB corriente base 2004'!X11</f>
        <v>1.8084480471693978E-3</v>
      </c>
      <c r="EE23" s="455">
        <f t="shared" si="11"/>
        <v>7.6613387619636772E-3</v>
      </c>
    </row>
    <row r="24" spans="1:135" ht="15.75" customHeight="1">
      <c r="B24" s="455">
        <f>'Cuenta Ahorro-Inversión-Financi'!G24/'Cuenta Ahorro-Inversión-Financi'!F24</f>
        <v>0.35039928332792319</v>
      </c>
      <c r="C24" s="455">
        <f>'Cuenta Ahorro-Inversión-Financi'!S24/'Cuenta Ahorro-Inversión-Financi'!F24</f>
        <v>0.63248358215418543</v>
      </c>
      <c r="E24" s="588">
        <v>2008</v>
      </c>
      <c r="F24" s="604">
        <f>'Cuenta Ahorro-Inversión-Financi'!G24+'Cuenta Ahorro-Inversión-Financi'!R24+'Cuenta Ahorro-Inversión-Financi'!S24+'Cuenta Ahorro-Inversión-Financi'!W24+'Cuenta Ahorro-Inversión-Financi'!Z24</f>
        <v>66982576.740959994</v>
      </c>
      <c r="G24" s="605">
        <f>'Cuenta Ahorro-Inversión-Financi'!H24+'Cuenta Ahorro-Inversión-Financi'!J24+'Cuenta Ahorro-Inversión-Financi'!O24</f>
        <v>23470646.88549</v>
      </c>
      <c r="H24" s="611">
        <v>10735671.1304</v>
      </c>
      <c r="I24" s="611"/>
      <c r="J24" s="611">
        <v>11237233.27479</v>
      </c>
      <c r="K24" s="612">
        <f>IVA!AU38</f>
        <v>8271840.7736327462</v>
      </c>
      <c r="L24" s="612">
        <f>'Cuenta Ahorro-Inversión-Financi'!M24+'Cuenta Ahorro-Inversión-Financi'!N24</f>
        <v>3269922.0771960998</v>
      </c>
      <c r="M24" s="612">
        <f>IVA!AU123</f>
        <v>2511884.6083899997</v>
      </c>
      <c r="N24" s="612">
        <f>IVA!AU157</f>
        <v>758037.46880609985</v>
      </c>
      <c r="O24" s="611">
        <v>1497742.4802999999</v>
      </c>
      <c r="P24" s="611">
        <f>IVA!AU106</f>
        <v>555098.17588</v>
      </c>
      <c r="Q24" s="611">
        <f>IVA!AU174*0.7</f>
        <v>710091.53877899994</v>
      </c>
      <c r="R24" s="611">
        <v>27231.566190000001</v>
      </c>
      <c r="S24" s="604">
        <f>'Cuenta Ahorro-Inversión-Financi'!T24+'Cuenta Ahorro-Inversión-Financi'!U24</f>
        <v>42365380.079039998</v>
      </c>
      <c r="T24" s="611">
        <v>42361322.864610001</v>
      </c>
      <c r="U24" s="611">
        <v>4057.21443</v>
      </c>
      <c r="V24" s="611"/>
      <c r="W24" s="611">
        <f>'Cuenta Ahorro-Inversión-Financi'!X24+'Cuenta Ahorro-Inversión-Financi'!Y24</f>
        <v>1117433.6398499999</v>
      </c>
      <c r="X24" s="611">
        <v>328539.00607</v>
      </c>
      <c r="Y24" s="611">
        <v>788894.63378000003</v>
      </c>
      <c r="Z24" s="611">
        <f>'Cuenta Ahorro-Inversión-Financi'!AA24+'Cuenta Ahorro-Inversión-Financi'!AB24</f>
        <v>1884.5703899999999</v>
      </c>
      <c r="AA24" s="611">
        <v>118.63177</v>
      </c>
      <c r="AB24" s="611">
        <v>1765.9386199999999</v>
      </c>
      <c r="AC24" s="604">
        <f>'Cuenta Ahorro-Inversión-Financi'!AD24+'Cuenta Ahorro-Inversión-Financi'!AE24</f>
        <v>2914.8864699999999</v>
      </c>
      <c r="AD24" s="611">
        <v>2914.8864699999999</v>
      </c>
      <c r="AE24" s="611"/>
      <c r="AF24" s="604">
        <f>'Cuenta Ahorro-Inversión-Financi'!AC24+'Cuenta Ahorro-Inversión-Financi'!F24</f>
        <v>66985491.627429992</v>
      </c>
      <c r="AG24" s="608">
        <v>17109424.245999999</v>
      </c>
      <c r="AH24" s="607">
        <f>'Cálculo masa impuestos copartic'!V20*1000</f>
        <v>16753835.759500002</v>
      </c>
      <c r="AI24" s="607"/>
      <c r="AJ24" s="607"/>
      <c r="AK24" s="607"/>
      <c r="AL24" s="607"/>
      <c r="AM24" s="606">
        <f>'Cuenta Ahorro-Inversión-Financi'!AG24-('Cuenta Ahorro-Inversión-Financi'!AH24+'Cuenta Ahorro-Inversión-Financi'!AJ24+'Cuenta Ahorro-Inversión-Financi'!AK24+'Cuenta Ahorro-Inversión-Financi'!AL24)</f>
        <v>355588.48649999686</v>
      </c>
      <c r="AN24" s="606">
        <f>'Cuenta Ahorro-Inversión-Financi'!AH24-'Cuenta Ahorro-Inversión-Financi'!CG24</f>
        <v>8068584.3279700018</v>
      </c>
      <c r="AO24" s="606">
        <f>'Cuenta Ahorro-Inversión-Financi'!AN24</f>
        <v>8068584.3279700018</v>
      </c>
      <c r="AP24" s="609" t="s">
        <v>889</v>
      </c>
      <c r="AQ24" s="609"/>
      <c r="AR24" s="609"/>
      <c r="AS24" s="594"/>
      <c r="AT24" s="622">
        <f>'Cuenta Ahorro-Inversión-Financi'!BR24/'Cuenta Ahorro-Inversión-Financi'!AU24</f>
        <v>3.6682527942234207E-2</v>
      </c>
      <c r="AU24" s="594">
        <f>'Cuenta Ahorro-Inversión-Financi'!BE24-'Cuenta Ahorro-Inversión-Financi'!BK24</f>
        <v>55105474.418590002</v>
      </c>
      <c r="AV24" s="610">
        <v>2008</v>
      </c>
      <c r="AW24" s="604">
        <f>'Cuenta Ahorro-Inversión-Financi'!AX24+'Cuenta Ahorro-Inversión-Financi'!BB24+'Cuenta Ahorro-Inversión-Financi'!BE24+'Cuenta Ahorro-Inversión-Financi'!BW24</f>
        <v>67153838.421059996</v>
      </c>
      <c r="AX24" s="606">
        <f>'Cuenta Ahorro-Inversión-Financi'!AY24+'Cuenta Ahorro-Inversión-Financi'!AZ24</f>
        <v>1265908.8082699999</v>
      </c>
      <c r="AY24" s="606">
        <v>903539.73638000002</v>
      </c>
      <c r="AZ24" s="606">
        <v>362369.07189000002</v>
      </c>
      <c r="BA24" s="606"/>
      <c r="BB24" s="606"/>
      <c r="BC24" s="606"/>
      <c r="BD24" s="606"/>
      <c r="BE24" s="604">
        <v>55615821.241680004</v>
      </c>
      <c r="BF24" s="604"/>
      <c r="BG24" s="604"/>
      <c r="BH24" s="604"/>
      <c r="BI24" s="604"/>
      <c r="BJ24" s="604"/>
      <c r="BK24" s="606">
        <v>510346.82309000002</v>
      </c>
      <c r="BL24" s="606">
        <v>15.830410000000001</v>
      </c>
      <c r="BM24" s="606">
        <v>10272108.37111</v>
      </c>
      <c r="BN24" s="607">
        <v>8299966.3831399996</v>
      </c>
      <c r="BO24" s="607">
        <v>1970997.24853</v>
      </c>
      <c r="BP24" s="607">
        <v>1144.7394400000001</v>
      </c>
      <c r="BQ24" s="607">
        <v>8250700.2659799997</v>
      </c>
      <c r="BR24" s="607">
        <v>2021408.10513</v>
      </c>
      <c r="BS24" s="606"/>
      <c r="BT24" s="606"/>
      <c r="BU24" s="606"/>
      <c r="BV24" s="606"/>
      <c r="BW24" s="606">
        <f>'Cuenta Ahorro-Inversión-Financi'!BM24-'Cuenta Ahorro-Inversión-Financi'!BU24-'Cuenta Ahorro-Inversión-Financi'!BV24</f>
        <v>10272108.37111</v>
      </c>
      <c r="BX24" s="607">
        <v>3992405.35366</v>
      </c>
      <c r="BY24" s="604">
        <f>'Cuenta Ahorro-Inversión-Financi'!BZ24+'Cuenta Ahorro-Inversión-Financi'!CA24+'Cuenta Ahorro-Inversión-Financi'!CE24</f>
        <v>51943.683660000002</v>
      </c>
      <c r="BZ24" s="606">
        <v>51943.683660000002</v>
      </c>
      <c r="CA24" s="606"/>
      <c r="CB24" s="606"/>
      <c r="CC24" s="606"/>
      <c r="CD24" s="606"/>
      <c r="CE24" s="620"/>
      <c r="CF24" s="604">
        <f>'Cuenta Ahorro-Inversión-Financi'!BY24+'Cuenta Ahorro-Inversión-Financi'!AW24</f>
        <v>67205782.104719996</v>
      </c>
      <c r="CG24" s="604">
        <v>8685251.4315300006</v>
      </c>
      <c r="CH24" s="604"/>
      <c r="CI24" s="604">
        <f>2527385485.47/1000</f>
        <v>2527385.4854699997</v>
      </c>
      <c r="CJ24" s="604">
        <f>4655467380.45/1000</f>
        <v>4655467.3804500001</v>
      </c>
      <c r="CK24" s="604">
        <f>6157865946.06/1000-CJ24</f>
        <v>1502398.5656099999</v>
      </c>
      <c r="CL24" s="604">
        <v>1341518.0419099999</v>
      </c>
      <c r="CM24" s="604"/>
      <c r="CN24" s="604">
        <f>'Cuenta Ahorro-Inversión-Financi'!F24-'Cuenta Ahorro-Inversión-Financi'!AW24</f>
        <v>-171261.68010000139</v>
      </c>
      <c r="CO24" s="606">
        <f>'Cuenta Ahorro-Inversión-Financi'!CN24+'Cuenta Ahorro-Inversión-Financi'!AC24-'Cuenta Ahorro-Inversión-Financi'!BY24</f>
        <v>-220290.47729000141</v>
      </c>
      <c r="CP24" s="606">
        <f>'Cuenta Ahorro-Inversión-Financi'!S24-'Cuenta Ahorro-Inversión-Financi'!BE24-'Cuenta Ahorro-Inversión-Financi'!BM24</f>
        <v>-23522549.533750005</v>
      </c>
      <c r="CQ24" s="606">
        <f>'Cuenta Ahorro-Inversión-Financi'!F24-'Cuenta Ahorro-Inversión-Financi'!BE24-'Cuenta Ahorro-Inversión-Financi'!BM24-'Cuenta Ahorro-Inversión-Financi'!W24</f>
        <v>-22786.511680008844</v>
      </c>
      <c r="CR24" s="606"/>
      <c r="CS24" s="613" t="s">
        <v>890</v>
      </c>
      <c r="CT24" s="613"/>
      <c r="CV24" s="579">
        <v>2009</v>
      </c>
      <c r="CW24" s="584">
        <f>'PIB corriente base 1993'!V105*1000</f>
        <v>992962248.598719</v>
      </c>
      <c r="CX24" s="584">
        <f>'PIB corriente base 1993'!V106*1000</f>
        <v>1195372438.8148999</v>
      </c>
      <c r="CY24" s="584">
        <f>'PIB corriente base 1993'!V107*1000</f>
        <v>1168794907.4595401</v>
      </c>
      <c r="CZ24" s="584">
        <f>'PIB corriente base 1993'!V108*1000</f>
        <v>1224703750.5923901</v>
      </c>
      <c r="DA24" s="585">
        <f>'PIB corriente base 1993'!V24*1000</f>
        <v>1145458336.3663902</v>
      </c>
      <c r="DB24" s="586">
        <f>'PIB corriente base 2004'!X60*1000</f>
        <v>1112307488.3262999</v>
      </c>
      <c r="DC24" s="584">
        <f>'PIB corriente base 2004'!X61*1000</f>
        <v>1251464727.9338698</v>
      </c>
      <c r="DD24" s="584">
        <f>'PIB corriente base 2004'!X62*1000</f>
        <v>1269734745.2670798</v>
      </c>
      <c r="DE24" s="584">
        <f>'PIB corriente base 2004'!X63*1000</f>
        <v>1358210114.1728301</v>
      </c>
      <c r="DF24" s="585">
        <f>('Cuenta Ahorro-Inversión-Financi'!DB24+'Cuenta Ahorro-Inversión-Financi'!DC24+'Cuenta Ahorro-Inversión-Financi'!DD24+'Cuenta Ahorro-Inversión-Financi'!DE24)/4</f>
        <v>1247929268.92502</v>
      </c>
      <c r="DH24" s="1">
        <v>2017</v>
      </c>
      <c r="DI24" s="452">
        <v>172838482</v>
      </c>
      <c r="DJ24" s="455">
        <f>'Cuenta Ahorro-Inversión-Financi'!DI24/1000/'PIB corriente base 2004'!X21</f>
        <v>1.6236925657221495E-2</v>
      </c>
      <c r="DK24" s="28">
        <v>109125800</v>
      </c>
      <c r="DL24" s="455">
        <f>'Cuenta Ahorro-Inversión-Financi'!DK24/1000/'PIB corriente base 2004'!X21</f>
        <v>1.0251579864516639E-2</v>
      </c>
      <c r="DY24" s="1">
        <f t="shared" si="12"/>
        <v>2008</v>
      </c>
      <c r="EA24" s="28">
        <f t="shared" si="9"/>
        <v>8299966.3831399996</v>
      </c>
      <c r="EB24" s="28">
        <f t="shared" si="10"/>
        <v>2021408.10513</v>
      </c>
      <c r="EC24" s="455">
        <f>EA24/1000/'PIB corriente base 2004'!X12</f>
        <v>7.2195838798759342E-3</v>
      </c>
      <c r="ED24" s="455">
        <f>EB24/1000/'PIB corriente base 2004'!X12</f>
        <v>1.7582872865716456E-3</v>
      </c>
      <c r="EE24" s="455">
        <f t="shared" si="11"/>
        <v>8.9778711664475798E-3</v>
      </c>
    </row>
    <row r="25" spans="1:135" ht="15.75" customHeight="1">
      <c r="A25" s="455">
        <f>'Cuenta Ahorro-Inversión-Financi'!W25/'Cuenta Ahorro-Inversión-Financi'!F25</f>
        <v>8.723214957105363E-2</v>
      </c>
      <c r="B25" s="455">
        <f>'Cuenta Ahorro-Inversión-Financi'!G25/'Cuenta Ahorro-Inversión-Financi'!F25</f>
        <v>0.26111698767844366</v>
      </c>
      <c r="C25" s="455">
        <f>'Cuenta Ahorro-Inversión-Financi'!S25/'Cuenta Ahorro-Inversión-Financi'!F25</f>
        <v>0.65120073518059862</v>
      </c>
      <c r="E25" s="588">
        <v>2009</v>
      </c>
      <c r="F25" s="589">
        <f>'Cuenta Ahorro-Inversión-Financi'!G25+'Cuenta Ahorro-Inversión-Financi'!R25+'Cuenta Ahorro-Inversión-Financi'!S25+'Cuenta Ahorro-Inversión-Financi'!W25+'Cuenta Ahorro-Inversión-Financi'!Z25</f>
        <v>97293410.086690009</v>
      </c>
      <c r="G25" s="590">
        <f>'Cuenta Ahorro-Inversión-Financi'!H25+'Cuenta Ahorro-Inversión-Financi'!I25+'Cuenta Ahorro-Inversión-Financi'!J25+'Cuenta Ahorro-Inversión-Financi'!O25</f>
        <v>25404962.162799999</v>
      </c>
      <c r="H25" s="591">
        <v>11102856.861199999</v>
      </c>
      <c r="I25" s="591"/>
      <c r="J25" s="591">
        <v>12559119.1216</v>
      </c>
      <c r="K25" s="592">
        <f>IVA!AU39</f>
        <v>9009731.2294990011</v>
      </c>
      <c r="L25" s="592">
        <f>'Cuenta Ahorro-Inversión-Financi'!M25+'Cuenta Ahorro-Inversión-Financi'!N25</f>
        <v>3806449.67</v>
      </c>
      <c r="M25" s="592">
        <f>IVA!AU124</f>
        <v>2850188</v>
      </c>
      <c r="N25" s="592">
        <f>IVA!AU158</f>
        <v>956261.66999999993</v>
      </c>
      <c r="O25" s="591">
        <v>1742986.18</v>
      </c>
      <c r="P25" s="591">
        <f>IVA!AU107</f>
        <v>658385</v>
      </c>
      <c r="Q25" s="591">
        <f>IVA!AU175*0.7</f>
        <v>900098.5</v>
      </c>
      <c r="R25" s="591">
        <v>42958.912779999999</v>
      </c>
      <c r="S25" s="589">
        <f>'Cuenta Ahorro-Inversión-Financi'!T25+'Cuenta Ahorro-Inversión-Financi'!U25</f>
        <v>63357540.176679999</v>
      </c>
      <c r="T25" s="591">
        <v>63354298.603919998</v>
      </c>
      <c r="U25" s="591">
        <v>3241.57276</v>
      </c>
      <c r="V25" s="591"/>
      <c r="W25" s="591">
        <f>'Cuenta Ahorro-Inversión-Financi'!X25+'Cuenta Ahorro-Inversión-Financi'!Y25</f>
        <v>8487113.3009600006</v>
      </c>
      <c r="X25" s="591">
        <v>841116.85968999995</v>
      </c>
      <c r="Y25" s="591">
        <v>7645996.4412700003</v>
      </c>
      <c r="Z25" s="591">
        <f>'Cuenta Ahorro-Inversión-Financi'!AA25+'Cuenta Ahorro-Inversión-Financi'!AB25</f>
        <v>835.53347000000008</v>
      </c>
      <c r="AA25" s="591">
        <v>35.959180000000003</v>
      </c>
      <c r="AB25" s="591">
        <v>799.57429000000002</v>
      </c>
      <c r="AC25" s="589">
        <f>'Cuenta Ahorro-Inversión-Financi'!AD25+'Cuenta Ahorro-Inversión-Financi'!AE25</f>
        <v>1032.1886300000001</v>
      </c>
      <c r="AD25" s="591">
        <v>1032.1886300000001</v>
      </c>
      <c r="AE25" s="591"/>
      <c r="AF25" s="589">
        <f>'Cuenta Ahorro-Inversión-Financi'!AC25+'Cuenta Ahorro-Inversión-Financi'!F25</f>
        <v>97294442.275320008</v>
      </c>
      <c r="AG25" s="589">
        <v>18708526.440000001</v>
      </c>
      <c r="AH25" s="592">
        <f>'Cálculo masa impuestos copartic'!V21*1000</f>
        <v>18241431.126399998</v>
      </c>
      <c r="AI25" s="592"/>
      <c r="AJ25" s="592"/>
      <c r="AK25" s="592"/>
      <c r="AL25" s="592"/>
      <c r="AM25" s="591">
        <f>'Cuenta Ahorro-Inversión-Financi'!AG25-('Cuenta Ahorro-Inversión-Financi'!AH25+'Cuenta Ahorro-Inversión-Financi'!AJ25+'Cuenta Ahorro-Inversión-Financi'!AK25+'Cuenta Ahorro-Inversión-Financi'!AL25)</f>
        <v>467095.31360000372</v>
      </c>
      <c r="AN25" s="591">
        <f>'Cuenta Ahorro-Inversión-Financi'!AH25-'Cuenta Ahorro-Inversión-Financi'!CG25</f>
        <v>6220547.0314299967</v>
      </c>
      <c r="AO25" s="591">
        <f>'Cuenta Ahorro-Inversión-Financi'!AN25</f>
        <v>6220547.0314299967</v>
      </c>
      <c r="AP25" s="614" t="s">
        <v>891</v>
      </c>
      <c r="AQ25" s="614"/>
      <c r="AR25" s="614"/>
      <c r="AS25" s="594"/>
      <c r="AT25" s="622">
        <f>'Cuenta Ahorro-Inversión-Financi'!BR25/'Cuenta Ahorro-Inversión-Financi'!AU25</f>
        <v>3.6243359369945626E-2</v>
      </c>
      <c r="AU25" s="594">
        <f>'Cuenta Ahorro-Inversión-Financi'!BE25-'Cuenta Ahorro-Inversión-Financi'!BK25</f>
        <v>70288442.194529995</v>
      </c>
      <c r="AV25" s="610">
        <v>2009</v>
      </c>
      <c r="AW25" s="596">
        <f>'Cuenta Ahorro-Inversión-Financi'!AX25+'Cuenta Ahorro-Inversión-Financi'!BB25+'Cuenta Ahorro-Inversión-Financi'!BE25+'Cuenta Ahorro-Inversión-Financi'!BW25</f>
        <v>88595174.225169986</v>
      </c>
      <c r="AX25" s="599">
        <f>'Cuenta Ahorro-Inversión-Financi'!AY25+'Cuenta Ahorro-Inversión-Financi'!AZ25</f>
        <v>2218502.3256799998</v>
      </c>
      <c r="AY25" s="597">
        <v>1525051.5665899999</v>
      </c>
      <c r="AZ25" s="597">
        <v>693450.75908999995</v>
      </c>
      <c r="BA25" s="597"/>
      <c r="BB25" s="597">
        <v>4339.8045599999996</v>
      </c>
      <c r="BC25" s="597"/>
      <c r="BD25" s="597"/>
      <c r="BE25" s="596">
        <v>70902691.971000001</v>
      </c>
      <c r="BF25" s="596"/>
      <c r="BG25" s="596"/>
      <c r="BH25" s="597"/>
      <c r="BI25" s="597"/>
      <c r="BJ25" s="597"/>
      <c r="BK25" s="597">
        <v>614249.77647000004</v>
      </c>
      <c r="BL25" s="597">
        <v>24.294229999999999</v>
      </c>
      <c r="BM25" s="597">
        <v>15469640.12393</v>
      </c>
      <c r="BN25" s="598">
        <v>12621171.191749999</v>
      </c>
      <c r="BO25" s="598">
        <v>2847339.8380100001</v>
      </c>
      <c r="BP25" s="598">
        <v>1129.0941700000001</v>
      </c>
      <c r="BQ25" s="598">
        <v>12922150.85392</v>
      </c>
      <c r="BR25" s="598">
        <v>2547489.2700100001</v>
      </c>
      <c r="BS25" s="597"/>
      <c r="BT25" s="597"/>
      <c r="BU25" s="597"/>
      <c r="BV25" s="597"/>
      <c r="BW25" s="597">
        <f>'Cuenta Ahorro-Inversión-Financi'!BM25-'Cuenta Ahorro-Inversión-Financi'!BU25-'Cuenta Ahorro-Inversión-Financi'!BV25</f>
        <v>15469640.12393</v>
      </c>
      <c r="BX25" s="598">
        <v>5394829.1080200002</v>
      </c>
      <c r="BY25" s="596">
        <f>'Cuenta Ahorro-Inversión-Financi'!BZ25+'Cuenta Ahorro-Inversión-Financi'!CA25+'Cuenta Ahorro-Inversión-Financi'!CE25</f>
        <v>89646.66777</v>
      </c>
      <c r="BZ25" s="597">
        <v>89646.66777</v>
      </c>
      <c r="CA25" s="597"/>
      <c r="CB25" s="597"/>
      <c r="CC25" s="597"/>
      <c r="CD25" s="597"/>
      <c r="CE25" s="597"/>
      <c r="CF25" s="596">
        <f>'Cuenta Ahorro-Inversión-Financi'!BY25+'Cuenta Ahorro-Inversión-Financi'!AW25</f>
        <v>88684820.892939985</v>
      </c>
      <c r="CG25" s="596">
        <v>12020884.094970001</v>
      </c>
      <c r="CH25" s="596"/>
      <c r="CI25" s="596">
        <f>3449309243.74/1000</f>
        <v>3449309.2437399998</v>
      </c>
      <c r="CJ25" s="596">
        <f>6829474740.36/1000</f>
        <v>6829474.7403599992</v>
      </c>
      <c r="CK25" s="596">
        <f>8571574851.23/1000-CJ25</f>
        <v>1742100.11087</v>
      </c>
      <c r="CL25" s="596">
        <v>2090315.1379499999</v>
      </c>
      <c r="CM25" s="596"/>
      <c r="CN25" s="596">
        <f>'Cuenta Ahorro-Inversión-Financi'!F25-'Cuenta Ahorro-Inversión-Financi'!AW25</f>
        <v>8698235.8615200222</v>
      </c>
      <c r="CO25" s="597">
        <f>'Cuenta Ahorro-Inversión-Financi'!CN25+'Cuenta Ahorro-Inversión-Financi'!AC25-'Cuenta Ahorro-Inversión-Financi'!BY25</f>
        <v>8609621.3823800217</v>
      </c>
      <c r="CP25" s="597">
        <f>'Cuenta Ahorro-Inversión-Financi'!S25-'Cuenta Ahorro-Inversión-Financi'!BE25-'Cuenta Ahorro-Inversión-Financi'!BM25</f>
        <v>-23014791.918250002</v>
      </c>
      <c r="CQ25" s="597">
        <f>'Cuenta Ahorro-Inversión-Financi'!F25-'Cuenta Ahorro-Inversión-Financi'!BE25-'Cuenta Ahorro-Inversión-Financi'!BM25-'Cuenta Ahorro-Inversión-Financi'!W25</f>
        <v>2433964.6908000074</v>
      </c>
      <c r="CR25" s="597"/>
      <c r="CS25" s="616" t="s">
        <v>892</v>
      </c>
      <c r="CT25" s="616"/>
      <c r="CV25" s="579">
        <v>2010</v>
      </c>
      <c r="CW25" s="96">
        <f>'PIB corriente base 1993'!V109*1000</f>
        <v>1217380793.9488301</v>
      </c>
      <c r="CX25" s="96">
        <f>'PIB corriente base 1993'!V110*1000</f>
        <v>1508285665.01389</v>
      </c>
      <c r="CY25" s="96">
        <f>'PIB corriente base 1993'!V111*1000</f>
        <v>1465856669.3023598</v>
      </c>
      <c r="CZ25" s="96">
        <f>'PIB corriente base 1993'!V112*1000</f>
        <v>1579098386.12358</v>
      </c>
      <c r="DA25" s="601">
        <f>'PIB corriente base 1993'!V25*1000</f>
        <v>1442655378.5971601</v>
      </c>
      <c r="DB25" s="602">
        <f>'PIB corriente base 2004'!X64*1000</f>
        <v>1418857949.9665101</v>
      </c>
      <c r="DC25" s="96">
        <f>'PIB corriente base 2004'!X65*1000</f>
        <v>1686066954.4577801</v>
      </c>
      <c r="DD25" s="96">
        <f>'PIB corriente base 2004'!X66*1000</f>
        <v>1712834548.9382899</v>
      </c>
      <c r="DE25" s="96">
        <f>'PIB corriente base 2004'!X67*1000</f>
        <v>1829124250.41574</v>
      </c>
      <c r="DF25" s="601">
        <f>('Cuenta Ahorro-Inversión-Financi'!DB25+'Cuenta Ahorro-Inversión-Financi'!DC25+'Cuenta Ahorro-Inversión-Financi'!DD25+'Cuenta Ahorro-Inversión-Financi'!DE25)/4</f>
        <v>1661720925.9445801</v>
      </c>
      <c r="DL25" s="455"/>
      <c r="DS25" s="1">
        <v>103530.79</v>
      </c>
      <c r="DY25" s="1">
        <f t="shared" si="12"/>
        <v>2009</v>
      </c>
      <c r="EA25" s="28">
        <f t="shared" si="9"/>
        <v>12621171.191749999</v>
      </c>
      <c r="EB25" s="28">
        <f t="shared" si="10"/>
        <v>2547489.2700100001</v>
      </c>
      <c r="EC25" s="455">
        <f>EA25/1000/'PIB corriente base 2004'!X13</f>
        <v>1.0113691141022773E-2</v>
      </c>
      <c r="ED25" s="455">
        <f>EB25/1000/'PIB corriente base 2004'!X13</f>
        <v>2.0413731238184958E-3</v>
      </c>
      <c r="EE25" s="455">
        <f t="shared" si="11"/>
        <v>1.2155064264841269E-2</v>
      </c>
    </row>
    <row r="26" spans="1:135" ht="15.75" customHeight="1">
      <c r="A26" s="455">
        <f>'Cuenta Ahorro-Inversión-Financi'!W26/'Cuenta Ahorro-Inversión-Financi'!F26</f>
        <v>6.866824082335303E-2</v>
      </c>
      <c r="B26" s="455">
        <f>'Cuenta Ahorro-Inversión-Financi'!G26/'Cuenta Ahorro-Inversión-Financi'!F26</f>
        <v>0.26948544402830754</v>
      </c>
      <c r="C26" s="455">
        <f>'Cuenta Ahorro-Inversión-Financi'!S26/'Cuenta Ahorro-Inversión-Financi'!F26</f>
        <v>0.66106237812677215</v>
      </c>
      <c r="E26" s="588">
        <v>2010</v>
      </c>
      <c r="F26" s="604">
        <f>'Cuenta Ahorro-Inversión-Financi'!G26+'Cuenta Ahorro-Inversión-Financi'!R26+'Cuenta Ahorro-Inversión-Financi'!S26+'Cuenta Ahorro-Inversión-Financi'!W26+'Cuenta Ahorro-Inversión-Financi'!Z26</f>
        <v>126910598.63596001</v>
      </c>
      <c r="G26" s="605">
        <f>'Cuenta Ahorro-Inversión-Financi'!H26+'Cuenta Ahorro-Inversión-Financi'!I26+'Cuenta Ahorro-Inversión-Financi'!J26+'Cuenta Ahorro-Inversión-Financi'!O26</f>
        <v>34200559.025310002</v>
      </c>
      <c r="H26" s="611">
        <v>15263717.30188</v>
      </c>
      <c r="I26" s="611"/>
      <c r="J26" s="611">
        <v>16702328.023429999</v>
      </c>
      <c r="K26" s="612">
        <v>11741500</v>
      </c>
      <c r="L26" s="612">
        <v>4960800</v>
      </c>
      <c r="M26" s="612">
        <f>IVA!AU125</f>
        <v>3640225</v>
      </c>
      <c r="N26" s="612">
        <f>IVA!AU159</f>
        <v>1335615.33</v>
      </c>
      <c r="O26" s="611">
        <v>2234513.7000000002</v>
      </c>
      <c r="P26" s="611">
        <v>771500</v>
      </c>
      <c r="Q26" s="611">
        <v>1463000</v>
      </c>
      <c r="R26" s="611">
        <v>98628.956309999994</v>
      </c>
      <c r="S26" s="604">
        <f>'Cuenta Ahorro-Inversión-Financi'!T26+'Cuenta Ahorro-Inversión-Financi'!U26</f>
        <v>83895822.143780008</v>
      </c>
      <c r="T26" s="611">
        <v>83892477.241840005</v>
      </c>
      <c r="U26" s="611">
        <v>3344.9019400000002</v>
      </c>
      <c r="V26" s="611"/>
      <c r="W26" s="611">
        <f>'Cuenta Ahorro-Inversión-Financi'!X26+'Cuenta Ahorro-Inversión-Financi'!Y26</f>
        <v>8714727.5501700006</v>
      </c>
      <c r="X26" s="611">
        <v>1771002.85036</v>
      </c>
      <c r="Y26" s="611">
        <v>6943724.6998100001</v>
      </c>
      <c r="Z26" s="611">
        <f>'Cuenta Ahorro-Inversión-Financi'!AA26+'Cuenta Ahorro-Inversión-Financi'!AB26</f>
        <v>860.96038999999996</v>
      </c>
      <c r="AA26" s="611"/>
      <c r="AB26" s="611">
        <v>860.96038999999996</v>
      </c>
      <c r="AC26" s="604">
        <f>'Cuenta Ahorro-Inversión-Financi'!AD26+'Cuenta Ahorro-Inversión-Financi'!AE26</f>
        <v>75.022760000000005</v>
      </c>
      <c r="AD26" s="611">
        <v>75.022760000000005</v>
      </c>
      <c r="AE26" s="611"/>
      <c r="AF26" s="604">
        <f>'Cuenta Ahorro-Inversión-Financi'!AC26+'Cuenta Ahorro-Inversión-Financi'!F26</f>
        <v>126910673.65872002</v>
      </c>
      <c r="AG26" s="608">
        <v>24603896.966839999</v>
      </c>
      <c r="AH26" s="607">
        <f>'Cálculo masa impuestos copartic'!V22*1000</f>
        <v>24500782.058370002</v>
      </c>
      <c r="AI26" s="607"/>
      <c r="AJ26" s="607">
        <v>79500</v>
      </c>
      <c r="AK26" s="607"/>
      <c r="AL26" s="607"/>
      <c r="AM26" s="606">
        <f>'Cuenta Ahorro-Inversión-Financi'!AG26-('Cuenta Ahorro-Inversión-Financi'!AH26+'Cuenta Ahorro-Inversión-Financi'!AJ26+'Cuenta Ahorro-Inversión-Financi'!AK26+'Cuenta Ahorro-Inversión-Financi'!AL26)</f>
        <v>23614.908469997346</v>
      </c>
      <c r="AN26" s="606">
        <f>'Cuenta Ahorro-Inversión-Financi'!AH26-'Cuenta Ahorro-Inversión-Financi'!CG26+'Cuenta Ahorro-Inversión-Financi'!AJ26</f>
        <v>8023574.6897900011</v>
      </c>
      <c r="AO26" s="606">
        <f>'Cuenta Ahorro-Inversión-Financi'!AN26</f>
        <v>8023574.6897900011</v>
      </c>
      <c r="AP26" s="609" t="s">
        <v>893</v>
      </c>
      <c r="AQ26" s="609"/>
      <c r="AR26" s="609"/>
      <c r="AS26" s="594"/>
      <c r="AT26" s="622">
        <f>'Cuenta Ahorro-Inversión-Financi'!BR26/'Cuenta Ahorro-Inversión-Financi'!AU26</f>
        <v>3.611634874997615E-2</v>
      </c>
      <c r="AU26" s="594">
        <f>'Cuenta Ahorro-Inversión-Financi'!BE26-'Cuenta Ahorro-Inversión-Financi'!BK26</f>
        <v>87610791.812450007</v>
      </c>
      <c r="AV26" s="610">
        <v>2010</v>
      </c>
      <c r="AW26" s="604">
        <f>'Cuenta Ahorro-Inversión-Financi'!AX26+'Cuenta Ahorro-Inversión-Financi'!BB26+'Cuenta Ahorro-Inversión-Financi'!BE26+'Cuenta Ahorro-Inversión-Financi'!BW26</f>
        <v>117002353.53761999</v>
      </c>
      <c r="AX26" s="606">
        <f>'Cuenta Ahorro-Inversión-Financi'!AY26+'Cuenta Ahorro-Inversión-Financi'!AZ26</f>
        <v>3204177.5770100001</v>
      </c>
      <c r="AY26" s="606">
        <v>2053309.9160199999</v>
      </c>
      <c r="AZ26" s="606">
        <v>1150867.66099</v>
      </c>
      <c r="BA26" s="606"/>
      <c r="BB26" s="606">
        <v>7486.75504</v>
      </c>
      <c r="BC26" s="606"/>
      <c r="BD26" s="606"/>
      <c r="BE26" s="604">
        <v>88357565.530450001</v>
      </c>
      <c r="BF26" s="604"/>
      <c r="BG26" s="604"/>
      <c r="BH26" s="604"/>
      <c r="BI26" s="604"/>
      <c r="BJ26" s="604"/>
      <c r="BK26" s="606">
        <v>746773.71799999999</v>
      </c>
      <c r="BL26" s="606">
        <v>43.726349999999996</v>
      </c>
      <c r="BM26" s="606">
        <v>25433123.67512</v>
      </c>
      <c r="BN26" s="607">
        <v>22539373.994970001</v>
      </c>
      <c r="BO26" s="607">
        <v>2892828.7394099999</v>
      </c>
      <c r="BP26" s="607">
        <v>920.94074000000001</v>
      </c>
      <c r="BQ26" s="607">
        <v>22268941.76376</v>
      </c>
      <c r="BR26" s="607">
        <v>3164181.9113599998</v>
      </c>
      <c r="BS26" s="606"/>
      <c r="BT26" s="606"/>
      <c r="BU26" s="606"/>
      <c r="BV26" s="606"/>
      <c r="BW26" s="606">
        <f>'Cuenta Ahorro-Inversión-Financi'!BM26-'Cuenta Ahorro-Inversión-Financi'!BU26-'Cuenta Ahorro-Inversión-Financi'!BV26</f>
        <v>25433123.67512</v>
      </c>
      <c r="BX26" s="607">
        <v>6057010.6507700002</v>
      </c>
      <c r="BY26" s="604">
        <f>'Cuenta Ahorro-Inversión-Financi'!BZ26+'Cuenta Ahorro-Inversión-Financi'!CA26+'Cuenta Ahorro-Inversión-Financi'!CE26</f>
        <v>237204.35751999999</v>
      </c>
      <c r="BZ26" s="606">
        <v>237204.35751999999</v>
      </c>
      <c r="CA26" s="606"/>
      <c r="CB26" s="606"/>
      <c r="CC26" s="606"/>
      <c r="CD26" s="606"/>
      <c r="CE26" s="620"/>
      <c r="CF26" s="604">
        <f>'Cuenta Ahorro-Inversión-Financi'!BY26+'Cuenta Ahorro-Inversión-Financi'!AW26</f>
        <v>117239557.89513999</v>
      </c>
      <c r="CG26" s="624">
        <v>16556707.36858</v>
      </c>
      <c r="CH26" s="624"/>
      <c r="CI26" s="624">
        <f>4575635745.62/1000</f>
        <v>4575635.7456200002</v>
      </c>
      <c r="CJ26" s="624">
        <f>9937274669.41/1000</f>
        <v>9937274.6694099996</v>
      </c>
      <c r="CK26" s="624">
        <f>11981071622.96/1000-CJ26</f>
        <v>2043796.9535499997</v>
      </c>
      <c r="CL26" s="624">
        <v>2146300</v>
      </c>
      <c r="CM26" s="624"/>
      <c r="CN26" s="604">
        <f>'Cuenta Ahorro-Inversión-Financi'!F26-'Cuenta Ahorro-Inversión-Financi'!AW26</f>
        <v>9908245.0983400196</v>
      </c>
      <c r="CO26" s="606">
        <f>'Cuenta Ahorro-Inversión-Financi'!CN26+'Cuenta Ahorro-Inversión-Financi'!AC26-'Cuenta Ahorro-Inversión-Financi'!BY26</f>
        <v>9671115.7635800205</v>
      </c>
      <c r="CP26" s="606">
        <f>'Cuenta Ahorro-Inversión-Financi'!S26-'Cuenta Ahorro-Inversión-Financi'!BE26-'Cuenta Ahorro-Inversión-Financi'!BM26</f>
        <v>-29894867.061789993</v>
      </c>
      <c r="CQ26" s="606">
        <f>'Cuenta Ahorro-Inversión-Financi'!F26-'Cuenta Ahorro-Inversión-Financi'!BE26-'Cuenta Ahorro-Inversión-Financi'!BM26-'Cuenta Ahorro-Inversión-Financi'!W26</f>
        <v>4405181.8802200109</v>
      </c>
      <c r="CR26" s="606"/>
      <c r="CS26" s="613" t="s">
        <v>894</v>
      </c>
      <c r="CT26" s="613"/>
      <c r="CV26" s="579">
        <v>2011</v>
      </c>
      <c r="CW26" s="584">
        <f>'PIB corriente base 1993'!V113*1000</f>
        <v>1567580176.90291</v>
      </c>
      <c r="CX26" s="584">
        <f>'PIB corriente base 1993'!V114*1000</f>
        <v>1976227335.6486201</v>
      </c>
      <c r="CY26" s="584">
        <f>'PIB corriente base 1993'!V115*1000</f>
        <v>1865390901.2928801</v>
      </c>
      <c r="CZ26" s="584">
        <f>'PIB corriente base 1993'!V116*1000</f>
        <v>1958890125.10449</v>
      </c>
      <c r="DA26" s="585">
        <f>'PIB corriente base 1993'!V26*1000</f>
        <v>1842022134.7372198</v>
      </c>
      <c r="DB26" s="586">
        <f>'PIB corriente base 2004'!X68*1000</f>
        <v>1888827151.8457999</v>
      </c>
      <c r="DC26" s="584">
        <f>'PIB corriente base 2004'!X69*1000</f>
        <v>2237123835.4149103</v>
      </c>
      <c r="DD26" s="584">
        <f>'PIB corriente base 2004'!X70*1000</f>
        <v>2250487263.79217</v>
      </c>
      <c r="DE26" s="584">
        <f>'PIB corriente base 2004'!X71*1000</f>
        <v>2339658163.4702301</v>
      </c>
      <c r="DF26" s="585">
        <f>('Cuenta Ahorro-Inversión-Financi'!DB26+'Cuenta Ahorro-Inversión-Financi'!DC26+'Cuenta Ahorro-Inversión-Financi'!DD26+'Cuenta Ahorro-Inversión-Financi'!DE26)/4</f>
        <v>2179024103.6307774</v>
      </c>
      <c r="DS26" s="1">
        <v>38970.959999999999</v>
      </c>
      <c r="DY26" s="1">
        <f t="shared" si="12"/>
        <v>2010</v>
      </c>
      <c r="EA26" s="28">
        <f t="shared" si="9"/>
        <v>22539373.994970001</v>
      </c>
      <c r="EB26" s="28">
        <f t="shared" si="10"/>
        <v>3164181.9113599998</v>
      </c>
      <c r="EC26" s="455">
        <f>EA26/1000/'PIB corriente base 2004'!X14</f>
        <v>1.356387444068434E-2</v>
      </c>
      <c r="ED26" s="455">
        <f>EB26/1000/'PIB corriente base 2004'!X14</f>
        <v>1.904159634724085E-3</v>
      </c>
      <c r="EE26" s="455">
        <f t="shared" si="11"/>
        <v>1.5468034075408425E-2</v>
      </c>
    </row>
    <row r="27" spans="1:135" ht="15.75" customHeight="1">
      <c r="A27" s="455">
        <f>'Cuenta Ahorro-Inversión-Financi'!W27/'Cuenta Ahorro-Inversión-Financi'!F27</f>
        <v>6.5159932728839687E-2</v>
      </c>
      <c r="B27" s="455">
        <f>'Cuenta Ahorro-Inversión-Financi'!G27/'Cuenta Ahorro-Inversión-Financi'!F27</f>
        <v>0.27001505968784584</v>
      </c>
      <c r="C27" s="455">
        <f>'Cuenta Ahorro-Inversión-Financi'!S27/'Cuenta Ahorro-Inversión-Financi'!F27</f>
        <v>0.66401326808178829</v>
      </c>
      <c r="E27" s="588">
        <v>2011</v>
      </c>
      <c r="F27" s="589">
        <f>'Cuenta Ahorro-Inversión-Financi'!G27+'Cuenta Ahorro-Inversión-Financi'!R27+'Cuenta Ahorro-Inversión-Financi'!S27+'Cuenta Ahorro-Inversión-Financi'!W27+'Cuenta Ahorro-Inversión-Financi'!Z27</f>
        <v>169409001.69506001</v>
      </c>
      <c r="G27" s="590">
        <f>'Cuenta Ahorro-Inversión-Financi'!H27+'Cuenta Ahorro-Inversión-Financi'!J27+'Cuenta Ahorro-Inversión-Financi'!O27+'Cuenta Ahorro-Inversión-Financi'!R27</f>
        <v>45742981.704350002</v>
      </c>
      <c r="H27" s="591">
        <v>21562243.170990001</v>
      </c>
      <c r="I27" s="591"/>
      <c r="J27" s="591">
        <v>20944519.454769999</v>
      </c>
      <c r="K27" s="592">
        <v>15229500</v>
      </c>
      <c r="L27" s="592">
        <v>5715000</v>
      </c>
      <c r="M27" s="592">
        <f>IVA!AU126</f>
        <v>4027488</v>
      </c>
      <c r="N27" s="592">
        <f>IVA!AU160</f>
        <v>1693100.85</v>
      </c>
      <c r="O27" s="591">
        <v>3098703.1</v>
      </c>
      <c r="P27" s="591">
        <v>1013100</v>
      </c>
      <c r="Q27" s="591">
        <v>2085600</v>
      </c>
      <c r="R27" s="591">
        <v>137515.97859000001</v>
      </c>
      <c r="S27" s="589">
        <f>'Cuenta Ahorro-Inversión-Financi'!T27+'Cuenta Ahorro-Inversión-Financi'!U27</f>
        <v>112489824.85801001</v>
      </c>
      <c r="T27" s="591">
        <v>112486968.44241001</v>
      </c>
      <c r="U27" s="591">
        <v>2856.4155999999998</v>
      </c>
      <c r="V27" s="591"/>
      <c r="W27" s="591">
        <f>'Cuenta Ahorro-Inversión-Financi'!X27+'Cuenta Ahorro-Inversión-Financi'!Y27</f>
        <v>11038679.15411</v>
      </c>
      <c r="X27" s="591">
        <v>2490628.5819899999</v>
      </c>
      <c r="Y27" s="591">
        <v>8548050.5721199997</v>
      </c>
      <c r="Z27" s="591"/>
      <c r="AA27" s="591"/>
      <c r="AB27" s="591"/>
      <c r="AC27" s="589">
        <f>'Cuenta Ahorro-Inversión-Financi'!AD27+'Cuenta Ahorro-Inversión-Financi'!AE27</f>
        <v>948.60499000000004</v>
      </c>
      <c r="AD27" s="591">
        <v>948.60499000000004</v>
      </c>
      <c r="AE27" s="591"/>
      <c r="AF27" s="589">
        <f>'Cuenta Ahorro-Inversión-Financi'!AC27+'Cuenta Ahorro-Inversión-Financi'!F27</f>
        <v>169409950.30005002</v>
      </c>
      <c r="AG27" s="589">
        <v>35217634.122079998</v>
      </c>
      <c r="AH27" s="592">
        <f>'Cálculo masa impuestos copartic'!V23*1000</f>
        <v>32436095.457980003</v>
      </c>
      <c r="AI27" s="592"/>
      <c r="AJ27" s="592">
        <v>3599400</v>
      </c>
      <c r="AK27" s="592"/>
      <c r="AL27" s="592"/>
      <c r="AM27" s="591">
        <f>'Cuenta Ahorro-Inversión-Financi'!AG27-('Cuenta Ahorro-Inversión-Financi'!AH27+'Cuenta Ahorro-Inversión-Financi'!AJ27+'Cuenta Ahorro-Inversión-Financi'!AK27+'Cuenta Ahorro-Inversión-Financi'!AL27)</f>
        <v>-817861.33590000868</v>
      </c>
      <c r="AN27" s="591">
        <f>'Cuenta Ahorro-Inversión-Financi'!AH27-'Cuenta Ahorro-Inversión-Financi'!CG27+'Cuenta Ahorro-Inversión-Financi'!AJ27</f>
        <v>13102459.964820005</v>
      </c>
      <c r="AO27" s="591">
        <f>'Cuenta Ahorro-Inversión-Financi'!AN27</f>
        <v>13102459.964820005</v>
      </c>
      <c r="AP27" s="614" t="s">
        <v>895</v>
      </c>
      <c r="AQ27" s="614"/>
      <c r="AR27" s="614"/>
      <c r="AS27" s="594"/>
      <c r="AT27" s="622">
        <f>'Cuenta Ahorro-Inversión-Financi'!BR27/'Cuenta Ahorro-Inversión-Financi'!AU27</f>
        <v>3.6146632903458688E-2</v>
      </c>
      <c r="AU27" s="594">
        <f>'Cuenta Ahorro-Inversión-Financi'!BE27-'Cuenta Ahorro-Inversión-Financi'!BK27</f>
        <v>120983243.7165</v>
      </c>
      <c r="AV27" s="610">
        <v>2011</v>
      </c>
      <c r="AW27" s="596">
        <f>'Cuenta Ahorro-Inversión-Financi'!AX27+'Cuenta Ahorro-Inversión-Financi'!BB27+'Cuenta Ahorro-Inversión-Financi'!BE27+'Cuenta Ahorro-Inversión-Financi'!BW27</f>
        <v>155084199.71855</v>
      </c>
      <c r="AX27" s="599">
        <f>'Cuenta Ahorro-Inversión-Financi'!AY27+'Cuenta Ahorro-Inversión-Financi'!AZ27</f>
        <v>4769282.4659599997</v>
      </c>
      <c r="AY27" s="597">
        <v>2904073.5827500001</v>
      </c>
      <c r="AZ27" s="597">
        <v>1865208.8832100001</v>
      </c>
      <c r="BA27" s="597"/>
      <c r="BB27" s="597">
        <v>7431.0950400000002</v>
      </c>
      <c r="BC27" s="597"/>
      <c r="BD27" s="597"/>
      <c r="BE27" s="596">
        <v>122008681.1515</v>
      </c>
      <c r="BF27" s="596"/>
      <c r="BG27" s="596"/>
      <c r="BH27" s="597"/>
      <c r="BI27" s="597"/>
      <c r="BJ27" s="597"/>
      <c r="BK27" s="597">
        <v>1025437.4350000001</v>
      </c>
      <c r="BL27" s="597">
        <v>16.957529999999998</v>
      </c>
      <c r="BM27" s="597">
        <v>28298805.006050002</v>
      </c>
      <c r="BN27" s="598">
        <v>26849972.031830002</v>
      </c>
      <c r="BO27" s="598">
        <v>1446422.6632699999</v>
      </c>
      <c r="BP27" s="598">
        <v>2410.31095</v>
      </c>
      <c r="BQ27" s="598">
        <v>23925668.107960001</v>
      </c>
      <c r="BR27" s="598">
        <v>4373136.8980900003</v>
      </c>
      <c r="BS27" s="597"/>
      <c r="BT27" s="597"/>
      <c r="BU27" s="597"/>
      <c r="BV27" s="597"/>
      <c r="BW27" s="597">
        <f>'Cuenta Ahorro-Inversión-Financi'!BM27-'Cuenta Ahorro-Inversión-Financi'!BU27-'Cuenta Ahorro-Inversión-Financi'!BV27</f>
        <v>28298805.006050002</v>
      </c>
      <c r="BX27" s="598">
        <v>5819559.5613599997</v>
      </c>
      <c r="BY27" s="596">
        <f>'Cuenta Ahorro-Inversión-Financi'!BZ27+'Cuenta Ahorro-Inversión-Financi'!CA27+'Cuenta Ahorro-Inversión-Financi'!CE27</f>
        <v>3431554.8660200001</v>
      </c>
      <c r="BZ27" s="597">
        <v>3431554.8660200001</v>
      </c>
      <c r="CA27" s="597"/>
      <c r="CB27" s="597"/>
      <c r="CC27" s="597"/>
      <c r="CD27" s="597"/>
      <c r="CE27" s="597"/>
      <c r="CF27" s="596">
        <f>'Cuenta Ahorro-Inversión-Financi'!BY27+'Cuenta Ahorro-Inversión-Financi'!AW27</f>
        <v>158515754.58456999</v>
      </c>
      <c r="CG27" s="596">
        <v>22933035.493159998</v>
      </c>
      <c r="CH27" s="596"/>
      <c r="CI27" s="596">
        <f>5370180455.24/1000</f>
        <v>5370180.45524</v>
      </c>
      <c r="CJ27" s="596">
        <f>14911309725.59/1000</f>
        <v>14911309.72559</v>
      </c>
      <c r="CK27" s="596">
        <f>17562855037.92/1000-CJ27</f>
        <v>2651545.3123299982</v>
      </c>
      <c r="CL27" s="596">
        <v>2247300</v>
      </c>
      <c r="CM27" s="596"/>
      <c r="CN27" s="596">
        <f>'Cuenta Ahorro-Inversión-Financi'!F27-'Cuenta Ahorro-Inversión-Financi'!AW27</f>
        <v>14324801.976510018</v>
      </c>
      <c r="CO27" s="597">
        <f>'Cuenta Ahorro-Inversión-Financi'!CN27+'Cuenta Ahorro-Inversión-Financi'!AC27-'Cuenta Ahorro-Inversión-Financi'!BY27</f>
        <v>10894195.715480018</v>
      </c>
      <c r="CP27" s="597">
        <f>'Cuenta Ahorro-Inversión-Financi'!S27-'Cuenta Ahorro-Inversión-Financi'!BE27-'Cuenta Ahorro-Inversión-Financi'!BM27</f>
        <v>-37817661.299539998</v>
      </c>
      <c r="CQ27" s="597">
        <f>'Cuenta Ahorro-Inversión-Financi'!F27-'Cuenta Ahorro-Inversión-Financi'!BE27-'Cuenta Ahorro-Inversión-Financi'!BM27-'Cuenta Ahorro-Inversión-Financi'!W27</f>
        <v>8062836.3834000118</v>
      </c>
      <c r="CR27" s="597"/>
      <c r="CS27" s="616" t="s">
        <v>896</v>
      </c>
      <c r="CT27" s="616"/>
      <c r="CV27" s="579">
        <v>2012</v>
      </c>
      <c r="CW27" s="96">
        <f>'PIB corriente base 1993'!V117*1000</f>
        <v>1874935021.5204101</v>
      </c>
      <c r="CX27" s="96">
        <f>'PIB corriente base 1993'!V118*1000</f>
        <v>2273161692.8724599</v>
      </c>
      <c r="CY27" s="96">
        <f>'PIB corriente base 1993'!V119*1000</f>
        <v>2182909396.9131498</v>
      </c>
      <c r="CZ27" s="96">
        <f>'PIB corriente base 1993'!V120*1000</f>
        <v>2325977392.3481202</v>
      </c>
      <c r="DA27" s="601">
        <f>'PIB corriente base 1993'!V27*1000</f>
        <v>2164245875.9135303</v>
      </c>
      <c r="DB27" s="602">
        <f>'PIB corriente base 2004'!X72*1000</f>
        <v>2345559603.3526301</v>
      </c>
      <c r="DC27" s="96">
        <f>'PIB corriente base 2004'!X73*1000</f>
        <v>2651098046.3880301</v>
      </c>
      <c r="DD27" s="96">
        <f>'PIB corriente base 2004'!X74*1000</f>
        <v>2704827549.8552604</v>
      </c>
      <c r="DE27" s="96">
        <f>'PIB corriente base 2004'!X75*1000</f>
        <v>2850170193.2662802</v>
      </c>
      <c r="DF27" s="601">
        <f>('Cuenta Ahorro-Inversión-Financi'!DB27+'Cuenta Ahorro-Inversión-Financi'!DC27+'Cuenta Ahorro-Inversión-Financi'!DD27+'Cuenta Ahorro-Inversión-Financi'!DE27)/4</f>
        <v>2637913848.2155504</v>
      </c>
      <c r="DS27" s="1">
        <f>DS25+DS26</f>
        <v>142501.75</v>
      </c>
      <c r="DY27" s="1">
        <f t="shared" si="12"/>
        <v>2011</v>
      </c>
      <c r="EA27" s="28">
        <f t="shared" si="9"/>
        <v>26849972.031830002</v>
      </c>
      <c r="EB27" s="28">
        <f t="shared" si="10"/>
        <v>4373136.8980900003</v>
      </c>
      <c r="EC27" s="455">
        <f>EA27/1000/'PIB corriente base 2004'!X15</f>
        <v>1.232201699241945E-2</v>
      </c>
      <c r="ED27" s="455">
        <f>EB27/1000/'PIB corriente base 2004'!X15</f>
        <v>2.006924517633056E-3</v>
      </c>
      <c r="EE27" s="455">
        <f t="shared" si="11"/>
        <v>1.4328941510052507E-2</v>
      </c>
    </row>
    <row r="28" spans="1:135" ht="15.75" customHeight="1">
      <c r="A28" s="455">
        <f>'Cuenta Ahorro-Inversión-Financi'!W28/'Cuenta Ahorro-Inversión-Financi'!F28</f>
        <v>7.756206640733411E-2</v>
      </c>
      <c r="B28" s="455">
        <f>'Cuenta Ahorro-Inversión-Financi'!G28/'Cuenta Ahorro-Inversión-Financi'!F28</f>
        <v>0.26398342100138233</v>
      </c>
      <c r="C28" s="455">
        <f>'Cuenta Ahorro-Inversión-Financi'!S28/'Cuenta Ahorro-Inversión-Financi'!F28</f>
        <v>0.6577993765508322</v>
      </c>
      <c r="D28" s="455">
        <f>'Cuenta Ahorro-Inversión-Financi'!D30/'Cuenta Ahorro-Inversión-Financi'!F30</f>
        <v>0.18461154817558834</v>
      </c>
      <c r="E28" s="588">
        <v>2012</v>
      </c>
      <c r="F28" s="604">
        <f>'Cuenta Ahorro-Inversión-Financi'!G28+'Cuenta Ahorro-Inversión-Financi'!R28+'Cuenta Ahorro-Inversión-Financi'!S28+'Cuenta Ahorro-Inversión-Financi'!W28+'Cuenta Ahorro-Inversión-Financi'!Z28</f>
        <v>223682627.12131</v>
      </c>
      <c r="G28" s="605">
        <f>'Cuenta Ahorro-Inversión-Financi'!H28+'Cuenta Ahorro-Inversión-Financi'!I28+'Cuenta Ahorro-Inversión-Financi'!J28+'Cuenta Ahorro-Inversión-Financi'!O28</f>
        <v>59048505.126060002</v>
      </c>
      <c r="H28" s="611">
        <v>27594331.3664</v>
      </c>
      <c r="I28" s="611"/>
      <c r="J28" s="611">
        <v>27552352.559659999</v>
      </c>
      <c r="K28" s="612">
        <v>19313800</v>
      </c>
      <c r="L28" s="612">
        <v>8238600</v>
      </c>
      <c r="M28" s="612">
        <f>IVA!AU127</f>
        <v>5790030.3648800002</v>
      </c>
      <c r="N28" s="612">
        <f>IVA!AU161</f>
        <v>2383408.8533178</v>
      </c>
      <c r="O28" s="611">
        <v>3901821.2</v>
      </c>
      <c r="P28" s="611">
        <v>1229100</v>
      </c>
      <c r="Q28" s="611">
        <v>2672800</v>
      </c>
      <c r="R28" s="611">
        <v>146542.55064999999</v>
      </c>
      <c r="S28" s="604">
        <f>'Cuenta Ahorro-Inversión-Financi'!T28+'Cuenta Ahorro-Inversión-Financi'!U28</f>
        <v>147138292.66564998</v>
      </c>
      <c r="T28" s="611">
        <v>147135247.57890999</v>
      </c>
      <c r="U28" s="611">
        <v>3045.0867400000002</v>
      </c>
      <c r="V28" s="611"/>
      <c r="W28" s="611">
        <f>'Cuenta Ahorro-Inversión-Financi'!X28+'Cuenta Ahorro-Inversión-Financi'!Y28</f>
        <v>17349286.778949998</v>
      </c>
      <c r="X28" s="611">
        <v>3941953.6227299999</v>
      </c>
      <c r="Y28" s="611">
        <v>13407333.15622</v>
      </c>
      <c r="Z28" s="611"/>
      <c r="AA28" s="611"/>
      <c r="AB28" s="611"/>
      <c r="AC28" s="604">
        <f>'Cuenta Ahorro-Inversión-Financi'!AD28+'Cuenta Ahorro-Inversión-Financi'!AE28</f>
        <v>1242.817</v>
      </c>
      <c r="AD28" s="611">
        <v>1242.817</v>
      </c>
      <c r="AE28" s="611"/>
      <c r="AF28" s="604">
        <f>'Cuenta Ahorro-Inversión-Financi'!AC28+'Cuenta Ahorro-Inversión-Financi'!F28</f>
        <v>223683869.93831</v>
      </c>
      <c r="AG28" s="608">
        <v>42293145.465599999</v>
      </c>
      <c r="AH28" s="607">
        <f>'Cálculo masa impuestos copartic'!V24*1000</f>
        <v>41041468.205290005</v>
      </c>
      <c r="AI28" s="607"/>
      <c r="AJ28" s="607">
        <v>1257700</v>
      </c>
      <c r="AK28" s="607"/>
      <c r="AL28" s="607"/>
      <c r="AM28" s="606">
        <f>'Cuenta Ahorro-Inversión-Financi'!AG28-('Cuenta Ahorro-Inversión-Financi'!AH28+'Cuenta Ahorro-Inversión-Financi'!AJ28+'Cuenta Ahorro-Inversión-Financi'!AK28+'Cuenta Ahorro-Inversión-Financi'!AL28)</f>
        <v>-6022.7396900057793</v>
      </c>
      <c r="AN28" s="606">
        <f>'Cuenta Ahorro-Inversión-Financi'!AH28-'Cuenta Ahorro-Inversión-Financi'!CG28+'Cuenta Ahorro-Inversión-Financi'!AJ28</f>
        <v>9009095.5810600035</v>
      </c>
      <c r="AO28" s="606">
        <f>'Cuenta Ahorro-Inversión-Financi'!AN28</f>
        <v>9009095.5810600035</v>
      </c>
      <c r="AP28" s="609" t="s">
        <v>895</v>
      </c>
      <c r="AQ28" s="609"/>
      <c r="AR28" s="609"/>
      <c r="AS28" s="594"/>
      <c r="AT28" s="622">
        <f>'Cuenta Ahorro-Inversión-Financi'!BR28/'Cuenta Ahorro-Inversión-Financi'!AU28</f>
        <v>3.6133292096387076E-2</v>
      </c>
      <c r="AU28" s="594">
        <f>'Cuenta Ahorro-Inversión-Financi'!BE28-'Cuenta Ahorro-Inversión-Financi'!BK28</f>
        <v>167310862.62728</v>
      </c>
      <c r="AV28" s="610">
        <v>2012</v>
      </c>
      <c r="AW28" s="604">
        <f>'Cuenta Ahorro-Inversión-Financi'!AX28+'Cuenta Ahorro-Inversión-Financi'!BB28+'Cuenta Ahorro-Inversión-Financi'!BE28+'Cuenta Ahorro-Inversión-Financi'!BW28</f>
        <v>207264644.51784</v>
      </c>
      <c r="AX28" s="606">
        <f>'Cuenta Ahorro-Inversión-Financi'!AY28+'Cuenta Ahorro-Inversión-Financi'!AZ28</f>
        <v>6238307.1857999992</v>
      </c>
      <c r="AY28" s="606">
        <v>4036963.6268099998</v>
      </c>
      <c r="AZ28" s="606">
        <v>2201343.5589899998</v>
      </c>
      <c r="BA28" s="606"/>
      <c r="BB28" s="606">
        <v>5139.4971500000001</v>
      </c>
      <c r="BC28" s="606"/>
      <c r="BD28" s="606"/>
      <c r="BE28" s="604">
        <v>168714869.37028</v>
      </c>
      <c r="BF28" s="604"/>
      <c r="BG28" s="604"/>
      <c r="BH28" s="604"/>
      <c r="BI28" s="604"/>
      <c r="BJ28" s="604"/>
      <c r="BK28" s="606">
        <v>1404006.743</v>
      </c>
      <c r="BL28" s="606">
        <v>46.415460000000003</v>
      </c>
      <c r="BM28" s="606">
        <v>32306328.464609999</v>
      </c>
      <c r="BN28" s="607">
        <v>31350207.375179999</v>
      </c>
      <c r="BO28" s="607">
        <v>953762.92163999996</v>
      </c>
      <c r="BP28" s="607">
        <v>2358.16779</v>
      </c>
      <c r="BQ28" s="607">
        <v>26260836.194400001</v>
      </c>
      <c r="BR28" s="607">
        <v>6045492.2702099998</v>
      </c>
      <c r="BS28" s="606"/>
      <c r="BT28" s="606"/>
      <c r="BU28" s="606"/>
      <c r="BV28" s="606"/>
      <c r="BW28" s="606">
        <f>'Cuenta Ahorro-Inversión-Financi'!BM28-'Cuenta Ahorro-Inversión-Financi'!BU28-'Cuenta Ahorro-Inversión-Financi'!BV28</f>
        <v>32306328.464609999</v>
      </c>
      <c r="BX28" s="619">
        <v>6999255.1918500001</v>
      </c>
      <c r="BY28" s="604">
        <f>'Cuenta Ahorro-Inversión-Financi'!BZ28+'Cuenta Ahorro-Inversión-Financi'!CA28+'Cuenta Ahorro-Inversión-Financi'!CE28</f>
        <v>787215.01216000004</v>
      </c>
      <c r="BZ28" s="606">
        <v>787215.01216000004</v>
      </c>
      <c r="CA28" s="606"/>
      <c r="CB28" s="606"/>
      <c r="CC28" s="606"/>
      <c r="CD28" s="606"/>
      <c r="CE28" s="620"/>
      <c r="CF28" s="604">
        <f>'Cuenta Ahorro-Inversión-Financi'!BY28+'Cuenta Ahorro-Inversión-Financi'!AW28</f>
        <v>208051859.53</v>
      </c>
      <c r="CG28" s="604">
        <v>33290072.624230001</v>
      </c>
      <c r="CH28" s="604"/>
      <c r="CI28" s="604">
        <f>6683313773.34/1000</f>
        <v>6683313.7733399998</v>
      </c>
      <c r="CJ28" s="604">
        <f>22968771929.72/1000</f>
        <v>22968771.929719999</v>
      </c>
      <c r="CK28" s="604">
        <f>26606758850.89/1000-CJ28</f>
        <v>3637986.92117</v>
      </c>
      <c r="CL28" s="604">
        <v>3258800</v>
      </c>
      <c r="CM28" s="604"/>
      <c r="CN28" s="604">
        <f>'Cuenta Ahorro-Inversión-Financi'!F28-'Cuenta Ahorro-Inversión-Financi'!AW28</f>
        <v>16417982.603469998</v>
      </c>
      <c r="CO28" s="606">
        <f>'Cuenta Ahorro-Inversión-Financi'!CN28+'Cuenta Ahorro-Inversión-Financi'!AC28-'Cuenta Ahorro-Inversión-Financi'!BY28</f>
        <v>15632010.408309998</v>
      </c>
      <c r="CP28" s="606">
        <f>'Cuenta Ahorro-Inversión-Financi'!S28-'Cuenta Ahorro-Inversión-Financi'!BE28-'Cuenta Ahorro-Inversión-Financi'!BM28</f>
        <v>-53882905.169240013</v>
      </c>
      <c r="CQ28" s="606">
        <f>'Cuenta Ahorro-Inversión-Financi'!F28-'Cuenta Ahorro-Inversión-Financi'!BE28-'Cuenta Ahorro-Inversión-Financi'!BM28-'Cuenta Ahorro-Inversión-Financi'!W28</f>
        <v>5312142.5074700005</v>
      </c>
      <c r="CR28" s="606"/>
      <c r="CS28" s="613" t="s">
        <v>897</v>
      </c>
      <c r="CT28" s="613"/>
      <c r="CV28" s="579">
        <v>2013</v>
      </c>
      <c r="CW28" s="584">
        <f>'PIB corriente base 1993'!V121*1000</f>
        <v>2279489347.68641</v>
      </c>
      <c r="CX28" s="584">
        <f>'PIB corriente base 1993'!V122*1000</f>
        <v>2907278370.4026403</v>
      </c>
      <c r="CY28" s="584">
        <f>'PIB corriente base 1993'!V123*1000</f>
        <v>2711457487.6502099</v>
      </c>
      <c r="CZ28" s="584"/>
      <c r="DA28" s="587"/>
      <c r="DB28" s="586">
        <f>'PIB corriente base 2004'!X76*1000</f>
        <v>2888980859.0711098</v>
      </c>
      <c r="DC28" s="584">
        <f>'PIB corriente base 2004'!X77*1000</f>
        <v>3387810912.0546799</v>
      </c>
      <c r="DD28" s="584">
        <f>'PIB corriente base 2004'!X78*1000</f>
        <v>3436546546.3782001</v>
      </c>
      <c r="DE28" s="584">
        <f>'PIB corriente base 2004'!X79*1000</f>
        <v>3679895635.40483</v>
      </c>
      <c r="DF28" s="585">
        <f>('Cuenta Ahorro-Inversión-Financi'!DB28+'Cuenta Ahorro-Inversión-Financi'!DC28+'Cuenta Ahorro-Inversión-Financi'!DD28+'Cuenta Ahorro-Inversión-Financi'!DE28)/4</f>
        <v>3348308488.2272053</v>
      </c>
      <c r="DY28" s="1">
        <f t="shared" si="12"/>
        <v>2012</v>
      </c>
      <c r="EA28" s="28">
        <f t="shared" si="9"/>
        <v>31350207.375179999</v>
      </c>
      <c r="EB28" s="28">
        <f t="shared" si="10"/>
        <v>6045492.2702099998</v>
      </c>
      <c r="EC28" s="455">
        <f>EA28/1000/'PIB corriente base 2004'!X16</f>
        <v>1.1884469766284154E-2</v>
      </c>
      <c r="ED28" s="455">
        <f>EB28/1000/'PIB corriente base 2004'!X16</f>
        <v>2.2917701706974044E-3</v>
      </c>
      <c r="EE28" s="455">
        <f t="shared" si="11"/>
        <v>1.4176239936981559E-2</v>
      </c>
    </row>
    <row r="29" spans="1:135" ht="15.75" customHeight="1">
      <c r="A29" s="455">
        <f>'Cuenta Ahorro-Inversión-Financi'!W29/'Cuenta Ahorro-Inversión-Financi'!F29</f>
        <v>7.866927564433665E-2</v>
      </c>
      <c r="B29" s="455">
        <f>'Cuenta Ahorro-Inversión-Financi'!G29/'Cuenta Ahorro-Inversión-Financi'!F29</f>
        <v>0.25656581837506992</v>
      </c>
      <c r="C29" s="455">
        <f>'Cuenta Ahorro-Inversión-Financi'!S29/'Cuenta Ahorro-Inversión-Financi'!F29</f>
        <v>0.66415501901383067</v>
      </c>
      <c r="D29" s="625">
        <f>'Cuenta Ahorro-Inversión-Financi'!D30/'PIB corriente base 2004'!X18/1000</f>
        <v>1.5723660422843344E-2</v>
      </c>
      <c r="E29" s="588" t="s">
        <v>898</v>
      </c>
      <c r="F29" s="589">
        <f>'Cuenta Ahorro-Inversión-Financi'!G29+'Cuenta Ahorro-Inversión-Financi'!R29+'Cuenta Ahorro-Inversión-Financi'!S29+'Cuenta Ahorro-Inversión-Financi'!W29+'Cuenta Ahorro-Inversión-Financi'!Z29</f>
        <v>290750376.14137</v>
      </c>
      <c r="G29" s="590">
        <f>'Cuenta Ahorro-Inversión-Financi'!H29+'Cuenta Ahorro-Inversión-Financi'!I29+'Cuenta Ahorro-Inversión-Financi'!J29+'Cuenta Ahorro-Inversión-Financi'!O29</f>
        <v>74596608.197569996</v>
      </c>
      <c r="H29" s="591">
        <v>36576358.350000001</v>
      </c>
      <c r="I29" s="591"/>
      <c r="J29" s="591">
        <v>33588815.157420002</v>
      </c>
      <c r="K29" s="592">
        <v>24906800</v>
      </c>
      <c r="L29" s="592">
        <v>8682000</v>
      </c>
      <c r="M29" s="626">
        <v>5520810</v>
      </c>
      <c r="N29" s="592">
        <v>3143729.1490000002</v>
      </c>
      <c r="O29" s="591">
        <v>4431434.6901500002</v>
      </c>
      <c r="P29" s="591">
        <v>1332400</v>
      </c>
      <c r="Q29" s="591">
        <v>3099000</v>
      </c>
      <c r="R29" s="591">
        <v>177324.86499</v>
      </c>
      <c r="S29" s="589">
        <f>'Cuenta Ahorro-Inversión-Financi'!T29+'Cuenta Ahorro-Inversión-Financi'!U29</f>
        <v>193103321.59445</v>
      </c>
      <c r="T29" s="591">
        <v>193099315.67488</v>
      </c>
      <c r="U29" s="591">
        <v>4005.91957</v>
      </c>
      <c r="V29" s="591"/>
      <c r="W29" s="591">
        <f>'Cuenta Ahorro-Inversión-Financi'!X29+'Cuenta Ahorro-Inversión-Financi'!Y29</f>
        <v>22873121.484359998</v>
      </c>
      <c r="X29" s="591">
        <v>2956717.9566899999</v>
      </c>
      <c r="Y29" s="591">
        <v>19916403.52767</v>
      </c>
      <c r="Z29" s="591"/>
      <c r="AA29" s="591"/>
      <c r="AB29" s="591"/>
      <c r="AC29" s="589">
        <f>'Cuenta Ahorro-Inversión-Financi'!AD29+'Cuenta Ahorro-Inversión-Financi'!AE29</f>
        <v>133.18861999999999</v>
      </c>
      <c r="AD29" s="591">
        <v>133.18861999999999</v>
      </c>
      <c r="AE29" s="591"/>
      <c r="AF29" s="589">
        <f>'Cuenta Ahorro-Inversión-Financi'!AC29+'Cuenta Ahorro-Inversión-Financi'!F29</f>
        <v>290750509.32998997</v>
      </c>
      <c r="AG29" s="589">
        <v>57546857.63431</v>
      </c>
      <c r="AH29" s="592">
        <f>'Cálculo masa impuestos copartic'!V25*1000</f>
        <v>53287660.804920003</v>
      </c>
      <c r="AI29" s="592"/>
      <c r="AJ29" s="592">
        <v>4091400</v>
      </c>
      <c r="AK29" s="592"/>
      <c r="AL29" s="592"/>
      <c r="AM29" s="591">
        <f>'Cuenta Ahorro-Inversión-Financi'!AG29-('Cuenta Ahorro-Inversión-Financi'!AH29+'Cuenta Ahorro-Inversión-Financi'!AJ29+'Cuenta Ahorro-Inversión-Financi'!AK29+'Cuenta Ahorro-Inversión-Financi'!AL29)</f>
        <v>167796.82938999683</v>
      </c>
      <c r="AN29" s="591">
        <f>'Cuenta Ahorro-Inversión-Financi'!AH29-'Cuenta Ahorro-Inversión-Financi'!CG29+'Cuenta Ahorro-Inversión-Financi'!AJ29</f>
        <v>12400660.456750005</v>
      </c>
      <c r="AO29" s="591">
        <f>'Cuenta Ahorro-Inversión-Financi'!AN29</f>
        <v>12400660.456750005</v>
      </c>
      <c r="AP29" s="614" t="s">
        <v>893</v>
      </c>
      <c r="AQ29" s="614"/>
      <c r="AR29" s="614"/>
      <c r="AS29" s="594"/>
      <c r="AT29" s="622">
        <f>'Cuenta Ahorro-Inversión-Financi'!BR29/'Cuenta Ahorro-Inversión-Financi'!AU29</f>
        <v>3.6123092534128522E-2</v>
      </c>
      <c r="AU29" s="594">
        <f>'Cuenta Ahorro-Inversión-Financi'!BE29-'Cuenta Ahorro-Inversión-Financi'!BK29</f>
        <v>221127013.62164</v>
      </c>
      <c r="AV29" s="610">
        <v>2013</v>
      </c>
      <c r="AW29" s="596">
        <f>'Cuenta Ahorro-Inversión-Financi'!AX29+'Cuenta Ahorro-Inversión-Financi'!BB29+'Cuenta Ahorro-Inversión-Financi'!BE29+'Cuenta Ahorro-Inversión-Financi'!BW29</f>
        <v>273893831.25088</v>
      </c>
      <c r="AX29" s="599">
        <f>'Cuenta Ahorro-Inversión-Financi'!AY29+'Cuenta Ahorro-Inversión-Financi'!AZ29</f>
        <v>7042799.3121099994</v>
      </c>
      <c r="AY29" s="597">
        <v>4924354.2681700001</v>
      </c>
      <c r="AZ29" s="597">
        <v>2118445.0439399998</v>
      </c>
      <c r="BA29" s="597"/>
      <c r="BB29" s="597">
        <v>15667.92188</v>
      </c>
      <c r="BC29" s="597"/>
      <c r="BD29" s="597"/>
      <c r="BE29" s="596">
        <v>222971544.92063999</v>
      </c>
      <c r="BF29" s="596"/>
      <c r="BG29" s="596"/>
      <c r="BH29" s="597"/>
      <c r="BI29" s="597"/>
      <c r="BJ29" s="597"/>
      <c r="BK29" s="597">
        <v>1844531.2990000001</v>
      </c>
      <c r="BL29" s="597">
        <v>49.191020000000002</v>
      </c>
      <c r="BM29" s="597">
        <v>43863819.096249998</v>
      </c>
      <c r="BN29" s="598">
        <v>42607031.082290001</v>
      </c>
      <c r="BO29" s="598">
        <v>1253574.1296000001</v>
      </c>
      <c r="BP29" s="598">
        <v>3213.88436</v>
      </c>
      <c r="BQ29" s="598">
        <v>35876027.521399997</v>
      </c>
      <c r="BR29" s="598">
        <v>7987791.5748500004</v>
      </c>
      <c r="BS29" s="597"/>
      <c r="BT29" s="597"/>
      <c r="BU29" s="597"/>
      <c r="BV29" s="597"/>
      <c r="BW29" s="597">
        <f>'Cuenta Ahorro-Inversión-Financi'!BM29-'Cuenta Ahorro-Inversión-Financi'!BU29-'Cuenta Ahorro-Inversión-Financi'!BV29</f>
        <v>43863819.096249998</v>
      </c>
      <c r="BX29" s="598">
        <v>9241365.7044500001</v>
      </c>
      <c r="BY29" s="596">
        <f>'Cuenta Ahorro-Inversión-Financi'!BZ29+'Cuenta Ahorro-Inversión-Financi'!CA29+'Cuenta Ahorro-Inversión-Financi'!CE29</f>
        <v>3979963.77415</v>
      </c>
      <c r="BZ29" s="597">
        <v>3979963.77415</v>
      </c>
      <c r="CA29" s="597"/>
      <c r="CB29" s="597"/>
      <c r="CC29" s="597"/>
      <c r="CD29" s="597"/>
      <c r="CE29" s="597"/>
      <c r="CF29" s="596">
        <f>'Cuenta Ahorro-Inversión-Financi'!BY29+'Cuenta Ahorro-Inversión-Financi'!AW29</f>
        <v>277873795.02503002</v>
      </c>
      <c r="CG29" s="596">
        <v>44978400.348169997</v>
      </c>
      <c r="CH29" s="596"/>
      <c r="CI29" s="596">
        <f>8856389210.15/1000</f>
        <v>8856389.2101499997</v>
      </c>
      <c r="CJ29" s="596">
        <f>31731419637.49/1000</f>
        <v>31731419.637490001</v>
      </c>
      <c r="CK29" s="596">
        <f>36122011138.02/1000-CJ29</f>
        <v>4390591.5005299933</v>
      </c>
      <c r="CL29" s="596">
        <v>5590600</v>
      </c>
      <c r="CM29" s="596"/>
      <c r="CN29" s="596">
        <f>'Cuenta Ahorro-Inversión-Financi'!F29-'Cuenta Ahorro-Inversión-Financi'!AW29</f>
        <v>16856544.890489995</v>
      </c>
      <c r="CO29" s="597">
        <f>'Cuenta Ahorro-Inversión-Financi'!CN29+'Cuenta Ahorro-Inversión-Financi'!AC29-'Cuenta Ahorro-Inversión-Financi'!BY29</f>
        <v>12876714.304959998</v>
      </c>
      <c r="CP29" s="597">
        <f>'Cuenta Ahorro-Inversión-Financi'!S29-'Cuenta Ahorro-Inversión-Financi'!BE29-'Cuenta Ahorro-Inversión-Financi'!BM29</f>
        <v>-73732042.422439992</v>
      </c>
      <c r="CQ29" s="597">
        <f>'Cuenta Ahorro-Inversión-Financi'!F29-'Cuenta Ahorro-Inversión-Financi'!BE29-'Cuenta Ahorro-Inversión-Financi'!BM29-'Cuenta Ahorro-Inversión-Financi'!W29</f>
        <v>1041890.6401200108</v>
      </c>
      <c r="CR29" s="597"/>
      <c r="CS29" s="616" t="s">
        <v>899</v>
      </c>
      <c r="CT29" s="616"/>
      <c r="CV29" s="579">
        <v>2014</v>
      </c>
      <c r="CW29" s="96"/>
      <c r="CX29" s="96"/>
      <c r="CY29" s="96"/>
      <c r="CZ29" s="96"/>
      <c r="DA29" s="603"/>
      <c r="DB29" s="602">
        <f>'PIB corriente base 2004'!X80*1000</f>
        <v>3917648861.1710796</v>
      </c>
      <c r="DC29" s="96">
        <f>'PIB corriente base 2004'!X81*1000</f>
        <v>4702629524.92031</v>
      </c>
      <c r="DD29" s="96">
        <f>'PIB corriente base 2004'!X82*1000</f>
        <v>4685503118.6782799</v>
      </c>
      <c r="DE29" s="96">
        <f>'PIB corriente base 2004'!X83*1000</f>
        <v>5010564196.8707304</v>
      </c>
      <c r="DF29" s="601">
        <f>('Cuenta Ahorro-Inversión-Financi'!DB29+'Cuenta Ahorro-Inversión-Financi'!DC29+'Cuenta Ahorro-Inversión-Financi'!DD29+'Cuenta Ahorro-Inversión-Financi'!DE29)/4</f>
        <v>4579086425.4101</v>
      </c>
      <c r="DY29" s="1">
        <f t="shared" si="12"/>
        <v>2013</v>
      </c>
      <c r="EA29" s="28">
        <f t="shared" si="9"/>
        <v>42607031.082290001</v>
      </c>
      <c r="EB29" s="28">
        <f t="shared" si="10"/>
        <v>7987791.5748500004</v>
      </c>
      <c r="EC29" s="455">
        <f>EA29/1000/'PIB corriente base 2004'!X17</f>
        <v>1.2724941931753938E-2</v>
      </c>
      <c r="ED29" s="455">
        <f>EB29/1000/'PIB corriente base 2004'!X17</f>
        <v>2.3856199639117528E-3</v>
      </c>
      <c r="EE29" s="455">
        <f t="shared" si="11"/>
        <v>1.5110561895665691E-2</v>
      </c>
    </row>
    <row r="30" spans="1:135" ht="15.75" customHeight="1">
      <c r="A30" s="455">
        <f>'Cuenta Ahorro-Inversión-Financi'!W30/'Cuenta Ahorro-Inversión-Financi'!F30</f>
        <v>9.8417964967172464E-2</v>
      </c>
      <c r="B30" s="455">
        <f>'Cuenta Ahorro-Inversión-Financi'!G30/'Cuenta Ahorro-Inversión-Financi'!F30</f>
        <v>0.26437834107492719</v>
      </c>
      <c r="C30" s="455">
        <f>'Cuenta Ahorro-Inversión-Financi'!S30/'Cuenta Ahorro-Inversión-Financi'!F30</f>
        <v>0.63647751875647485</v>
      </c>
      <c r="D30" s="1">
        <v>72000000</v>
      </c>
      <c r="E30" s="588" t="s">
        <v>900</v>
      </c>
      <c r="F30" s="604">
        <f>'Cuenta Ahorro-Inversión-Financi'!G30+'Cuenta Ahorro-Inversión-Financi'!R30+'Cuenta Ahorro-Inversión-Financi'!S30+'Cuenta Ahorro-Inversión-Financi'!W30+'Cuenta Ahorro-Inversión-Financi'!Z30</f>
        <v>390008104.64749002</v>
      </c>
      <c r="G30" s="605">
        <f>'Cuenta Ahorro-Inversión-Financi'!H30+'Cuenta Ahorro-Inversión-Financi'!I30+'Cuenta Ahorro-Inversión-Financi'!J30+'Cuenta Ahorro-Inversión-Financi'!O30</f>
        <v>103109695.71248001</v>
      </c>
      <c r="H30" s="611">
        <v>53294684.664030001</v>
      </c>
      <c r="I30" s="611"/>
      <c r="J30" s="611">
        <v>44889253.648450002</v>
      </c>
      <c r="K30" s="612">
        <v>32721600</v>
      </c>
      <c r="L30" s="612">
        <v>12167700</v>
      </c>
      <c r="M30" s="612">
        <v>7811771</v>
      </c>
      <c r="N30" s="612">
        <v>4318885</v>
      </c>
      <c r="O30" s="611">
        <v>4925757.4000000004</v>
      </c>
      <c r="P30" s="611">
        <v>1984900</v>
      </c>
      <c r="Q30" s="611">
        <v>2940800</v>
      </c>
      <c r="R30" s="611">
        <v>283214.21395</v>
      </c>
      <c r="S30" s="604">
        <f>'Cuenta Ahorro-Inversión-Financi'!T30+'Cuenta Ahorro-Inversión-Financi'!U30</f>
        <v>248231390.74095002</v>
      </c>
      <c r="T30" s="611">
        <v>248228590.16214001</v>
      </c>
      <c r="U30" s="611">
        <v>2800.57881</v>
      </c>
      <c r="V30" s="611"/>
      <c r="W30" s="611">
        <f>'Cuenta Ahorro-Inversión-Financi'!X30+'Cuenta Ahorro-Inversión-Financi'!Y30</f>
        <v>38383803.980110005</v>
      </c>
      <c r="X30" s="611">
        <v>3301753.4731200002</v>
      </c>
      <c r="Y30" s="611">
        <v>35082050.506990001</v>
      </c>
      <c r="Z30" s="611"/>
      <c r="AA30" s="611"/>
      <c r="AB30" s="611"/>
      <c r="AC30" s="604">
        <f>'Cuenta Ahorro-Inversión-Financi'!AD30+'Cuenta Ahorro-Inversión-Financi'!AE30</f>
        <v>1799.8451500000001</v>
      </c>
      <c r="AD30" s="611">
        <v>1799.8451500000001</v>
      </c>
      <c r="AE30" s="611"/>
      <c r="AF30" s="604">
        <f>'Cuenta Ahorro-Inversión-Financi'!AC30+'Cuenta Ahorro-Inversión-Financi'!F30</f>
        <v>390009904.49264002</v>
      </c>
      <c r="AG30" s="608">
        <v>101131559.31547999</v>
      </c>
      <c r="AH30" s="607">
        <f>'Cálculo masa impuestos copartic'!V26*1000</f>
        <v>72676066.207440004</v>
      </c>
      <c r="AI30" s="607"/>
      <c r="AJ30" s="607">
        <v>4120200</v>
      </c>
      <c r="AK30" s="607">
        <f>'Cuenta Ahorro-Inversión-Financi'!BV30</f>
        <v>998092.652</v>
      </c>
      <c r="AL30" s="607">
        <v>2358010.21</v>
      </c>
      <c r="AM30" s="606">
        <f>'Cuenta Ahorro-Inversión-Financi'!AG30-('Cuenta Ahorro-Inversión-Financi'!AH30+'Cuenta Ahorro-Inversión-Financi'!AJ30+'Cuenta Ahorro-Inversión-Financi'!AK30+'Cuenta Ahorro-Inversión-Financi'!AL30)</f>
        <v>20979190.246040002</v>
      </c>
      <c r="AN30" s="606">
        <f>'Cuenta Ahorro-Inversión-Financi'!AH30-'Cuenta Ahorro-Inversión-Financi'!CG30+'Cuenta Ahorro-Inversión-Financi'!AJ30+'Cuenta Ahorro-Inversión-Financi'!AK30+'Cuenta Ahorro-Inversión-Financi'!AL30</f>
        <v>19237296.725100007</v>
      </c>
      <c r="AO30" s="606">
        <f>'Cuenta Ahorro-Inversión-Financi'!AN30</f>
        <v>19237296.725100007</v>
      </c>
      <c r="AP30" s="609" t="s">
        <v>893</v>
      </c>
      <c r="AQ30" s="609"/>
      <c r="AR30" s="609"/>
      <c r="AS30" s="594"/>
      <c r="AT30" s="622">
        <f>'Cuenta Ahorro-Inversión-Financi'!BR30/'Cuenta Ahorro-Inversión-Financi'!AU30</f>
        <v>3.6345124343530127E-2</v>
      </c>
      <c r="AU30" s="594">
        <f>'Cuenta Ahorro-Inversión-Financi'!BE30-'Cuenta Ahorro-Inversión-Financi'!BK30</f>
        <v>293203308.45165998</v>
      </c>
      <c r="AV30" s="610">
        <v>2014</v>
      </c>
      <c r="AW30" s="604">
        <f>'Cuenta Ahorro-Inversión-Financi'!AX30+'Cuenta Ahorro-Inversión-Financi'!BB30+'Cuenta Ahorro-Inversión-Financi'!BE30+'Cuenta Ahorro-Inversión-Financi'!BW30</f>
        <v>364676681.37829</v>
      </c>
      <c r="AX30" s="606">
        <f>'Cuenta Ahorro-Inversión-Financi'!AY30+'Cuenta Ahorro-Inversión-Financi'!AZ30</f>
        <v>9516808.0974100009</v>
      </c>
      <c r="AY30" s="606">
        <v>6352438.5838200003</v>
      </c>
      <c r="AZ30" s="606">
        <v>3164369.5135900001</v>
      </c>
      <c r="BA30" s="606"/>
      <c r="BB30" s="606">
        <v>13799.321760000001</v>
      </c>
      <c r="BC30" s="606"/>
      <c r="BD30" s="606"/>
      <c r="BE30" s="604">
        <v>295607149.89466</v>
      </c>
      <c r="BF30" s="604"/>
      <c r="BG30" s="604"/>
      <c r="BH30" s="604"/>
      <c r="BI30" s="604"/>
      <c r="BJ30" s="604"/>
      <c r="BK30" s="606">
        <v>2403841.443</v>
      </c>
      <c r="BL30" s="606">
        <v>188.35081</v>
      </c>
      <c r="BM30" s="606">
        <v>62895026.926459998</v>
      </c>
      <c r="BN30" s="607">
        <v>61284342.353519998</v>
      </c>
      <c r="BO30" s="607">
        <v>1610245.75254</v>
      </c>
      <c r="BP30" s="607">
        <v>438.82040000000001</v>
      </c>
      <c r="BQ30" s="607">
        <v>52238516.222850002</v>
      </c>
      <c r="BR30" s="607">
        <v>10656510.703609999</v>
      </c>
      <c r="BS30" s="606"/>
      <c r="BT30" s="606"/>
      <c r="BU30" s="607">
        <v>2358010.21</v>
      </c>
      <c r="BV30" s="607">
        <v>998092.652</v>
      </c>
      <c r="BW30" s="607">
        <f>'Cuenta Ahorro-Inversión-Financi'!BM30-'Cuenta Ahorro-Inversión-Financi'!BU30-'Cuenta Ahorro-Inversión-Financi'!BV30</f>
        <v>59538924.064459994</v>
      </c>
      <c r="BX30" s="607">
        <v>12266756.456150001</v>
      </c>
      <c r="BY30" s="604">
        <f>'Cuenta Ahorro-Inversión-Financi'!BZ30+'Cuenta Ahorro-Inversión-Financi'!CA30+'Cuenta Ahorro-Inversión-Financi'!CE30</f>
        <v>3838850.8890499999</v>
      </c>
      <c r="BZ30" s="606">
        <v>3838850.8890499999</v>
      </c>
      <c r="CA30" s="606"/>
      <c r="CB30" s="606"/>
      <c r="CC30" s="606"/>
      <c r="CD30" s="606"/>
      <c r="CE30" s="620"/>
      <c r="CF30" s="604">
        <f>'Cuenta Ahorro-Inversión-Financi'!BY30+'Cuenta Ahorro-Inversión-Financi'!AW30</f>
        <v>368515532.26734</v>
      </c>
      <c r="CG30" s="604">
        <v>60915072.344339997</v>
      </c>
      <c r="CH30" s="604"/>
      <c r="CI30" s="604">
        <f>11872462076.07/1000</f>
        <v>11872462.076069999</v>
      </c>
      <c r="CJ30" s="604">
        <f>44166117045.35/1000</f>
        <v>44166117.04535</v>
      </c>
      <c r="CK30" s="604">
        <f>49042610268.27/1000-CJ30</f>
        <v>4876493.2229199931</v>
      </c>
      <c r="CL30" s="604">
        <v>8266200</v>
      </c>
      <c r="CM30" s="604"/>
      <c r="CN30" s="604">
        <f>'Cuenta Ahorro-Inversión-Financi'!F30-'Cuenta Ahorro-Inversión-Financi'!AW30</f>
        <v>25331423.269200027</v>
      </c>
      <c r="CO30" s="606">
        <f>'Cuenta Ahorro-Inversión-Financi'!CN30+'Cuenta Ahorro-Inversión-Financi'!AC30-'Cuenta Ahorro-Inversión-Financi'!BY30</f>
        <v>21494372.225300029</v>
      </c>
      <c r="CP30" s="606">
        <f>'Cuenta Ahorro-Inversión-Financi'!S30-'Cuenta Ahorro-Inversión-Financi'!BE30-'Cuenta Ahorro-Inversión-Financi'!BM30</f>
        <v>-110270786.08016998</v>
      </c>
      <c r="CQ30" s="606">
        <f>'Cuenta Ahorro-Inversión-Financi'!F30-'Cuenta Ahorro-Inversión-Financi'!BE30-'Cuenta Ahorro-Inversión-Financi'!BM30-'Cuenta Ahorro-Inversión-Financi'!W30</f>
        <v>-6877876.1537399739</v>
      </c>
      <c r="CR30" s="606"/>
      <c r="CS30" s="613" t="s">
        <v>899</v>
      </c>
      <c r="CT30" s="613"/>
      <c r="CV30" s="579">
        <v>2015</v>
      </c>
      <c r="CW30" s="584"/>
      <c r="CX30" s="584"/>
      <c r="CY30" s="584"/>
      <c r="CZ30" s="584"/>
      <c r="DA30" s="587"/>
      <c r="DB30" s="586">
        <v>5092693740.32864</v>
      </c>
      <c r="DC30" s="584">
        <v>5951478855.3666</v>
      </c>
      <c r="DD30" s="584">
        <v>6221730755.7715998</v>
      </c>
      <c r="DE30" s="584">
        <v>6552140231.3025303</v>
      </c>
      <c r="DF30" s="585">
        <f>('Cuenta Ahorro-Inversión-Financi'!DB30+'Cuenta Ahorro-Inversión-Financi'!DC30+'Cuenta Ahorro-Inversión-Financi'!DD30+'Cuenta Ahorro-Inversión-Financi'!DE30)/4</f>
        <v>5954510895.6923428</v>
      </c>
      <c r="DH30" s="627"/>
      <c r="DI30" s="455"/>
      <c r="DY30" s="1">
        <f t="shared" si="12"/>
        <v>2014</v>
      </c>
      <c r="EA30" s="28">
        <f t="shared" si="9"/>
        <v>57928239.491519995</v>
      </c>
      <c r="EB30" s="28">
        <f t="shared" si="10"/>
        <v>10656510.703609999</v>
      </c>
      <c r="EC30" s="455">
        <f>EA30/1000/'PIB corriente base 2004'!X18</f>
        <v>1.2650610648025055E-2</v>
      </c>
      <c r="ED30" s="455">
        <f>EB30/1000/'PIB corriente base 2004'!X18</f>
        <v>2.3272132721660977E-3</v>
      </c>
      <c r="EE30" s="455">
        <f t="shared" si="11"/>
        <v>1.4977823920191154E-2</v>
      </c>
    </row>
    <row r="31" spans="1:135" ht="15.75" customHeight="1">
      <c r="A31" s="455">
        <f>'Cuenta Ahorro-Inversión-Financi'!W31/'Cuenta Ahorro-Inversión-Financi'!F31</f>
        <v>0.10034668605555772</v>
      </c>
      <c r="B31" s="455">
        <f>'Cuenta Ahorro-Inversión-Financi'!G31/'Cuenta Ahorro-Inversión-Financi'!F31</f>
        <v>0.26445846515528687</v>
      </c>
      <c r="C31" s="455">
        <f>'Cuenta Ahorro-Inversión-Financi'!S31/'Cuenta Ahorro-Inversión-Financi'!F31</f>
        <v>0.63401660095571244</v>
      </c>
      <c r="D31" s="455">
        <f>'Cuenta Ahorro-Inversión-Financi'!G30/'Cuenta Ahorro-Inversión-Financi'!F30</f>
        <v>0.26437834107492719</v>
      </c>
      <c r="E31" s="588" t="s">
        <v>901</v>
      </c>
      <c r="F31" s="589">
        <f>'Cuenta Ahorro-Inversión-Financi'!G31+'Cuenta Ahorro-Inversión-Financi'!R31+'Cuenta Ahorro-Inversión-Financi'!S31+'Cuenta Ahorro-Inversión-Financi'!W31+'Cuenta Ahorro-Inversión-Financi'!Z31</f>
        <v>529972491.64068997</v>
      </c>
      <c r="G31" s="590">
        <f>'Cuenta Ahorro-Inversión-Financi'!H31+'Cuenta Ahorro-Inversión-Financi'!J31+'Cuenta Ahorro-Inversión-Financi'!O31</f>
        <v>140155711.71381998</v>
      </c>
      <c r="H31" s="591">
        <f>75797809100/1000</f>
        <v>75797809.099999994</v>
      </c>
      <c r="I31" s="591"/>
      <c r="J31" s="591">
        <f>57472143652.47/1000</f>
        <v>57472143.65247</v>
      </c>
      <c r="K31" s="592">
        <v>43272400</v>
      </c>
      <c r="L31" s="592">
        <v>14199800</v>
      </c>
      <c r="M31" s="626">
        <v>9025654</v>
      </c>
      <c r="N31" s="592">
        <v>5345252</v>
      </c>
      <c r="O31" s="591">
        <f>6885758961.35/1000</f>
        <v>6885758.9613500005</v>
      </c>
      <c r="P31" s="591">
        <v>2916400</v>
      </c>
      <c r="Q31" s="591">
        <v>3969300</v>
      </c>
      <c r="R31" s="591">
        <f>624438940.06/1000</f>
        <v>624438.94005999994</v>
      </c>
      <c r="S31" s="589">
        <f>'Cuenta Ahorro-Inversión-Financi'!T31+'Cuenta Ahorro-Inversión-Financi'!U31+'Cuenta Ahorro-Inversión-Financi'!V31</f>
        <v>336011357.75005996</v>
      </c>
      <c r="T31" s="591">
        <f>334215514092.94/1000</f>
        <v>334215514.09293997</v>
      </c>
      <c r="U31" s="591">
        <f>1795843657.12/1000</f>
        <v>1795843.6571199999</v>
      </c>
      <c r="V31" s="591"/>
      <c r="W31" s="591">
        <f>'Cuenta Ahorro-Inversión-Financi'!X31+'Cuenta Ahorro-Inversión-Financi'!Y31</f>
        <v>53180983.236749999</v>
      </c>
      <c r="X31" s="591">
        <f>2756924911.15/1000</f>
        <v>2756924.9111500001</v>
      </c>
      <c r="Y31" s="591">
        <f>50424058325.6/1000</f>
        <v>50424058.325599998</v>
      </c>
      <c r="Z31" s="591"/>
      <c r="AA31" s="591"/>
      <c r="AB31" s="591"/>
      <c r="AC31" s="589">
        <f>'Cuenta Ahorro-Inversión-Financi'!AD31+'Cuenta Ahorro-Inversión-Financi'!AE31</f>
        <v>191.19949</v>
      </c>
      <c r="AD31" s="591">
        <f>191199.49/1000</f>
        <v>191.19949</v>
      </c>
      <c r="AE31" s="591"/>
      <c r="AF31" s="589">
        <f>'Cuenta Ahorro-Inversión-Financi'!AC31+'Cuenta Ahorro-Inversión-Financi'!F31</f>
        <v>529972682.84017998</v>
      </c>
      <c r="AG31" s="589">
        <f>156468938.20796</f>
        <v>156468938.20796001</v>
      </c>
      <c r="AH31" s="592">
        <f>'Cálculo masa impuestos copartic'!V27*1000</f>
        <v>95600316.127979994</v>
      </c>
      <c r="AI31" s="592"/>
      <c r="AJ31" s="592">
        <v>2316300</v>
      </c>
      <c r="AK31" s="592">
        <f>'Cuenta Ahorro-Inversión-Financi'!BV31</f>
        <v>1224387.8119999999</v>
      </c>
      <c r="AL31" s="592">
        <v>6868294.9270000001</v>
      </c>
      <c r="AM31" s="591">
        <f>'Cuenta Ahorro-Inversión-Financi'!AG31-('Cuenta Ahorro-Inversión-Financi'!AH31+'Cuenta Ahorro-Inversión-Financi'!AJ31+'Cuenta Ahorro-Inversión-Financi'!AK31+'Cuenta Ahorro-Inversión-Financi'!AL31)</f>
        <v>50459639.340980008</v>
      </c>
      <c r="AN31" s="591">
        <f>'Cuenta Ahorro-Inversión-Financi'!AH31-'Cuenta Ahorro-Inversión-Financi'!CG31+'Cuenta Ahorro-Inversión-Financi'!AJ31+'Cuenta Ahorro-Inversión-Financi'!AK31+'Cuenta Ahorro-Inversión-Financi'!AL31</f>
        <v>21609162.753609993</v>
      </c>
      <c r="AO31" s="591">
        <f>'Cuenta Ahorro-Inversión-Financi'!AN31</f>
        <v>21609162.753609993</v>
      </c>
      <c r="AP31" s="614" t="s">
        <v>895</v>
      </c>
      <c r="AQ31" s="614"/>
      <c r="AR31" s="614"/>
      <c r="AS31" s="594"/>
      <c r="AT31" s="622">
        <f>'Cuenta Ahorro-Inversión-Financi'!BR31/'Cuenta Ahorro-Inversión-Financi'!AU31</f>
        <v>3.6101740316709138E-2</v>
      </c>
      <c r="AU31" s="594">
        <f>'Cuenta Ahorro-Inversión-Financi'!BE31-'Cuenta Ahorro-Inversión-Financi'!BK31</f>
        <v>429971996.43462998</v>
      </c>
      <c r="AV31" s="610">
        <v>2015</v>
      </c>
      <c r="AW31" s="596">
        <f>'Cuenta Ahorro-Inversión-Financi'!AX31+'Cuenta Ahorro-Inversión-Financi'!BB31+'Cuenta Ahorro-Inversión-Financi'!BE31+'Cuenta Ahorro-Inversión-Financi'!BW31</f>
        <v>530722384.97448999</v>
      </c>
      <c r="AX31" s="599">
        <f>'Cuenta Ahorro-Inversión-Financi'!AY31+'Cuenta Ahorro-Inversión-Financi'!AZ31</f>
        <v>12485483.441740001</v>
      </c>
      <c r="AY31" s="597">
        <f>8267644289.66/1000</f>
        <v>8267644.2896600002</v>
      </c>
      <c r="AZ31" s="597">
        <f>(113259490.74+4104579661.34)/1000</f>
        <v>4217839.1520800004</v>
      </c>
      <c r="BA31" s="597"/>
      <c r="BB31" s="597">
        <f>14546207.52/1000</f>
        <v>14546.20752</v>
      </c>
      <c r="BC31" s="597"/>
      <c r="BD31" s="597"/>
      <c r="BE31" s="596">
        <f>433431683656.63/1000</f>
        <v>433431683.65662998</v>
      </c>
      <c r="BF31" s="596"/>
      <c r="BG31" s="596"/>
      <c r="BH31" s="597"/>
      <c r="BI31" s="597"/>
      <c r="BJ31" s="597"/>
      <c r="BK31" s="597">
        <v>3459687.2220000001</v>
      </c>
      <c r="BL31" s="597">
        <f>34218.69/1000</f>
        <v>34.218690000000002</v>
      </c>
      <c r="BM31" s="597">
        <f>92783271815.6/1000</f>
        <v>92783271.815600008</v>
      </c>
      <c r="BN31" s="598">
        <f>'Cuenta Ahorro-Inversión-Financi'!BM31-'Cuenta Ahorro-Inversión-Financi'!BO31-'Cuenta Ahorro-Inversión-Financi'!BP31</f>
        <v>90576617.55667001</v>
      </c>
      <c r="BO31" s="598">
        <f>2204642015.53/1000</f>
        <v>2204642.0155300004</v>
      </c>
      <c r="BP31" s="598">
        <f>2012243.4/1000</f>
        <v>2012.2433999999998</v>
      </c>
      <c r="BQ31" s="598">
        <f>77260534456.86/1000</f>
        <v>77260534.456860006</v>
      </c>
      <c r="BR31" s="598">
        <f>15522737358.74/1000</f>
        <v>15522737.35874</v>
      </c>
      <c r="BS31" s="599"/>
      <c r="BT31" s="598"/>
      <c r="BU31" s="598">
        <v>6768212.335</v>
      </c>
      <c r="BV31" s="598">
        <v>1224387.8119999999</v>
      </c>
      <c r="BW31" s="598">
        <f>'Cuenta Ahorro-Inversión-Financi'!BM31-'Cuenta Ahorro-Inversión-Financi'!BU31-'Cuenta Ahorro-Inversión-Financi'!BV31</f>
        <v>84790671.668600008</v>
      </c>
      <c r="BX31" s="598">
        <f>'Cuenta Ahorro-Inversión-Financi'!BO31+'Cuenta Ahorro-Inversión-Financi'!BP31+'Cuenta Ahorro-Inversión-Financi'!BR31</f>
        <v>17729391.61767</v>
      </c>
      <c r="BY31" s="628">
        <f>'Cuenta Ahorro-Inversión-Financi'!BZ31+'Cuenta Ahorro-Inversión-Financi'!CA31+'Cuenta Ahorro-Inversión-Financi'!CE31</f>
        <v>2173282.69698</v>
      </c>
      <c r="BZ31" s="598">
        <f>2173282696.98/1000</f>
        <v>2173282.69698</v>
      </c>
      <c r="CA31" s="598"/>
      <c r="CB31" s="598"/>
      <c r="CC31" s="598"/>
      <c r="CD31" s="598"/>
      <c r="CE31" s="598"/>
      <c r="CF31" s="596">
        <f>'Cuenta Ahorro-Inversión-Financi'!BY31+'Cuenta Ahorro-Inversión-Financi'!AW31</f>
        <v>532895667.67146999</v>
      </c>
      <c r="CG31" s="596">
        <f>84400136113.37/1000</f>
        <v>84400136.113370001</v>
      </c>
      <c r="CH31" s="628"/>
      <c r="CI31" s="596">
        <f>16038444761.65/1000</f>
        <v>16038444.76165</v>
      </c>
      <c r="CJ31" s="596">
        <f>62265526699.87/1000</f>
        <v>62265526.699870005</v>
      </c>
      <c r="CK31" s="596">
        <f>68361691351.72/1000-CJ31</f>
        <v>6096164.65185</v>
      </c>
      <c r="CL31" s="628">
        <v>10207500</v>
      </c>
      <c r="CM31" s="628"/>
      <c r="CN31" s="628">
        <f>'Cuenta Ahorro-Inversión-Financi'!F31-'Cuenta Ahorro-Inversión-Financi'!AW31</f>
        <v>-749893.33380001783</v>
      </c>
      <c r="CO31" s="598">
        <f>'Cuenta Ahorro-Inversión-Financi'!CN31+'Cuenta Ahorro-Inversión-Financi'!AC31-'Cuenta Ahorro-Inversión-Financi'!BY31</f>
        <v>-2922984.8312900178</v>
      </c>
      <c r="CP31" s="598">
        <f>'Cuenta Ahorro-Inversión-Financi'!S31-'Cuenta Ahorro-Inversión-Financi'!BE31-'Cuenta Ahorro-Inversión-Financi'!BM31</f>
        <v>-190203597.72217003</v>
      </c>
      <c r="CQ31" s="598">
        <f>'Cuenta Ahorro-Inversión-Financi'!F31-'Cuenta Ahorro-Inversión-Financi'!BE31-'Cuenta Ahorro-Inversión-Financi'!BM31-'Cuenta Ahorro-Inversión-Financi'!W31</f>
        <v>-49423447.068290018</v>
      </c>
      <c r="CR31" s="598"/>
      <c r="CS31" s="616" t="s">
        <v>897</v>
      </c>
      <c r="CT31" s="616"/>
      <c r="CV31" s="629">
        <v>2016</v>
      </c>
      <c r="CW31" s="630"/>
      <c r="CX31" s="630"/>
      <c r="CY31" s="630"/>
      <c r="CZ31" s="630"/>
      <c r="DA31" s="631"/>
      <c r="DB31" s="602">
        <v>7006645045.10604</v>
      </c>
      <c r="DC31" s="96">
        <v>8414556482.1792097</v>
      </c>
      <c r="DD31" s="96">
        <v>8527628825.2780304</v>
      </c>
      <c r="DE31" s="96">
        <v>8963807873.5824299</v>
      </c>
      <c r="DF31" s="601">
        <f>('Cuenta Ahorro-Inversión-Financi'!DB31+'Cuenta Ahorro-Inversión-Financi'!DC31+'Cuenta Ahorro-Inversión-Financi'!DD31+'Cuenta Ahorro-Inversión-Financi'!DE31)/4</f>
        <v>8228159556.5364265</v>
      </c>
      <c r="DG31" s="455"/>
      <c r="DH31" s="319">
        <v>2996491748.4299998</v>
      </c>
      <c r="DI31" s="455">
        <f>DH31/1000/DF31</f>
        <v>3.6417521170327758E-4</v>
      </c>
      <c r="DJ31" s="455"/>
      <c r="DK31" s="455"/>
      <c r="DY31" s="1">
        <f t="shared" si="12"/>
        <v>2015</v>
      </c>
      <c r="EA31" s="28">
        <f t="shared" si="9"/>
        <v>82584017.40967001</v>
      </c>
      <c r="EB31" s="28">
        <f t="shared" si="10"/>
        <v>15522737.35874</v>
      </c>
      <c r="EC31" s="455">
        <f>EA31/1000/'PIB corriente base 2004'!X19</f>
        <v>1.3869152119515568E-2</v>
      </c>
      <c r="ED31" s="455">
        <f>EB31/1000/'PIB corriente base 2004'!X19</f>
        <v>2.6068870526325806E-3</v>
      </c>
      <c r="EE31" s="455">
        <f t="shared" si="11"/>
        <v>1.6476039172148148E-2</v>
      </c>
    </row>
    <row r="32" spans="1:135" ht="15.75" customHeight="1">
      <c r="A32" s="455">
        <f>'Cuenta Ahorro-Inversión-Financi'!W32/('Cuenta Ahorro-Inversión-Financi'!F32-'Cuenta Ahorro-Inversión-Financi'!H32)</f>
        <v>0.10147454634597637</v>
      </c>
      <c r="B32" s="455">
        <f>('Cuenta Ahorro-Inversión-Financi'!G32-'Cuenta Ahorro-Inversión-Financi'!I32)/('Cuenta Ahorro-Inversión-Financi'!F32-'Cuenta Ahorro-Inversión-Financi'!I32)</f>
        <v>0.24917307664027696</v>
      </c>
      <c r="C32" s="455">
        <f>'Cuenta Ahorro-Inversión-Financi'!S32/('Cuenta Ahorro-Inversión-Financi'!F32-'Cuenta Ahorro-Inversión-Financi'!I32)</f>
        <v>0.64547495665655619</v>
      </c>
      <c r="D32" s="455"/>
      <c r="E32" s="588" t="s">
        <v>902</v>
      </c>
      <c r="F32" s="604">
        <f>'Cuenta Ahorro-Inversión-Financi'!G32+'Cuenta Ahorro-Inversión-Financi'!R32+'Cuenta Ahorro-Inversión-Financi'!S32+'Cuenta Ahorro-Inversión-Financi'!W32+'Cuenta Ahorro-Inversión-Financi'!Z32</f>
        <v>800657297.14761007</v>
      </c>
      <c r="G32" s="605">
        <f>'Cuenta Ahorro-Inversión-Financi'!H32+'Cuenta Ahorro-Inversión-Financi'!I32+'Cuenta Ahorro-Inversión-Financi'!J32+'Cuenta Ahorro-Inversión-Financi'!O32</f>
        <v>277235946.59346002</v>
      </c>
      <c r="H32" s="611">
        <f>86485940416.4/1000</f>
        <v>86485940.4164</v>
      </c>
      <c r="I32" s="611">
        <f>103530790000/1000</f>
        <v>103530790</v>
      </c>
      <c r="J32" s="611">
        <f>78221505450.86/1000</f>
        <v>78221505.450859994</v>
      </c>
      <c r="K32" s="612">
        <v>58259500</v>
      </c>
      <c r="L32" s="612">
        <v>19962000</v>
      </c>
      <c r="M32" s="612">
        <v>13243316</v>
      </c>
      <c r="N32" s="612">
        <v>6745924</v>
      </c>
      <c r="O32" s="611">
        <f>8997710726.2/1000</f>
        <v>8997710.7262000013</v>
      </c>
      <c r="P32" s="611">
        <v>4187600</v>
      </c>
      <c r="Q32" s="611">
        <v>4810100</v>
      </c>
      <c r="R32" s="611">
        <f>973434131.32/1000</f>
        <v>973434.13132000004</v>
      </c>
      <c r="S32" s="604">
        <f>'Cuenta Ahorro-Inversión-Financi'!T32+'Cuenta Ahorro-Inversión-Financi'!U32</f>
        <v>449977701.98524004</v>
      </c>
      <c r="T32" s="611">
        <f>449972439224.13/1000</f>
        <v>449972439.22413003</v>
      </c>
      <c r="U32" s="611">
        <f>5262761.11/1000</f>
        <v>5262.7611100000004</v>
      </c>
      <c r="V32" s="611"/>
      <c r="W32" s="611">
        <f>'Cuenta Ahorro-Inversión-Financi'!X32+'Cuenta Ahorro-Inversión-Financi'!Y32</f>
        <v>72470214.437590003</v>
      </c>
      <c r="X32" s="611">
        <f>4964150262.98/1000</f>
        <v>4964150.2629799992</v>
      </c>
      <c r="Y32" s="611">
        <f>67506064174.61/1000</f>
        <v>67506064.174610004</v>
      </c>
      <c r="Z32" s="611"/>
      <c r="AA32" s="611"/>
      <c r="AB32" s="611"/>
      <c r="AC32" s="604">
        <f>'Cuenta Ahorro-Inversión-Financi'!AD32+'Cuenta Ahorro-Inversión-Financi'!AE32</f>
        <v>4600.2274100000004</v>
      </c>
      <c r="AD32" s="611">
        <f>4600227.41/1000</f>
        <v>4600.2274100000004</v>
      </c>
      <c r="AE32" s="611"/>
      <c r="AF32" s="604">
        <f>'Cuenta Ahorro-Inversión-Financi'!AC32+'Cuenta Ahorro-Inversión-Financi'!F32</f>
        <v>800661897.37502003</v>
      </c>
      <c r="AG32" s="608">
        <f>292815889687.8/1000</f>
        <v>292815889.68779999</v>
      </c>
      <c r="AH32" s="607">
        <f>'Cálculo masa impuestos copartic'!X28*1000</f>
        <v>126199197.124</v>
      </c>
      <c r="AI32" s="607">
        <f>BF32</f>
        <v>18177.005690000002</v>
      </c>
      <c r="AJ32" s="607">
        <v>2271700</v>
      </c>
      <c r="AK32" s="607">
        <f>'Cuenta Ahorro-Inversión-Financi'!BV32</f>
        <v>2758020.679</v>
      </c>
      <c r="AL32" s="607">
        <v>9045301.2210000008</v>
      </c>
      <c r="AM32" s="606">
        <f>'Cuenta Ahorro-Inversión-Financi'!AG32-('Cuenta Ahorro-Inversión-Financi'!AH32+'Cuenta Ahorro-Inversión-Financi'!AJ32+'Cuenta Ahorro-Inversión-Financi'!AK32+'Cuenta Ahorro-Inversión-Financi'!AL32)</f>
        <v>152541670.6638</v>
      </c>
      <c r="AN32" s="606">
        <f>'Cuenta Ahorro-Inversión-Financi'!AH32-'Cuenta Ahorro-Inversión-Financi'!CG32+'Cuenta Ahorro-Inversión-Financi'!AJ32+'Cuenta Ahorro-Inversión-Financi'!AK32+'Cuenta Ahorro-Inversión-Financi'!AL32</f>
        <v>29456784.595730003</v>
      </c>
      <c r="AO32" s="606">
        <f>'Cuenta Ahorro-Inversión-Financi'!AN32</f>
        <v>29456784.595730003</v>
      </c>
      <c r="AP32" s="609" t="s">
        <v>903</v>
      </c>
      <c r="AQ32" s="609"/>
      <c r="AR32" s="609"/>
      <c r="AS32" s="594"/>
      <c r="AT32" s="622">
        <f>'Cuenta Ahorro-Inversión-Financi'!BR32/'Cuenta Ahorro-Inversión-Financi'!AU32</f>
        <v>3.6202825550293513E-2</v>
      </c>
      <c r="AU32" s="594">
        <f>'Cuenta Ahorro-Inversión-Financi'!BE32-'Cuenta Ahorro-Inversión-Financi'!BK32</f>
        <v>599178917.86084998</v>
      </c>
      <c r="AV32" s="610">
        <v>2016</v>
      </c>
      <c r="AW32" s="604">
        <f>'Cuenta Ahorro-Inversión-Financi'!AX32+'Cuenta Ahorro-Inversión-Financi'!BB32+'Cuenta Ahorro-Inversión-Financi'!BE32+'Cuenta Ahorro-Inversión-Financi'!BW32</f>
        <v>774749619.23490989</v>
      </c>
      <c r="AX32" s="606">
        <f>'Cuenta Ahorro-Inversión-Financi'!AY32+'Cuenta Ahorro-Inversión-Financi'!AZ32</f>
        <v>14554479.385369999</v>
      </c>
      <c r="AY32" s="606">
        <f>10969997104.06/1000</f>
        <v>10969997.10406</v>
      </c>
      <c r="AZ32" s="606">
        <f>(77009081.68+3507473199.63)/1000</f>
        <v>3584482.28131</v>
      </c>
      <c r="BA32" s="606"/>
      <c r="BB32" s="606">
        <f>15332488.99/1000</f>
        <v>15332.48899</v>
      </c>
      <c r="BC32" s="606"/>
      <c r="BD32" s="606"/>
      <c r="BE32" s="604">
        <f>603990105931.85/1000</f>
        <v>603990105.93184996</v>
      </c>
      <c r="BF32" s="604">
        <f>18177005.69/1000</f>
        <v>18177.005690000002</v>
      </c>
      <c r="BG32" s="604"/>
      <c r="BH32" s="604"/>
      <c r="BI32" s="604"/>
      <c r="BJ32" s="604"/>
      <c r="BK32" s="606">
        <v>4811188.0710000005</v>
      </c>
      <c r="BL32" s="606">
        <f>58079.42/1000</f>
        <v>58.079419999999999</v>
      </c>
      <c r="BM32" s="606">
        <f>167993739749.3/1000</f>
        <v>167993739.74929997</v>
      </c>
      <c r="BN32" s="607">
        <f>146118653025.68/1000-215229504.63/1000</f>
        <v>145903423.52105001</v>
      </c>
      <c r="BO32" s="607">
        <f>22088370468.25/1000</f>
        <v>22088370.468249999</v>
      </c>
      <c r="BP32" s="606">
        <f>1945760/1000</f>
        <v>1945.76</v>
      </c>
      <c r="BQ32" s="607">
        <f>137470981775.6/1000-215229504.63/1000</f>
        <v>137255752.27097002</v>
      </c>
      <c r="BR32" s="607">
        <f>21691969836.73/1000</f>
        <v>21691969.83673</v>
      </c>
      <c r="BS32" s="620"/>
      <c r="BT32" s="606"/>
      <c r="BU32" s="607">
        <f>9046017641.6/1000</f>
        <v>9046017.6415999997</v>
      </c>
      <c r="BV32" s="607">
        <v>2758020.679</v>
      </c>
      <c r="BW32" s="607">
        <f>'Cuenta Ahorro-Inversión-Financi'!BM32-'Cuenta Ahorro-Inversión-Financi'!BU32-'Cuenta Ahorro-Inversión-Financi'!BV32</f>
        <v>156189701.42869997</v>
      </c>
      <c r="BX32" s="607"/>
      <c r="BY32" s="604">
        <f>'Cuenta Ahorro-Inversión-Financi'!BZ32+'Cuenta Ahorro-Inversión-Financi'!CA32+'Cuenta Ahorro-Inversión-Financi'!CE32</f>
        <v>2257806.5474</v>
      </c>
      <c r="BZ32" s="606">
        <f>2257806547.4/1000</f>
        <v>2257806.5474</v>
      </c>
      <c r="CA32" s="606"/>
      <c r="CB32" s="606"/>
      <c r="CC32" s="606"/>
      <c r="CD32" s="606"/>
      <c r="CE32" s="620"/>
      <c r="CF32" s="604">
        <f>'Cuenta Ahorro-Inversión-Financi'!BY32+'Cuenta Ahorro-Inversión-Financi'!AW32</f>
        <v>777007425.78230989</v>
      </c>
      <c r="CG32" s="604">
        <f>110817434428.27/1000</f>
        <v>110817434.42827</v>
      </c>
      <c r="CH32" s="604"/>
      <c r="CI32" s="604">
        <f>22415518308.14/1000</f>
        <v>22415518.308139998</v>
      </c>
      <c r="CJ32" s="604">
        <f>79945091341.32/1000</f>
        <v>79945091.341320008</v>
      </c>
      <c r="CK32" s="604">
        <f>88401916120.13/1000-CJ32</f>
        <v>8456824.7788099945</v>
      </c>
      <c r="CL32" s="604">
        <v>16218300</v>
      </c>
      <c r="CM32" s="604"/>
      <c r="CN32" s="604">
        <f>'Cuenta Ahorro-Inversión-Financi'!F32-'Cuenta Ahorro-Inversión-Financi'!AW32</f>
        <v>25907677.912700176</v>
      </c>
      <c r="CO32" s="606">
        <f>'Cuenta Ahorro-Inversión-Financi'!CN32+'Cuenta Ahorro-Inversión-Financi'!AC32-'Cuenta Ahorro-Inversión-Financi'!BY32</f>
        <v>23654471.592710175</v>
      </c>
      <c r="CP32" s="606">
        <f>'Cuenta Ahorro-Inversión-Financi'!S32-'Cuenta Ahorro-Inversión-Financi'!BE32-'Cuenta Ahorro-Inversión-Financi'!BM32</f>
        <v>-322006143.69590986</v>
      </c>
      <c r="CQ32" s="606">
        <f>'Cuenta Ahorro-Inversión-Financi'!F32-'Cuenta Ahorro-Inversión-Financi'!BE32-'Cuenta Ahorro-Inversión-Financi'!BM32-'Cuenta Ahorro-Inversión-Financi'!W32</f>
        <v>-43796762.971129864</v>
      </c>
      <c r="CR32" s="606">
        <f>31300557634.2019/1000</f>
        <v>31300557.634201899</v>
      </c>
      <c r="CS32" s="613" t="s">
        <v>904</v>
      </c>
      <c r="CT32" s="613"/>
      <c r="CV32" s="629">
        <v>2017</v>
      </c>
      <c r="CW32" s="584"/>
      <c r="CX32" s="584"/>
      <c r="CY32" s="584"/>
      <c r="CZ32" s="584"/>
      <c r="DA32" s="584"/>
      <c r="DB32" s="586">
        <v>9207047993.4630699</v>
      </c>
      <c r="DC32" s="584">
        <v>10602469309.9181</v>
      </c>
      <c r="DD32" s="584">
        <v>11070090101.6518</v>
      </c>
      <c r="DE32" s="584">
        <v>11699507791.7232</v>
      </c>
      <c r="DF32" s="585">
        <f>('Cuenta Ahorro-Inversión-Financi'!DB32+'Cuenta Ahorro-Inversión-Financi'!DC32+'Cuenta Ahorro-Inversión-Financi'!DD32+'Cuenta Ahorro-Inversión-Financi'!DE32)/4</f>
        <v>10644778799.189043</v>
      </c>
      <c r="DH32" s="319">
        <v>43471551159.650002</v>
      </c>
      <c r="DI32" s="455">
        <f>DH32/1000/DF32</f>
        <v>4.0838379058625264E-3</v>
      </c>
      <c r="DJ32" s="28"/>
      <c r="DK32" s="28"/>
      <c r="DY32" s="1">
        <f t="shared" si="12"/>
        <v>2016</v>
      </c>
      <c r="EA32" s="28">
        <f t="shared" si="9"/>
        <v>134099385.20044999</v>
      </c>
      <c r="EB32" s="28">
        <f t="shared" si="10"/>
        <v>21691969.83673</v>
      </c>
      <c r="EC32" s="455">
        <f>EA32/1000/'PIB corriente base 2004'!X20</f>
        <v>1.629761604390885E-2</v>
      </c>
      <c r="ED32" s="455">
        <f>EB32/1000/'PIB corriente base 2004'!X20</f>
        <v>2.6363088474017208E-3</v>
      </c>
      <c r="EE32" s="455">
        <f t="shared" si="11"/>
        <v>1.8933924891310572E-2</v>
      </c>
    </row>
    <row r="33" spans="1:1025" ht="15.75" customHeight="1">
      <c r="A33" s="455">
        <f>'Cuenta Ahorro-Inversión-Financi'!W33/'Cuenta Ahorro-Inversión-Financi'!F33</f>
        <v>0.11319017358805916</v>
      </c>
      <c r="B33" s="455">
        <f>'Cuenta Ahorro-Inversión-Financi'!G33/'Cuenta Ahorro-Inversión-Financi'!F33</f>
        <v>0.27831143838914141</v>
      </c>
      <c r="C33" s="455">
        <f>'Cuenta Ahorro-Inversión-Financi'!S33/'Cuenta Ahorro-Inversión-Financi'!F33</f>
        <v>0.60737861038259389</v>
      </c>
      <c r="D33" s="455" t="s">
        <v>905</v>
      </c>
      <c r="E33" s="588" t="s">
        <v>906</v>
      </c>
      <c r="F33" s="589">
        <f>'Cuenta Ahorro-Inversión-Financi'!G33+'Cuenta Ahorro-Inversión-Financi'!R33+'Cuenta Ahorro-Inversión-Financi'!S33+'Cuenta Ahorro-Inversión-Financi'!W33+'Cuenta Ahorro-Inversión-Financi'!Z33</f>
        <v>974259326.61034</v>
      </c>
      <c r="G33" s="590">
        <f>'Cuenta Ahorro-Inversión-Financi'!H33+'Cuenta Ahorro-Inversión-Financi'!I33+'Cuenta Ahorro-Inversión-Financi'!J33+'Cuenta Ahorro-Inversión-Financi'!O33</f>
        <v>271147514.55296004</v>
      </c>
      <c r="H33" s="591">
        <f>109245834216.93/1000</f>
        <v>109245834.21692999</v>
      </c>
      <c r="I33" s="591">
        <f>44810647665.18/1000</f>
        <v>44810647.665179998</v>
      </c>
      <c r="J33" s="591">
        <f>104183220070.85/1000</f>
        <v>104183220.07085</v>
      </c>
      <c r="K33" s="626">
        <f>74727.53313788*1000</f>
        <v>74727533.137879997</v>
      </c>
      <c r="L33" s="592">
        <f>'Cuenta Ahorro-Inversión-Financi'!M33+'Cuenta Ahorro-Inversión-Financi'!N33</f>
        <v>29455686.932970002</v>
      </c>
      <c r="M33" s="626">
        <v>20245771</v>
      </c>
      <c r="N33" s="592">
        <f>J33-(M33+K33)</f>
        <v>9209915.9329700023</v>
      </c>
      <c r="O33" s="591">
        <f>12907812600/1000</f>
        <v>12907812.6</v>
      </c>
      <c r="P33" s="632">
        <v>5625587</v>
      </c>
      <c r="Q33" s="632">
        <v>7282225.5999999996</v>
      </c>
      <c r="R33" s="591">
        <f>1090953809.7/1000</f>
        <v>1090953.8097000001</v>
      </c>
      <c r="S33" s="589">
        <f>T33+U33</f>
        <v>591744275.94886994</v>
      </c>
      <c r="T33" s="591">
        <f>591737717484.36/1000</f>
        <v>591737717.48435998</v>
      </c>
      <c r="U33" s="592">
        <f>6558464.51/1000</f>
        <v>6558.4645099999998</v>
      </c>
      <c r="V33" s="592"/>
      <c r="W33" s="591">
        <f>Y33+X33</f>
        <v>110276582.29881001</v>
      </c>
      <c r="X33" s="591">
        <f>7054651211.07/1000</f>
        <v>7054651.2110699993</v>
      </c>
      <c r="Y33" s="591">
        <f>103221931087.74/1000</f>
        <v>103221931.08774</v>
      </c>
      <c r="Z33" s="592"/>
      <c r="AA33" s="592"/>
      <c r="AB33" s="592"/>
      <c r="AC33" s="589">
        <f>'Cuenta Ahorro-Inversión-Financi'!AD33+'Cuenta Ahorro-Inversión-Financi'!AE33</f>
        <v>1444.23803</v>
      </c>
      <c r="AD33" s="633">
        <f>1444238.03/1000</f>
        <v>1444.23803</v>
      </c>
      <c r="AE33" s="592"/>
      <c r="AF33" s="633">
        <f>'Cuenta Ahorro-Inversión-Financi'!AC33+'Cuenta Ahorro-Inversión-Financi'!F33</f>
        <v>974260770.84836996</v>
      </c>
      <c r="AG33" s="589">
        <f>377160739088.46/1000</f>
        <v>377160739.08846003</v>
      </c>
      <c r="AH33" s="592">
        <f>'Cálculo masa impuestos copartic'!X29*1000</f>
        <v>166461992.04945001</v>
      </c>
      <c r="AI33" s="592">
        <f>BF33</f>
        <v>2970227.0380000002</v>
      </c>
      <c r="AJ33" s="592">
        <v>0</v>
      </c>
      <c r="AK33" s="592">
        <f>'Cuenta Ahorro-Inversión-Financi'!BV33</f>
        <v>3609378.409</v>
      </c>
      <c r="AL33" s="592">
        <v>8156877.2999999998</v>
      </c>
      <c r="AM33" s="845">
        <f>'Cuenta Ahorro-Inversión-Financi'!AG33-('Cuenta Ahorro-Inversión-Financi'!AH33+'Cuenta Ahorro-Inversión-Financi'!AJ33+'Cuenta Ahorro-Inversión-Financi'!AK33+'Cuenta Ahorro-Inversión-Financi'!AL33)</f>
        <v>198932491.33001</v>
      </c>
      <c r="AN33" s="845">
        <f>'Cuenta Ahorro-Inversión-Financi'!AH33-'Cuenta Ahorro-Inversión-Financi'!CG33+'Cuenta Ahorro-Inversión-Financi'!AJ33+'Cuenta Ahorro-Inversión-Financi'!AK33+'Cuenta Ahorro-Inversión-Financi'!AL33+AI33</f>
        <v>45654205.105559997</v>
      </c>
      <c r="AO33" s="845">
        <f>'Cuenta Ahorro-Inversión-Financi'!AN33</f>
        <v>45654205.105559997</v>
      </c>
      <c r="AP33" s="614" t="s">
        <v>903</v>
      </c>
      <c r="AQ33" s="634"/>
      <c r="AR33" s="634"/>
      <c r="AS33" s="635"/>
      <c r="AT33" s="635"/>
      <c r="AU33" s="635"/>
      <c r="AV33" s="610">
        <v>2017</v>
      </c>
      <c r="AW33" s="596">
        <f>'Cuenta Ahorro-Inversión-Financi'!AX33+'Cuenta Ahorro-Inversión-Financi'!BB33+'Cuenta Ahorro-Inversión-Financi'!BE33+'Cuenta Ahorro-Inversión-Financi'!BW33</f>
        <v>1063335715.50801</v>
      </c>
      <c r="AX33" s="599">
        <f>'Cuenta Ahorro-Inversión-Financi'!AY33+'Cuenta Ahorro-Inversión-Financi'!AZ33</f>
        <v>18322852.729150001</v>
      </c>
      <c r="AY33" s="597">
        <f>13817748058.41/1000</f>
        <v>13817748.05841</v>
      </c>
      <c r="AZ33" s="597">
        <f>(133506595.07+4371598075.67)/1000</f>
        <v>4505104.67074</v>
      </c>
      <c r="BA33" s="598"/>
      <c r="BB33" s="597">
        <f>61222478.81/1000</f>
        <v>61222.478810000001</v>
      </c>
      <c r="BC33" s="598"/>
      <c r="BD33" s="598"/>
      <c r="BE33" s="596">
        <f>854575919983.15/1000</f>
        <v>854575919.98315001</v>
      </c>
      <c r="BF33" s="596">
        <f>2970227038/1000</f>
        <v>2970227.0380000002</v>
      </c>
      <c r="BG33" s="596">
        <f>9373728112/1000</f>
        <v>9373728.1119999997</v>
      </c>
      <c r="BH33" s="598"/>
      <c r="BI33" s="598"/>
      <c r="BJ33" s="598"/>
      <c r="BK33" s="597">
        <v>6394236.8589199996</v>
      </c>
      <c r="BL33" s="597">
        <f>9870.05/1000</f>
        <v>9.8700499999999991</v>
      </c>
      <c r="BM33" s="597">
        <f>202141976025.9/1000</f>
        <v>202141976.02590001</v>
      </c>
      <c r="BN33" s="598">
        <f>154650725422.93/1000</f>
        <v>154650725.42293</v>
      </c>
      <c r="BO33" s="598">
        <f>47486083873.78/1000</f>
        <v>47486083.873779997</v>
      </c>
      <c r="BP33" s="598">
        <f>5166729.19/1000</f>
        <v>5166.72919</v>
      </c>
      <c r="BQ33" s="598">
        <f>162361618272.29/1000</f>
        <v>162361618.27229002</v>
      </c>
      <c r="BR33" s="598">
        <f>31623480453.61/1000</f>
        <v>31623480.453609999</v>
      </c>
      <c r="BS33" s="598"/>
      <c r="BT33" s="598"/>
      <c r="BU33" s="598">
        <v>8156877.2999999998</v>
      </c>
      <c r="BV33" s="598">
        <v>3609378.409</v>
      </c>
      <c r="BW33" s="598">
        <f>'Cuenta Ahorro-Inversión-Financi'!BM33-'Cuenta Ahorro-Inversión-Financi'!BU33-'Cuenta Ahorro-Inversión-Financi'!BV33</f>
        <v>190375720.31689999</v>
      </c>
      <c r="BX33" s="598"/>
      <c r="BY33" s="596">
        <f>'Cuenta Ahorro-Inversión-Financi'!BZ33+'Cuenta Ahorro-Inversión-Financi'!CA33+'Cuenta Ahorro-Inversión-Financi'!CE33</f>
        <v>567026.85152999999</v>
      </c>
      <c r="BZ33" s="598">
        <f>567026851.53/1000</f>
        <v>567026.85152999999</v>
      </c>
      <c r="CA33" s="598"/>
      <c r="CB33" s="598"/>
      <c r="CC33" s="598"/>
      <c r="CD33" s="598"/>
      <c r="CE33" s="598"/>
      <c r="CF33" s="596">
        <f>'Cuenta Ahorro-Inversión-Financi'!BY33+'Cuenta Ahorro-Inversión-Financi'!AW33</f>
        <v>1063902742.35954</v>
      </c>
      <c r="CG33" s="596">
        <f>135544269690.89/1000</f>
        <v>135544269.69089001</v>
      </c>
      <c r="CH33" s="628"/>
      <c r="CI33" s="596">
        <f>30933083008.08/1000</f>
        <v>30933083.008080002</v>
      </c>
      <c r="CJ33" s="596">
        <f>92478820884.8/1000</f>
        <v>92478820.884800002</v>
      </c>
      <c r="CK33" s="596">
        <f>104611186682.81/1000-CJ33</f>
        <v>12132365.798009992</v>
      </c>
      <c r="CL33" s="636">
        <f>18023556128.08/1000</f>
        <v>18023556.128080003</v>
      </c>
      <c r="CM33" s="636">
        <f>2012218469.46/1000</f>
        <v>2012218.4694600001</v>
      </c>
      <c r="CN33" s="628">
        <f>'Cuenta Ahorro-Inversión-Financi'!F33-'Cuenta Ahorro-Inversión-Financi'!AW33</f>
        <v>-89076388.897670031</v>
      </c>
      <c r="CO33" s="598">
        <f>'Cuenta Ahorro-Inversión-Financi'!CN33+'Cuenta Ahorro-Inversión-Financi'!AC33-'Cuenta Ahorro-Inversión-Financi'!BY33</f>
        <v>-89641971.51117003</v>
      </c>
      <c r="CP33" s="598">
        <f>'Cuenta Ahorro-Inversión-Financi'!S33-'Cuenta Ahorro-Inversión-Financi'!BE33-'Cuenta Ahorro-Inversión-Financi'!BM33</f>
        <v>-464973620.06018007</v>
      </c>
      <c r="CQ33" s="598"/>
      <c r="CR33" s="597">
        <f>77978.3298140266*1000</f>
        <v>77978329.814026594</v>
      </c>
      <c r="CS33" s="616" t="s">
        <v>907</v>
      </c>
      <c r="CT33" s="637"/>
      <c r="CV33" s="629">
        <v>2018</v>
      </c>
      <c r="CW33" s="630"/>
      <c r="CX33" s="630"/>
      <c r="CY33" s="630"/>
      <c r="CZ33" s="630"/>
      <c r="DA33" s="631"/>
      <c r="DB33" s="602">
        <v>12295597168.7493</v>
      </c>
      <c r="DC33" s="96">
        <v>14242781391.0506</v>
      </c>
      <c r="DD33" s="96">
        <v>14960937951.183701</v>
      </c>
      <c r="DE33" s="96">
        <v>16766919057.5723</v>
      </c>
      <c r="DF33" s="601">
        <f>('Cuenta Ahorro-Inversión-Financi'!DB33+'Cuenta Ahorro-Inversión-Financi'!DC33+'Cuenta Ahorro-Inversión-Financi'!DD33+'Cuenta Ahorro-Inversión-Financi'!DE33)/4</f>
        <v>14566558892.138973</v>
      </c>
      <c r="DG33" s="455"/>
      <c r="DI33" s="455"/>
      <c r="DY33" s="1">
        <f t="shared" si="12"/>
        <v>2017</v>
      </c>
      <c r="EA33" s="28">
        <f t="shared" si="9"/>
        <v>142884469.71392998</v>
      </c>
      <c r="EB33" s="28">
        <f t="shared" si="10"/>
        <v>31623480.453609999</v>
      </c>
      <c r="EC33" s="455">
        <f>EA33/1000/'PIB corriente base 2004'!X21</f>
        <v>1.3422962788556531E-2</v>
      </c>
      <c r="ED33" s="455">
        <f>EB33/1000/'PIB corriente base 2004'!X21</f>
        <v>2.9707973317415659E-3</v>
      </c>
      <c r="EE33" s="455">
        <f t="shared" si="11"/>
        <v>1.6393760120298098E-2</v>
      </c>
    </row>
    <row r="34" spans="1:1025" ht="14.45" customHeight="1">
      <c r="A34" s="455">
        <f>AVERAGE('Cuenta Ahorro-Inversión-Financi'!A25:A32)</f>
        <v>8.4691357817952964E-2</v>
      </c>
      <c r="B34" s="455">
        <f>AVERAGE('Cuenta Ahorro-Inversión-Financi'!B25:B32)</f>
        <v>0.26239707670519252</v>
      </c>
      <c r="C34" s="455">
        <f>AVERAGE('Cuenta Ahorro-Inversión-Financi'!C25:C32)</f>
        <v>0.65177498166532066</v>
      </c>
      <c r="D34" s="455"/>
      <c r="E34" s="588" t="s">
        <v>908</v>
      </c>
      <c r="F34" s="604">
        <f>'Cuenta Ahorro-Inversión-Financi'!G34+'Cuenta Ahorro-Inversión-Financi'!R34+'Cuenta Ahorro-Inversión-Financi'!S34+'Cuenta Ahorro-Inversión-Financi'!W34+'Cuenta Ahorro-Inversión-Financi'!Z34</f>
        <v>1311048363.8691001</v>
      </c>
      <c r="G34" s="605">
        <f>'Cuenta Ahorro-Inversión-Financi'!H34+'Cuenta Ahorro-Inversión-Financi'!I34+'Cuenta Ahorro-Inversión-Financi'!J34+'Cuenta Ahorro-Inversión-Financi'!O34</f>
        <v>387779655.10095</v>
      </c>
      <c r="H34" s="611"/>
      <c r="I34" s="611"/>
      <c r="J34" s="611">
        <v>369916840.60095</v>
      </c>
      <c r="K34" s="638">
        <v>106984441.63282</v>
      </c>
      <c r="L34" s="612">
        <v>30341077.915800001</v>
      </c>
      <c r="M34" s="612"/>
      <c r="N34" s="612"/>
      <c r="O34" s="611">
        <f>17862814500/1000</f>
        <v>17862814.5</v>
      </c>
      <c r="P34" s="611">
        <v>6845924</v>
      </c>
      <c r="Q34" s="611">
        <v>11016890.5</v>
      </c>
      <c r="R34" s="611">
        <f>1442478893.57/1000</f>
        <v>1442478.8935699998</v>
      </c>
      <c r="S34" s="604">
        <f>T34+U34</f>
        <v>738595132.5424999</v>
      </c>
      <c r="T34" s="611">
        <f>738588101462.45/1000</f>
        <v>738588101.46244991</v>
      </c>
      <c r="U34" s="611">
        <f>7031080.05/1000</f>
        <v>7031.0800499999996</v>
      </c>
      <c r="V34" s="612"/>
      <c r="W34" s="611">
        <f>X34+Y34</f>
        <v>183231097.33208001</v>
      </c>
      <c r="X34" s="611">
        <f>8838814545.61/1000</f>
        <v>8838814.5456100013</v>
      </c>
      <c r="Y34" s="611">
        <f>174392282786.47/1000</f>
        <v>174392282.78647</v>
      </c>
      <c r="Z34" s="612"/>
      <c r="AA34" s="612"/>
      <c r="AB34" s="612"/>
      <c r="AC34" s="604">
        <f>AD34+AE34</f>
        <v>27323.32056</v>
      </c>
      <c r="AD34" s="612">
        <f>1160820.56/1000</f>
        <v>1160.8205600000001</v>
      </c>
      <c r="AE34" s="612">
        <f>26162500/1000</f>
        <v>26162.5</v>
      </c>
      <c r="AF34" s="604">
        <f>'Cuenta Ahorro-Inversión-Financi'!AC34+'Cuenta Ahorro-Inversión-Financi'!F34</f>
        <v>1311075687.1896601</v>
      </c>
      <c r="AG34" s="639">
        <f>382990766338.38/1000</f>
        <v>382990766.33837998</v>
      </c>
      <c r="AH34" s="607">
        <f>'Cálculo masa impuestos copartic'!X30*1000</f>
        <v>260430300.00000003</v>
      </c>
      <c r="AI34" s="607">
        <f>BF34</f>
        <v>8603980.0810000002</v>
      </c>
      <c r="AJ34" s="607">
        <v>0</v>
      </c>
      <c r="AK34" s="607">
        <f>4021642214/1000</f>
        <v>4021642.2140000002</v>
      </c>
      <c r="AL34" s="607">
        <f>678257489/1000</f>
        <v>678257.48899999994</v>
      </c>
      <c r="AM34" s="846">
        <f>'Cuenta Ahorro-Inversión-Financi'!AG34-('Cuenta Ahorro-Inversión-Financi'!AH34+'Cuenta Ahorro-Inversión-Financi'!AJ34+'Cuenta Ahorro-Inversión-Financi'!AK34+'Cuenta Ahorro-Inversión-Financi'!AL34)</f>
        <v>117860566.63537997</v>
      </c>
      <c r="AN34" s="846">
        <f>'Cuenta Ahorro-Inversión-Financi'!AH34-'Cuenta Ahorro-Inversión-Financi'!CG34+'Cuenta Ahorro-Inversión-Financi'!AJ34+'Cuenta Ahorro-Inversión-Financi'!AK34+'Cuenta Ahorro-Inversión-Financi'!AL34+AI34</f>
        <v>133167073.28025003</v>
      </c>
      <c r="AO34" s="846">
        <f>'Cuenta Ahorro-Inversión-Financi'!AN34</f>
        <v>133167073.28025003</v>
      </c>
      <c r="AP34" s="609" t="s">
        <v>909</v>
      </c>
      <c r="AQ34" s="640"/>
      <c r="AR34" s="640"/>
      <c r="AS34" s="641"/>
      <c r="AT34" s="641"/>
      <c r="AU34" s="641"/>
      <c r="AV34" s="610">
        <v>2018</v>
      </c>
      <c r="AW34" s="604">
        <f>'Cuenta Ahorro-Inversión-Financi'!AX34+'Cuenta Ahorro-Inversión-Financi'!BB34+'Cuenta Ahorro-Inversión-Financi'!BE34+'Cuenta Ahorro-Inversión-Financi'!BW34</f>
        <v>1401889393.6488202</v>
      </c>
      <c r="AX34" s="606">
        <f>'Cuenta Ahorro-Inversión-Financi'!AY34+'Cuenta Ahorro-Inversión-Financi'!AZ34</f>
        <v>21525462.734049998</v>
      </c>
      <c r="AY34" s="606">
        <f>16381281.80116</f>
        <v>16381281.80116</v>
      </c>
      <c r="AZ34" s="606">
        <f>(109201137.69+5034979795.2)/1000</f>
        <v>5144180.9328899998</v>
      </c>
      <c r="BA34" s="606"/>
      <c r="BB34" s="606">
        <f>65887508.52/1000</f>
        <v>65887.508520000003</v>
      </c>
      <c r="BC34" s="606"/>
      <c r="BD34" s="606"/>
      <c r="BE34" s="604">
        <f>1122621499164.77/1000</f>
        <v>1122621499.1647701</v>
      </c>
      <c r="BF34" s="604">
        <f>8603980081/1000</f>
        <v>8603980.0810000002</v>
      </c>
      <c r="BG34" s="604">
        <f>38198551272/1000</f>
        <v>38198551.272</v>
      </c>
      <c r="BH34" s="604"/>
      <c r="BI34" s="604"/>
      <c r="BJ34" s="604"/>
      <c r="BK34" s="606">
        <f>8240048329/1000</f>
        <v>8240048.3289999999</v>
      </c>
      <c r="BL34" s="606">
        <f>5025.51/1000</f>
        <v>5.0255100000000006</v>
      </c>
      <c r="BM34" s="606">
        <f>262376443944.28/1000</f>
        <v>262376443.94428</v>
      </c>
      <c r="BN34" s="607">
        <f>195535781874.51/1000</f>
        <v>195535781.87451002</v>
      </c>
      <c r="BO34" s="607">
        <f>66835065776.27/1000</f>
        <v>66835065.776269995</v>
      </c>
      <c r="BP34" s="607">
        <f>5596293.5/1000</f>
        <v>5596.2934999999998</v>
      </c>
      <c r="BQ34" s="607">
        <f>220656454453.54/1000</f>
        <v>220656454.45354</v>
      </c>
      <c r="BR34" s="607">
        <f>41041732001.94/1000</f>
        <v>41041732.001940005</v>
      </c>
      <c r="BS34" s="620"/>
      <c r="BT34" s="606"/>
      <c r="BU34" s="607">
        <v>678257.48880000005</v>
      </c>
      <c r="BV34" s="607">
        <f>AK34</f>
        <v>4021642.2140000002</v>
      </c>
      <c r="BW34" s="607">
        <f>'Cuenta Ahorro-Inversión-Financi'!BM34-'Cuenta Ahorro-Inversión-Financi'!BU34-'Cuenta Ahorro-Inversión-Financi'!BV34</f>
        <v>257676544.24148002</v>
      </c>
      <c r="BX34" s="607"/>
      <c r="BY34" s="604">
        <f>'Cuenta Ahorro-Inversión-Financi'!BZ34+'Cuenta Ahorro-Inversión-Financi'!CA34+'Cuenta Ahorro-Inversión-Financi'!CE34</f>
        <v>6272.3987100000004</v>
      </c>
      <c r="BZ34" s="607">
        <f>6272398.71/1000</f>
        <v>6272.3987100000004</v>
      </c>
      <c r="CA34" s="606"/>
      <c r="CB34" s="606"/>
      <c r="CC34" s="606"/>
      <c r="CD34" s="606"/>
      <c r="CE34" s="620"/>
      <c r="CF34" s="604">
        <f>'Cuenta Ahorro-Inversión-Financi'!BY34+'Cuenta Ahorro-Inversión-Financi'!AW34</f>
        <v>1401895666.0475302</v>
      </c>
      <c r="CG34" s="604">
        <f>140567106.50375</f>
        <v>140567106.50375</v>
      </c>
      <c r="CH34" s="604"/>
      <c r="CI34" s="604">
        <f>39299818.62715</f>
        <v>39299818.627149999</v>
      </c>
      <c r="CJ34" s="604">
        <f>88985224.60752+16300.0249</f>
        <v>89001524.632420003</v>
      </c>
      <c r="CK34" s="604">
        <f>140567106.50375-CJ34-CI34</f>
        <v>12265763.244179994</v>
      </c>
      <c r="CL34" s="604">
        <f>22662949946.06/1000</f>
        <v>22662949.946060002</v>
      </c>
      <c r="CM34" s="604">
        <f>5468244013.05/1000</f>
        <v>5468244.0130500002</v>
      </c>
      <c r="CN34" s="604">
        <f>'Cuenta Ahorro-Inversión-Financi'!F34-'Cuenta Ahorro-Inversión-Financi'!AW34</f>
        <v>-90841029.779720068</v>
      </c>
      <c r="CO34" s="606">
        <f>'Cuenta Ahorro-Inversión-Financi'!CN34+'Cuenta Ahorro-Inversión-Financi'!AC34-'Cuenta Ahorro-Inversión-Financi'!BY34</f>
        <v>-90819978.857870072</v>
      </c>
      <c r="CP34" s="606">
        <f>'Cuenta Ahorro-Inversión-Financi'!S34-'Cuenta Ahorro-Inversión-Financi'!BE34-'Cuenta Ahorro-Inversión-Financi'!BM34</f>
        <v>-646402810.56655025</v>
      </c>
      <c r="CQ34" s="606"/>
      <c r="CR34" s="606">
        <f>168141.7*1000</f>
        <v>168141700</v>
      </c>
      <c r="CS34" s="613" t="s">
        <v>907</v>
      </c>
      <c r="CT34" s="455"/>
      <c r="CU34" s="455"/>
      <c r="CV34" s="455"/>
      <c r="CW34" s="455"/>
      <c r="CX34" s="455"/>
      <c r="CY34" s="455"/>
      <c r="CZ34" s="455"/>
      <c r="DA34" s="455"/>
      <c r="DB34" s="455"/>
      <c r="DC34" s="455"/>
      <c r="DD34" s="455"/>
      <c r="DE34" s="455"/>
      <c r="DF34" s="455"/>
      <c r="DG34" s="455"/>
      <c r="DH34" s="455"/>
      <c r="DI34" s="455"/>
      <c r="DJ34" s="455"/>
      <c r="DK34" s="455"/>
      <c r="DL34" s="455"/>
      <c r="DM34" s="455"/>
      <c r="DN34" s="455"/>
      <c r="DY34" s="28"/>
      <c r="DZ34" s="28"/>
      <c r="EA34" s="455"/>
      <c r="EB34" s="455"/>
      <c r="EC34" s="455"/>
    </row>
    <row r="35" spans="1:1025" ht="14.45" customHeight="1">
      <c r="A35" s="455"/>
      <c r="B35" s="455"/>
      <c r="C35" s="455"/>
      <c r="D35" s="455"/>
      <c r="E35" s="588" t="s">
        <v>1137</v>
      </c>
      <c r="F35" s="589">
        <f>'Cuenta Ahorro-Inversión-Financi'!G35+'Cuenta Ahorro-Inversión-Financi'!R35+'Cuenta Ahorro-Inversión-Financi'!S35+'Cuenta Ahorro-Inversión-Financi'!W35+'Cuenta Ahorro-Inversión-Financi'!Z35</f>
        <v>1901140600</v>
      </c>
      <c r="G35" s="590">
        <f>559597.6*1000</f>
        <v>559597600</v>
      </c>
      <c r="H35" s="591"/>
      <c r="I35" s="591"/>
      <c r="J35" s="591"/>
      <c r="K35" s="626"/>
      <c r="L35" s="592"/>
      <c r="M35" s="626"/>
      <c r="N35" s="592"/>
      <c r="O35" s="591"/>
      <c r="P35" s="632"/>
      <c r="Q35" s="632"/>
      <c r="R35" s="591">
        <f>1776*1000</f>
        <v>1776000</v>
      </c>
      <c r="S35" s="589">
        <f>(1000311.2+30181)*1000</f>
        <v>1030492200</v>
      </c>
      <c r="T35" s="591"/>
      <c r="U35" s="592"/>
      <c r="V35" s="592"/>
      <c r="W35" s="591">
        <f>(122891+186383.8)*1000</f>
        <v>309274800</v>
      </c>
      <c r="X35" s="591"/>
      <c r="Y35" s="591"/>
      <c r="Z35" s="592"/>
      <c r="AA35" s="592"/>
      <c r="AB35" s="592"/>
      <c r="AC35" s="589">
        <f>1000*64241.7</f>
        <v>64241700</v>
      </c>
      <c r="AD35" s="633"/>
      <c r="AE35" s="592"/>
      <c r="AF35" s="633">
        <f>'Cuenta Ahorro-Inversión-Financi'!AC35+'Cuenta Ahorro-Inversión-Financi'!F35</f>
        <v>1965382300</v>
      </c>
      <c r="AG35" s="589">
        <f>720143.4*1000</f>
        <v>720143400</v>
      </c>
      <c r="AH35" s="592">
        <f>372410.1834225*1000</f>
        <v>372410183.42249995</v>
      </c>
      <c r="AI35" s="592">
        <f>(11365012053/1000)*4/3</f>
        <v>15153349.403999999</v>
      </c>
      <c r="AJ35" s="592">
        <v>0</v>
      </c>
      <c r="AK35" s="592">
        <f>3194273974*4/3/1000</f>
        <v>4259031.9653333332</v>
      </c>
      <c r="AL35" s="592">
        <v>0</v>
      </c>
      <c r="AM35" s="592">
        <f>'Cuenta Ahorro-Inversión-Financi'!AG35-('Cuenta Ahorro-Inversión-Financi'!AH35+'Cuenta Ahorro-Inversión-Financi'!AJ35+'Cuenta Ahorro-Inversión-Financi'!AK35+'Cuenta Ahorro-Inversión-Financi'!AL35)</f>
        <v>343474184.6121667</v>
      </c>
      <c r="AN35" s="592">
        <f>'Cuenta Ahorro-Inversión-Financi'!AH35-'Cuenta Ahorro-Inversión-Financi'!CG35+'Cuenta Ahorro-Inversión-Financi'!AJ35+'Cuenta Ahorro-Inversión-Financi'!AK35+'Cuenta Ahorro-Inversión-Financi'!AL35+AI35</f>
        <v>120298964.79183328</v>
      </c>
      <c r="AO35" s="592">
        <f>'Cuenta Ahorro-Inversión-Financi'!AN35</f>
        <v>120298964.79183328</v>
      </c>
      <c r="AP35" s="614" t="s">
        <v>912</v>
      </c>
      <c r="AQ35" s="634"/>
      <c r="AR35" s="634"/>
      <c r="AS35" s="641"/>
      <c r="AT35" s="641"/>
      <c r="AU35" s="641"/>
      <c r="AV35" s="610">
        <v>2019</v>
      </c>
      <c r="AW35" s="596">
        <f>'Cuenta Ahorro-Inversión-Financi'!AX35+'Cuenta Ahorro-Inversión-Financi'!BB35+'Cuenta Ahorro-Inversión-Financi'!BE35+'Cuenta Ahorro-Inversión-Financi'!BW35</f>
        <v>2078118400.0000002</v>
      </c>
      <c r="AX35" s="599">
        <f>26382.2*1000</f>
        <v>26382200</v>
      </c>
      <c r="AY35" s="597">
        <f>20633.3*1000</f>
        <v>20633300</v>
      </c>
      <c r="AZ35" s="597">
        <f>5748.9*1000</f>
        <v>5748900</v>
      </c>
      <c r="BA35" s="598"/>
      <c r="BB35" s="597"/>
      <c r="BC35" s="598"/>
      <c r="BD35" s="598"/>
      <c r="BE35" s="596">
        <f>(1675786.6+61618.1)*1000</f>
        <v>1737404700.0000002</v>
      </c>
      <c r="BF35" s="596">
        <f>AI35</f>
        <v>15153349.403999999</v>
      </c>
      <c r="BG35" s="596">
        <f>36294496364*4/3/1000</f>
        <v>48392661.818666667</v>
      </c>
      <c r="BH35" s="598"/>
      <c r="BI35" s="598"/>
      <c r="BJ35" s="598"/>
      <c r="BK35" s="597">
        <f>7751887161*4/3/1000</f>
        <v>10335849.548</v>
      </c>
      <c r="BL35" s="597"/>
      <c r="BM35" s="597">
        <f>314331.5*1000</f>
        <v>314331500</v>
      </c>
      <c r="BN35" s="598">
        <f>292446.8*1000</f>
        <v>292446800</v>
      </c>
      <c r="BO35" s="598">
        <f>BM35-BN35</f>
        <v>21884700</v>
      </c>
      <c r="BP35" s="598"/>
      <c r="BQ35" s="598"/>
      <c r="BR35" s="598"/>
      <c r="BS35" s="598"/>
      <c r="BT35" s="598"/>
      <c r="BU35" s="598"/>
      <c r="BV35" s="598"/>
      <c r="BW35" s="598">
        <f>'Cuenta Ahorro-Inversión-Financi'!BM35-'Cuenta Ahorro-Inversión-Financi'!BU35-'Cuenta Ahorro-Inversión-Financi'!BV35</f>
        <v>314331500</v>
      </c>
      <c r="BX35" s="598"/>
      <c r="BY35" s="596">
        <f>176.1*1000</f>
        <v>176100</v>
      </c>
      <c r="BZ35" s="598"/>
      <c r="CA35" s="598"/>
      <c r="CB35" s="598"/>
      <c r="CC35" s="598"/>
      <c r="CD35" s="598"/>
      <c r="CE35" s="598"/>
      <c r="CF35" s="596">
        <f>'Cuenta Ahorro-Inversión-Financi'!BY35+'Cuenta Ahorro-Inversión-Financi'!AW35</f>
        <v>2078294500.0000002</v>
      </c>
      <c r="CG35" s="596">
        <f>271523.6*1000</f>
        <v>271523600</v>
      </c>
      <c r="CH35" s="628"/>
      <c r="CI35" s="596">
        <f>71657.7*1000</f>
        <v>71657700</v>
      </c>
      <c r="CJ35" s="596"/>
      <c r="CK35" s="596"/>
      <c r="CL35" s="636">
        <f>57845.9*1000</f>
        <v>57845900</v>
      </c>
      <c r="CM35" s="636"/>
      <c r="CN35" s="628">
        <f>'Cuenta Ahorro-Inversión-Financi'!F35-'Cuenta Ahorro-Inversión-Financi'!AW35</f>
        <v>-176977800.00000024</v>
      </c>
      <c r="CO35" s="598">
        <f>'Cuenta Ahorro-Inversión-Financi'!CN35+'Cuenta Ahorro-Inversión-Financi'!AC35-'Cuenta Ahorro-Inversión-Financi'!BY35</f>
        <v>-112912200.00000024</v>
      </c>
      <c r="CP35" s="598">
        <f>'Cuenta Ahorro-Inversión-Financi'!S35-'Cuenta Ahorro-Inversión-Financi'!BE35-'Cuenta Ahorro-Inversión-Financi'!BM35</f>
        <v>-1021244000.0000002</v>
      </c>
      <c r="CQ35" s="598"/>
      <c r="CR35" s="597">
        <f>306424.71635524*1000</f>
        <v>306424716.35523999</v>
      </c>
      <c r="CS35" s="616" t="s">
        <v>916</v>
      </c>
      <c r="CT35" s="637"/>
      <c r="CU35" s="455"/>
      <c r="CV35" s="455"/>
      <c r="CW35" s="455"/>
      <c r="CX35" s="455"/>
      <c r="CY35" s="455"/>
      <c r="CZ35" s="455"/>
      <c r="DA35" s="455"/>
      <c r="DB35" s="455"/>
      <c r="DC35" s="455"/>
      <c r="DD35" s="455"/>
      <c r="DE35" s="455"/>
      <c r="DF35" s="455"/>
      <c r="DG35" s="455"/>
      <c r="DH35" s="455"/>
      <c r="DI35" s="455"/>
      <c r="DJ35" s="455"/>
      <c r="DK35" s="455"/>
      <c r="DL35" s="455"/>
      <c r="DM35" s="455"/>
      <c r="DN35" s="455"/>
      <c r="DO35" s="319"/>
      <c r="DP35" s="319"/>
      <c r="DQ35" s="319"/>
      <c r="DR35" s="319"/>
      <c r="DS35" s="319"/>
      <c r="DT35" s="319"/>
      <c r="DU35" s="319"/>
      <c r="DV35" s="319"/>
      <c r="DW35" s="319"/>
      <c r="DX35" s="319"/>
      <c r="DY35" s="28"/>
      <c r="DZ35" s="28"/>
      <c r="EA35" s="455"/>
      <c r="EB35" s="455"/>
      <c r="EC35" s="455"/>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c r="HX35" s="319"/>
      <c r="HY35" s="319"/>
      <c r="HZ35" s="319"/>
      <c r="IA35" s="319"/>
      <c r="IB35" s="319"/>
      <c r="IC35" s="319"/>
      <c r="ID35" s="319"/>
      <c r="IE35" s="319"/>
      <c r="IF35" s="319"/>
      <c r="IG35" s="319"/>
      <c r="IH35" s="319"/>
      <c r="II35" s="319"/>
      <c r="IJ35" s="319"/>
      <c r="IK35" s="319"/>
      <c r="IL35" s="319"/>
      <c r="IM35" s="319"/>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c r="MV35" s="319"/>
      <c r="MW35" s="319"/>
      <c r="MX35" s="319"/>
      <c r="MY35" s="319"/>
      <c r="MZ35" s="319"/>
      <c r="NA35" s="319"/>
      <c r="NB35" s="319"/>
      <c r="NC35" s="319"/>
      <c r="ND35" s="319"/>
      <c r="NE35" s="319"/>
      <c r="NF35" s="319"/>
      <c r="NG35" s="319"/>
      <c r="NH35" s="319"/>
      <c r="NI35" s="319"/>
      <c r="NJ35" s="319"/>
      <c r="NK35" s="319"/>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c r="RT35" s="319"/>
      <c r="RU35" s="319"/>
      <c r="RV35" s="319"/>
      <c r="RW35" s="319"/>
      <c r="RX35" s="319"/>
      <c r="RY35" s="319"/>
      <c r="RZ35" s="319"/>
      <c r="SA35" s="319"/>
      <c r="SB35" s="319"/>
      <c r="SC35" s="319"/>
      <c r="SD35" s="319"/>
      <c r="SE35" s="319"/>
      <c r="SF35" s="319"/>
      <c r="SG35" s="319"/>
      <c r="SH35" s="319"/>
      <c r="SI35" s="319"/>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c r="WR35" s="319"/>
      <c r="WS35" s="319"/>
      <c r="WT35" s="319"/>
      <c r="WU35" s="319"/>
      <c r="WV35" s="319"/>
      <c r="WW35" s="319"/>
      <c r="WX35" s="319"/>
      <c r="WY35" s="319"/>
      <c r="WZ35" s="319"/>
      <c r="XA35" s="319"/>
      <c r="XB35" s="319"/>
      <c r="XC35" s="319"/>
      <c r="XD35" s="319"/>
      <c r="XE35" s="319"/>
      <c r="XF35" s="319"/>
      <c r="XG35" s="319"/>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c r="ABP35" s="319"/>
      <c r="ABQ35" s="319"/>
      <c r="ABR35" s="319"/>
      <c r="ABS35" s="319"/>
      <c r="ABT35" s="319"/>
      <c r="ABU35" s="319"/>
      <c r="ABV35" s="319"/>
      <c r="ABW35" s="319"/>
      <c r="ABX35" s="319"/>
      <c r="ABY35" s="319"/>
      <c r="ABZ35" s="319"/>
      <c r="ACA35" s="319"/>
      <c r="ACB35" s="319"/>
      <c r="ACC35" s="319"/>
      <c r="ACD35" s="319"/>
      <c r="ACE35" s="319"/>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c r="AGN35" s="319"/>
      <c r="AGO35" s="319"/>
      <c r="AGP35" s="319"/>
      <c r="AGQ35" s="319"/>
      <c r="AGR35" s="319"/>
      <c r="AGS35" s="319"/>
      <c r="AGT35" s="319"/>
      <c r="AGU35" s="319"/>
      <c r="AGV35" s="319"/>
      <c r="AGW35" s="319"/>
      <c r="AGX35" s="319"/>
      <c r="AGY35" s="319"/>
      <c r="AGZ35" s="319"/>
      <c r="AHA35" s="319"/>
      <c r="AHB35" s="319"/>
      <c r="AHC35" s="319"/>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c r="ALL35" s="319"/>
      <c r="ALM35" s="319"/>
      <c r="ALN35" s="319"/>
      <c r="ALO35" s="319"/>
      <c r="ALP35" s="319"/>
      <c r="ALQ35" s="319"/>
      <c r="ALR35" s="319"/>
      <c r="ALS35" s="319"/>
      <c r="ALT35" s="319"/>
      <c r="ALU35" s="319"/>
      <c r="ALV35" s="319"/>
      <c r="ALW35" s="319"/>
      <c r="ALX35" s="319"/>
      <c r="ALY35" s="319"/>
      <c r="ALZ35" s="319"/>
      <c r="AMA35" s="319"/>
      <c r="AMB35" s="319"/>
      <c r="AMC35" s="319"/>
      <c r="AMD35" s="319"/>
      <c r="AME35" s="319"/>
      <c r="AMF35" s="319"/>
      <c r="AMG35" s="319"/>
      <c r="AMH35" s="319"/>
      <c r="AMI35" s="319"/>
      <c r="AMJ35" s="319"/>
      <c r="AMK35" s="319"/>
    </row>
    <row r="36" spans="1:1025" ht="15.75" customHeight="1">
      <c r="C36" s="1">
        <v>29081800</v>
      </c>
      <c r="D36" s="455"/>
      <c r="E36" s="455"/>
      <c r="F36" s="642">
        <f>F32-786538325066.52/1000</f>
        <v>14118972.081090093</v>
      </c>
      <c r="G36" s="642">
        <f>F36-I32+V75/1000-CM33</f>
        <v>-88427544.639939904</v>
      </c>
      <c r="H36" s="455"/>
      <c r="I36" s="455"/>
      <c r="J36" s="455">
        <f>K36/'PIB corriente base 2004'!X22/1000</f>
        <v>1.5967485716743356E-2</v>
      </c>
      <c r="K36" s="28">
        <f>J34-K34-L34</f>
        <v>232591321.05232999</v>
      </c>
      <c r="L36" s="455"/>
      <c r="M36" s="455"/>
      <c r="N36" s="455"/>
      <c r="O36" s="455"/>
      <c r="P36" s="643"/>
      <c r="Q36" s="455"/>
      <c r="R36" s="455"/>
      <c r="S36" s="455"/>
      <c r="T36" s="844"/>
      <c r="U36" s="455" t="s">
        <v>910</v>
      </c>
      <c r="V36" s="644">
        <v>15554.1</v>
      </c>
      <c r="W36" s="455" t="s">
        <v>911</v>
      </c>
      <c r="X36" s="642">
        <f>W34+(Y36+Z36)/1000</f>
        <v>183258420.65264001</v>
      </c>
      <c r="Y36" s="576">
        <v>26162500</v>
      </c>
      <c r="Z36" s="576">
        <v>1160820.56</v>
      </c>
      <c r="AA36" s="455"/>
      <c r="AB36" s="455"/>
      <c r="AC36" s="455"/>
      <c r="AD36" s="455"/>
      <c r="AE36" s="455"/>
      <c r="AF36" s="455"/>
      <c r="AG36" s="455"/>
      <c r="AH36" s="455"/>
      <c r="AI36" s="455"/>
      <c r="AJ36" s="455"/>
      <c r="AK36" s="455"/>
      <c r="AL36" s="455"/>
      <c r="AM36" s="455"/>
      <c r="AN36" s="455"/>
      <c r="AO36" s="455"/>
      <c r="AP36" s="640" t="s">
        <v>912</v>
      </c>
      <c r="AQ36" s="455"/>
      <c r="AR36" s="455"/>
      <c r="AS36" s="455"/>
      <c r="AT36" s="455"/>
      <c r="AU36" s="455"/>
      <c r="AV36" s="644" t="s">
        <v>913</v>
      </c>
      <c r="AW36" s="645"/>
      <c r="AX36" s="645"/>
      <c r="AY36" s="645"/>
      <c r="AZ36" s="644"/>
      <c r="BA36" s="644"/>
      <c r="BB36" s="455"/>
      <c r="BC36" s="455"/>
      <c r="BD36" s="455"/>
      <c r="BE36" s="803"/>
      <c r="BF36" s="646"/>
      <c r="BG36" s="455"/>
      <c r="BH36" s="455"/>
      <c r="BI36" s="455"/>
      <c r="BJ36" s="847">
        <v>7751887161</v>
      </c>
      <c r="BK36" s="803">
        <v>314331.5</v>
      </c>
      <c r="BL36" s="647" t="s">
        <v>914</v>
      </c>
      <c r="BM36" s="648">
        <v>19171.5</v>
      </c>
      <c r="BN36" s="455" t="s">
        <v>915</v>
      </c>
      <c r="BO36" s="645">
        <v>2016</v>
      </c>
      <c r="BP36" s="645">
        <v>2017</v>
      </c>
      <c r="BQ36" s="455"/>
      <c r="BR36" s="455"/>
      <c r="BS36" s="455"/>
      <c r="BT36" s="455"/>
      <c r="BU36" s="455"/>
      <c r="BV36" s="455"/>
      <c r="BW36" s="455"/>
      <c r="BX36" s="455"/>
      <c r="BY36" s="455"/>
      <c r="BZ36" s="455"/>
      <c r="CA36" s="455"/>
      <c r="CB36" s="455"/>
      <c r="CC36" s="455"/>
      <c r="CD36" s="455"/>
      <c r="CE36" s="455"/>
      <c r="CF36" s="455"/>
      <c r="CG36" s="455"/>
      <c r="CH36" s="644"/>
      <c r="CI36" s="455"/>
      <c r="CJ36" s="455"/>
      <c r="CK36" s="455"/>
      <c r="CL36" s="848"/>
      <c r="CM36" s="455"/>
      <c r="CN36" s="455"/>
      <c r="CO36" s="455"/>
      <c r="CP36" s="455"/>
      <c r="CQ36" s="455"/>
      <c r="CR36" s="455"/>
      <c r="CT36" s="455"/>
      <c r="CU36" s="455"/>
      <c r="CV36" s="455"/>
      <c r="CW36" s="455"/>
      <c r="CX36" s="455"/>
      <c r="CY36" s="455"/>
      <c r="CZ36" s="455"/>
      <c r="DA36" s="455"/>
      <c r="DB36" s="455"/>
      <c r="DC36" s="455"/>
      <c r="DD36" s="455"/>
      <c r="DE36" s="455"/>
      <c r="DF36" s="455"/>
      <c r="DG36" s="455"/>
      <c r="DH36" s="455"/>
      <c r="DI36" s="455"/>
      <c r="DJ36" s="455"/>
      <c r="DK36" s="455"/>
      <c r="DV36" s="28"/>
      <c r="DW36" s="28"/>
      <c r="DX36" s="455"/>
      <c r="DY36" s="455"/>
      <c r="DZ36" s="455"/>
    </row>
    <row r="37" spans="1:1025" ht="37.700000000000003" customHeight="1">
      <c r="C37" s="1">
        <f>C36+I32+I33</f>
        <v>177423237.66518</v>
      </c>
      <c r="D37" s="455"/>
      <c r="E37" s="455"/>
      <c r="F37" s="642">
        <f>F33-1075040748738.2/1000</f>
        <v>-100781422.12785995</v>
      </c>
      <c r="G37" s="642">
        <f>F37-I33+V76/1000-CM34</f>
        <v>-109600981.11589995</v>
      </c>
      <c r="H37" s="455"/>
      <c r="I37" s="455"/>
      <c r="J37" s="455"/>
      <c r="K37" s="455" t="s">
        <v>862</v>
      </c>
      <c r="L37" s="455"/>
      <c r="M37" s="455"/>
      <c r="N37" s="455"/>
      <c r="O37" s="455"/>
      <c r="P37" s="643"/>
      <c r="Q37" s="455"/>
      <c r="R37" s="455"/>
      <c r="S37" s="649"/>
      <c r="T37" s="649"/>
      <c r="U37" s="455" t="s">
        <v>917</v>
      </c>
      <c r="V37" s="650">
        <v>42342</v>
      </c>
      <c r="W37" s="455" t="s">
        <v>918</v>
      </c>
      <c r="X37" s="650">
        <v>7446.4</v>
      </c>
      <c r="Y37" s="455"/>
      <c r="Z37" s="651">
        <f>Y36+Z36</f>
        <v>27323320.559999999</v>
      </c>
      <c r="AA37" s="455"/>
      <c r="AB37" s="455"/>
      <c r="AC37" s="455"/>
      <c r="AD37" s="455"/>
      <c r="AE37" s="455"/>
      <c r="AF37" s="455"/>
      <c r="AG37" s="455"/>
      <c r="AH37" s="455"/>
      <c r="AI37" s="652"/>
      <c r="AJ37" s="576"/>
      <c r="AK37" s="455"/>
      <c r="AL37" s="455"/>
      <c r="AM37" s="455"/>
      <c r="AN37" s="455"/>
      <c r="AO37" s="455"/>
      <c r="AP37" s="455"/>
      <c r="AQ37" s="455"/>
      <c r="AR37" s="455"/>
      <c r="AS37" s="455"/>
      <c r="AT37" s="455"/>
      <c r="AU37" s="455"/>
      <c r="AV37" s="653"/>
      <c r="AW37" s="644"/>
      <c r="AX37" s="645"/>
      <c r="AY37" s="645"/>
      <c r="AZ37" s="654"/>
      <c r="BA37" s="655"/>
      <c r="BB37" s="656"/>
      <c r="BC37" s="657"/>
      <c r="BD37" s="455"/>
      <c r="BE37" s="455"/>
      <c r="BF37" s="455"/>
      <c r="BG37" s="804"/>
      <c r="BH37" s="645"/>
      <c r="BI37" s="455"/>
      <c r="BJ37" s="455"/>
      <c r="BK37" s="455"/>
      <c r="BL37" s="656">
        <v>10845031919</v>
      </c>
      <c r="BM37" s="645">
        <f>BL37/1000+BR33</f>
        <v>42468512.372610003</v>
      </c>
      <c r="BN37" s="310">
        <f>66815.9+60115.6+11370.4+3609.4+8156.9+3369.7+1210.4</f>
        <v>154648.29999999999</v>
      </c>
      <c r="BO37" s="658">
        <v>19171.460375809998</v>
      </c>
      <c r="BP37" s="650">
        <v>10845.031918999999</v>
      </c>
      <c r="BQ37" s="455"/>
      <c r="BR37" s="455"/>
      <c r="BS37" s="455"/>
      <c r="BT37" s="455"/>
      <c r="BU37" s="576"/>
      <c r="BV37" s="455"/>
      <c r="BW37" s="455"/>
      <c r="BX37" s="455"/>
      <c r="BY37" s="455"/>
      <c r="BZ37" s="455"/>
      <c r="CA37" s="455"/>
      <c r="CB37" s="455"/>
      <c r="CC37" s="455"/>
      <c r="CD37" s="455"/>
      <c r="CE37" s="455"/>
      <c r="CF37" s="455"/>
      <c r="CG37" s="455">
        <f>CG34/DF33</f>
        <v>9.6499871757363912E-3</v>
      </c>
      <c r="CH37" s="644">
        <f>CI33+CK33</f>
        <v>43065448.806089997</v>
      </c>
      <c r="CI37" s="455"/>
      <c r="CJ37" s="455"/>
      <c r="CK37" s="455"/>
      <c r="CL37" s="455"/>
      <c r="CM37" s="455"/>
      <c r="CN37" s="455"/>
      <c r="CO37" s="455"/>
      <c r="CP37" s="455"/>
      <c r="CQ37" s="455"/>
      <c r="CR37" s="455"/>
      <c r="CS37" s="455"/>
      <c r="CT37" s="455"/>
      <c r="CU37" s="455"/>
      <c r="CV37" s="455"/>
      <c r="CW37" s="455"/>
      <c r="CX37" s="455"/>
      <c r="CY37" s="455"/>
      <c r="CZ37" s="455"/>
      <c r="DA37" s="644">
        <f>DF33*0.004</f>
        <v>58266235.568555892</v>
      </c>
      <c r="DB37" s="455">
        <f>DC37/DF32</f>
        <v>3.9079209240223158E-3</v>
      </c>
      <c r="DC37" s="645">
        <v>41598953.80094</v>
      </c>
      <c r="DD37" s="455"/>
      <c r="DE37" s="455"/>
      <c r="DF37" s="455"/>
      <c r="DG37" s="455"/>
      <c r="DH37" s="455"/>
      <c r="DI37" s="455"/>
      <c r="DJ37" s="455"/>
      <c r="DK37" s="455"/>
      <c r="DV37" s="28"/>
      <c r="DW37" s="28"/>
      <c r="DX37" s="455"/>
      <c r="DY37" s="455"/>
      <c r="DZ37" s="455"/>
    </row>
    <row r="38" spans="1:1025" ht="15.75" customHeight="1">
      <c r="C38" s="28">
        <v>72883834.412753299</v>
      </c>
      <c r="D38" s="455"/>
      <c r="E38" s="455"/>
      <c r="F38" s="455"/>
      <c r="G38" s="455"/>
      <c r="H38" s="455">
        <f>F42+G42+H42</f>
        <v>5.8134750471197677E-2</v>
      </c>
      <c r="I38" s="455"/>
      <c r="J38" s="455"/>
      <c r="K38" s="455"/>
      <c r="L38" s="455"/>
      <c r="M38" s="455"/>
      <c r="N38" s="455"/>
      <c r="O38" s="455"/>
      <c r="P38" s="455"/>
      <c r="Q38" s="455"/>
      <c r="R38" s="455"/>
      <c r="S38" s="455"/>
      <c r="T38" s="455"/>
      <c r="U38" s="455" t="s">
        <v>919</v>
      </c>
      <c r="V38" s="650">
        <v>54097.3</v>
      </c>
      <c r="W38" s="455" t="s">
        <v>920</v>
      </c>
      <c r="X38" s="650">
        <v>12650.5</v>
      </c>
      <c r="Y38" s="644">
        <f>(SUM(X36:X39)+SUM(V36:V39))*1000</f>
        <v>183426412152.64005</v>
      </c>
      <c r="Z38" s="455"/>
      <c r="AA38" s="455"/>
      <c r="AB38" s="455"/>
      <c r="AC38" s="455"/>
      <c r="AD38" s="455"/>
      <c r="AE38" s="455"/>
      <c r="AF38" s="455"/>
      <c r="AG38" s="455"/>
      <c r="AH38" s="455"/>
      <c r="AI38" s="455"/>
      <c r="AJ38" s="455"/>
      <c r="AK38" s="455"/>
      <c r="AL38" s="455"/>
      <c r="AM38" s="455"/>
      <c r="AN38" s="815"/>
      <c r="AO38" s="814" t="s">
        <v>921</v>
      </c>
      <c r="AP38" s="814" t="s">
        <v>922</v>
      </c>
      <c r="AQ38" s="814" t="s">
        <v>923</v>
      </c>
      <c r="AR38" s="814" t="s">
        <v>924</v>
      </c>
      <c r="AS38" s="814" t="s">
        <v>925</v>
      </c>
      <c r="AT38" s="814" t="s">
        <v>926</v>
      </c>
      <c r="AU38" s="814" t="s">
        <v>927</v>
      </c>
      <c r="AV38" s="814" t="s">
        <v>928</v>
      </c>
      <c r="AW38" s="814" t="s">
        <v>929</v>
      </c>
      <c r="AX38" s="814" t="s">
        <v>930</v>
      </c>
      <c r="AY38" s="814" t="s">
        <v>931</v>
      </c>
      <c r="AZ38" s="814" t="s">
        <v>932</v>
      </c>
      <c r="BA38" s="645"/>
      <c r="BB38" s="455"/>
      <c r="BC38" s="455"/>
      <c r="BD38" s="455"/>
      <c r="BE38" s="455"/>
      <c r="BF38" s="455"/>
      <c r="BG38" s="455"/>
      <c r="BH38" s="455"/>
      <c r="BI38" s="455"/>
      <c r="BJ38" s="455"/>
      <c r="BK38" s="455"/>
      <c r="BL38" s="645"/>
      <c r="BM38" s="644">
        <f>BL37+BR33-BM37</f>
        <v>10834186887.080999</v>
      </c>
      <c r="BN38" s="455"/>
      <c r="BO38" s="455"/>
      <c r="BP38" s="455"/>
      <c r="BQ38" s="455"/>
      <c r="BR38" s="455"/>
      <c r="BS38" s="455"/>
      <c r="BT38" s="455"/>
      <c r="BU38" s="455"/>
      <c r="BV38" s="455"/>
      <c r="BW38" s="455"/>
      <c r="BX38" s="455"/>
      <c r="BY38" s="455"/>
      <c r="BZ38" s="455"/>
      <c r="CA38" s="455"/>
      <c r="CB38" s="455"/>
      <c r="CC38" s="455"/>
      <c r="CD38" s="455"/>
      <c r="CE38" s="455"/>
      <c r="CF38" s="455"/>
      <c r="CG38" s="455"/>
      <c r="CH38" s="455"/>
      <c r="CI38" s="455"/>
      <c r="CJ38" s="455"/>
      <c r="CK38" s="455"/>
      <c r="CL38" s="455"/>
      <c r="CM38" s="455"/>
      <c r="CN38" s="455"/>
      <c r="CO38" s="455"/>
      <c r="CP38" s="455"/>
      <c r="CQ38" s="659"/>
      <c r="CR38" s="455"/>
      <c r="CS38" s="455"/>
      <c r="CT38" s="455"/>
      <c r="CU38" s="455"/>
      <c r="CV38" s="455"/>
      <c r="CW38" s="455"/>
      <c r="CX38" s="455"/>
      <c r="CY38" s="455"/>
      <c r="CZ38" s="455"/>
      <c r="DA38" s="455"/>
      <c r="DB38" s="455"/>
      <c r="DC38" s="455"/>
      <c r="DD38" s="455"/>
      <c r="DE38" s="455"/>
      <c r="DF38" s="455"/>
      <c r="DG38" s="455"/>
      <c r="DH38" s="455"/>
      <c r="DI38" s="455"/>
      <c r="DJ38" s="455"/>
      <c r="DK38" s="455"/>
      <c r="DV38" s="28"/>
      <c r="DW38" s="28"/>
      <c r="DX38" s="455"/>
      <c r="DY38" s="455"/>
      <c r="DZ38" s="455"/>
    </row>
    <row r="39" spans="1:1025" ht="15.75" customHeight="1">
      <c r="C39" s="28">
        <f>C37-C38</f>
        <v>104539403.2524267</v>
      </c>
      <c r="E39" s="660">
        <v>26370.9</v>
      </c>
      <c r="F39" s="1">
        <f>E39*1000+I32+I33</f>
        <v>174712337.66518</v>
      </c>
      <c r="G39" s="1" t="s">
        <v>933</v>
      </c>
      <c r="I39" s="28"/>
      <c r="J39" s="28">
        <v>73864460.879209593</v>
      </c>
      <c r="K39" s="661">
        <v>1000</v>
      </c>
      <c r="L39" s="661">
        <f>'Cuenta Ahorro-Inversión-Financi'!H33+'Cuenta Ahorro-Inversión-Financi'!J33+'Cuenta Ahorro-Inversión-Financi'!O33</f>
        <v>226336866.88777998</v>
      </c>
      <c r="M39" s="662"/>
      <c r="N39" s="649" t="s">
        <v>934</v>
      </c>
      <c r="O39" s="649"/>
      <c r="U39" s="162" t="s">
        <v>935</v>
      </c>
      <c r="V39" s="663">
        <v>12612.9</v>
      </c>
      <c r="W39" s="664" t="s">
        <v>936</v>
      </c>
      <c r="X39" s="650">
        <v>23288.3</v>
      </c>
      <c r="AB39" s="1" t="s">
        <v>937</v>
      </c>
      <c r="AN39" s="815"/>
      <c r="AO39" s="814"/>
      <c r="AP39" s="814"/>
      <c r="AQ39" s="814"/>
      <c r="AR39" s="814"/>
      <c r="AS39" s="814"/>
      <c r="AT39" s="814"/>
      <c r="AU39" s="814"/>
      <c r="AV39" s="814"/>
      <c r="AW39" s="814"/>
      <c r="AX39" s="814"/>
      <c r="AY39" s="814"/>
      <c r="AZ39" s="814"/>
      <c r="BC39" s="665"/>
      <c r="BJ39" s="1">
        <f>BO31+BP31+BN31</f>
        <v>92783271.815600008</v>
      </c>
      <c r="BK39" s="1">
        <v>124211453.686</v>
      </c>
      <c r="BL39" s="645">
        <f>BK39+BO32+BP32+BR32</f>
        <v>167993739.75097999</v>
      </c>
      <c r="BM39" s="1">
        <v>142881993.528</v>
      </c>
      <c r="BN39" s="455"/>
      <c r="BO39" s="310">
        <f>31623.5 +10845 +5017.6</f>
        <v>47486.1</v>
      </c>
      <c r="BP39" s="455"/>
      <c r="BQ39" s="455"/>
      <c r="BR39" s="455"/>
      <c r="BS39" s="455"/>
      <c r="BT39" s="455"/>
      <c r="BU39" s="455"/>
      <c r="BX39" s="1" t="s">
        <v>938</v>
      </c>
      <c r="CE39" s="455"/>
      <c r="CV39" s="28"/>
      <c r="CW39" s="28"/>
      <c r="CX39" s="28"/>
      <c r="CY39" s="455">
        <f>(DE32-DB29)/DB29</f>
        <v>1.9863594738365438</v>
      </c>
      <c r="CZ39" s="455">
        <f>(DF32-DF29)/DF29</f>
        <v>1.3246512099268151</v>
      </c>
      <c r="DA39" s="28"/>
      <c r="DB39" s="28"/>
      <c r="DC39" s="28"/>
      <c r="DV39" s="28"/>
      <c r="DW39" s="28"/>
    </row>
    <row r="40" spans="1:1025" ht="15.75" customHeight="1">
      <c r="D40" s="455">
        <f>C36/(I32-7076808)</f>
        <v>0.30150958412479018</v>
      </c>
      <c r="E40" s="810" t="s">
        <v>775</v>
      </c>
      <c r="F40" s="851" t="s">
        <v>939</v>
      </c>
      <c r="G40" s="851" t="s">
        <v>940</v>
      </c>
      <c r="H40" s="851" t="s">
        <v>941</v>
      </c>
      <c r="I40" s="851" t="s">
        <v>942</v>
      </c>
      <c r="J40" s="851" t="s">
        <v>943</v>
      </c>
      <c r="K40" s="851" t="s">
        <v>944</v>
      </c>
      <c r="L40" s="851" t="s">
        <v>945</v>
      </c>
      <c r="M40" s="851" t="s">
        <v>946</v>
      </c>
      <c r="N40" s="852" t="s">
        <v>947</v>
      </c>
      <c r="O40" s="852" t="s">
        <v>948</v>
      </c>
      <c r="Q40" s="810" t="s">
        <v>775</v>
      </c>
      <c r="R40" s="812" t="s">
        <v>949</v>
      </c>
      <c r="S40" s="812" t="s">
        <v>950</v>
      </c>
      <c r="T40" s="812" t="s">
        <v>951</v>
      </c>
      <c r="U40" s="812" t="s">
        <v>952</v>
      </c>
      <c r="V40" s="812" t="s">
        <v>953</v>
      </c>
      <c r="W40" s="812" t="s">
        <v>954</v>
      </c>
      <c r="X40" s="812" t="s">
        <v>955</v>
      </c>
      <c r="Y40" s="812" t="s">
        <v>956</v>
      </c>
      <c r="Z40" s="813" t="s">
        <v>957</v>
      </c>
      <c r="AA40" s="813" t="s">
        <v>958</v>
      </c>
      <c r="AC40" s="810" t="s">
        <v>775</v>
      </c>
      <c r="AD40" s="808" t="s">
        <v>959</v>
      </c>
      <c r="AE40" s="808" t="s">
        <v>960</v>
      </c>
      <c r="AF40" s="808" t="s">
        <v>961</v>
      </c>
      <c r="AG40" s="808" t="s">
        <v>962</v>
      </c>
      <c r="AH40" s="808" t="s">
        <v>963</v>
      </c>
      <c r="AI40" s="808" t="s">
        <v>964</v>
      </c>
      <c r="AJ40" s="808" t="s">
        <v>965</v>
      </c>
      <c r="AK40" s="417"/>
      <c r="AL40" s="417"/>
      <c r="AN40" s="815"/>
      <c r="AO40" s="814"/>
      <c r="AP40" s="814"/>
      <c r="AQ40" s="814"/>
      <c r="AR40" s="814"/>
      <c r="AS40" s="814"/>
      <c r="AT40" s="814"/>
      <c r="AU40" s="814"/>
      <c r="AV40" s="814"/>
      <c r="AW40" s="814"/>
      <c r="AX40" s="814"/>
      <c r="AY40" s="814"/>
      <c r="AZ40" s="814"/>
      <c r="BB40" s="1" t="s">
        <v>966</v>
      </c>
      <c r="BC40" s="1" t="s">
        <v>967</v>
      </c>
      <c r="BG40" s="455">
        <f>('Cuenta Ahorro-Inversión-Financi'!BE31-'Cuenta Ahorro-Inversión-Financi'!AY39)/'PIB corriente base 2004'!X19/1000</f>
        <v>7.2790476203542828E-2</v>
      </c>
      <c r="BH40" s="455"/>
      <c r="BJ40" s="1">
        <f>BO32+BP32+BN32</f>
        <v>167993739.7493</v>
      </c>
      <c r="BK40" s="1">
        <f>SUM(BJ42:BM42)</f>
        <v>0</v>
      </c>
      <c r="BL40" s="661">
        <v>7072.1</v>
      </c>
      <c r="BN40" s="455"/>
      <c r="BO40" s="455"/>
      <c r="BP40" s="455"/>
      <c r="BQ40" s="455"/>
      <c r="BR40" s="455"/>
      <c r="BS40" s="455"/>
      <c r="BT40" s="455"/>
      <c r="BU40" s="455"/>
      <c r="CC40" s="1" t="s">
        <v>968</v>
      </c>
      <c r="CX40" s="455"/>
      <c r="CY40" s="455"/>
      <c r="CZ40" s="28">
        <f>DE32*100/DA41</f>
        <v>5824332476.7476997</v>
      </c>
      <c r="DA40" s="28"/>
      <c r="DB40" s="310">
        <v>95988816</v>
      </c>
      <c r="DC40" s="455">
        <f>DB40/DF32</f>
        <v>9.0174552060501966E-3</v>
      </c>
      <c r="DD40" s="455"/>
      <c r="DE40" s="455"/>
    </row>
    <row r="41" spans="1:1025" ht="15.75" customHeight="1">
      <c r="D41" s="666">
        <v>99898227.856000006</v>
      </c>
      <c r="E41" s="810"/>
      <c r="F41" s="851"/>
      <c r="G41" s="851"/>
      <c r="H41" s="851"/>
      <c r="I41" s="851"/>
      <c r="J41" s="851"/>
      <c r="K41" s="851"/>
      <c r="L41" s="851"/>
      <c r="M41" s="851"/>
      <c r="N41" s="852"/>
      <c r="O41" s="852"/>
      <c r="Q41" s="810"/>
      <c r="R41" s="812"/>
      <c r="S41" s="812"/>
      <c r="T41" s="812"/>
      <c r="U41" s="812"/>
      <c r="V41" s="812"/>
      <c r="W41" s="812"/>
      <c r="X41" s="812"/>
      <c r="Y41" s="812"/>
      <c r="Z41" s="813"/>
      <c r="AA41" s="813"/>
      <c r="AC41" s="810"/>
      <c r="AD41" s="808"/>
      <c r="AE41" s="808"/>
      <c r="AF41" s="808"/>
      <c r="AG41" s="808"/>
      <c r="AH41" s="808"/>
      <c r="AI41" s="808"/>
      <c r="AJ41" s="808"/>
      <c r="AK41" s="417"/>
      <c r="AL41" s="417"/>
      <c r="AN41" s="815"/>
      <c r="AO41" s="814"/>
      <c r="AP41" s="814"/>
      <c r="AQ41" s="814"/>
      <c r="AR41" s="814"/>
      <c r="AS41" s="814"/>
      <c r="AT41" s="814"/>
      <c r="AU41" s="814"/>
      <c r="AV41" s="814"/>
      <c r="AW41" s="814"/>
      <c r="AX41" s="814"/>
      <c r="AY41" s="814"/>
      <c r="AZ41" s="814"/>
      <c r="BG41" s="455">
        <f>('Cuenta Ahorro-Inversión-Financi'!AY39-'Cuenta Ahorro-Inversión-Financi'!BG40)/1000/'PIB corriente base 2004'!X19</f>
        <v>-1.2224425730113528E-11</v>
      </c>
      <c r="BH41" s="455"/>
      <c r="BI41" s="28">
        <f>'Cuenta Ahorro-Inversión-Financi'!BM33+'Cuenta Ahorro-Inversión-Financi'!BR33</f>
        <v>233765456.47951001</v>
      </c>
      <c r="BJ41" s="28">
        <f>BO33+BP33+BR33+BN33</f>
        <v>233765456.47951001</v>
      </c>
      <c r="BK41" s="28">
        <f>'Cuenta Ahorro-Inversión-Financi'!BI40-'Cuenta Ahorro-Inversión-Financi'!BP33-'Cuenta Ahorro-Inversión-Financi'!BO33-'Cuenta Ahorro-Inversión-Financi'!BR33</f>
        <v>-79114731.056579992</v>
      </c>
      <c r="BL41" s="661">
        <v>12099.4</v>
      </c>
      <c r="BN41" s="455"/>
      <c r="BO41" s="455"/>
      <c r="BP41" s="455"/>
      <c r="BQ41" s="455"/>
      <c r="BR41" s="455"/>
      <c r="BS41" s="455"/>
      <c r="BT41" s="455"/>
      <c r="BU41" s="455"/>
      <c r="CC41" s="1" t="s">
        <v>969</v>
      </c>
      <c r="CW41" s="28"/>
      <c r="CX41" s="667"/>
      <c r="DA41" s="668">
        <v>200.87293846</v>
      </c>
      <c r="DB41" s="455">
        <f>DB40/DE32</f>
        <v>8.2045174642224813E-3</v>
      </c>
      <c r="DC41" s="28"/>
      <c r="DD41" s="455"/>
    </row>
    <row r="42" spans="1:1025" ht="15.75" customHeight="1">
      <c r="A42" s="669"/>
      <c r="B42" s="669"/>
      <c r="C42" s="669"/>
      <c r="D42" s="670">
        <f>'Cuenta Ahorro-Inversión-Financi'!D41/'PIB corriente base 2004'!X18/1000</f>
        <v>2.1816191828494085E-2</v>
      </c>
      <c r="E42" s="849">
        <v>1993</v>
      </c>
      <c r="F42" s="671">
        <f>'Cuenta Ahorro-Inversión-Financi'!T9/'PIB corriente base 1993'!V8/1000</f>
        <v>4.5352832912549039E-2</v>
      </c>
      <c r="G42" s="671">
        <f>('Cuenta Ahorro-Inversión-Financi'!G9+'Cuenta Ahorro-Inversión-Financi'!R9)/'PIB corriente base 1993'!V8/1000</f>
        <v>1.1426158691432906E-2</v>
      </c>
      <c r="H42" s="671">
        <f>'Cuenta Ahorro-Inversión-Financi'!W9/'PIB corriente base 1993'!V8/1000</f>
        <v>1.3557588672157268E-3</v>
      </c>
      <c r="I42" s="671">
        <f>('Cuenta Ahorro-Inversión-Financi'!F9-'Cuenta Ahorro-Inversión-Financi'!U9)/'PIB corriente base 1993'!V8/1000</f>
        <v>5.813475047119767E-2</v>
      </c>
      <c r="J42" s="671">
        <f>'Cuenta Ahorro-Inversión-Financi'!F9/'PIB corriente base 1993'!V8/1000</f>
        <v>6.5214854282587789E-2</v>
      </c>
      <c r="K42" s="671">
        <f>'Cuenta Ahorro-Inversión-Financi'!S9/'PIB corriente base 1993'!V8/1000</f>
        <v>5.2432936723939165E-2</v>
      </c>
      <c r="L42" s="671">
        <f>'Cuenta Ahorro-Inversión-Financi'!AG9/'PIB corriente base 1993'!V8/1000</f>
        <v>1.2477115671008975E-2</v>
      </c>
      <c r="M42" s="671">
        <f>'Cuenta Ahorro-Inversión-Financi'!AN9/'PIB corriente base 1993'!V8/1000</f>
        <v>7.18848713660595E-3</v>
      </c>
      <c r="N42" s="671">
        <f>('Cuenta Ahorro-Inversión-Financi'!AF9/'PIB corriente base 1993'!V8/1000)</f>
        <v>6.5963275144778122E-2</v>
      </c>
      <c r="O42" s="671">
        <f>'Cuenta Ahorro-Inversión-Financi'!M42+'Cuenta Ahorro-Inversión-Financi'!I42</f>
        <v>6.5323237607803619E-2</v>
      </c>
      <c r="P42" s="669"/>
      <c r="Q42" s="672">
        <v>1993</v>
      </c>
      <c r="R42" s="673">
        <f>'Cuenta Ahorro-Inversión-Financi'!BE9/1000/'PIB corriente base 1993'!V8</f>
        <v>5.2637093191058193E-2</v>
      </c>
      <c r="S42" s="673"/>
      <c r="T42" s="673">
        <f>'Cuenta Ahorro-Inversión-Financi'!BW9/1000/'PIB corriente base 1993'!V8</f>
        <v>1.1642303700452977E-2</v>
      </c>
      <c r="U42" s="673">
        <f>'Cuenta Ahorro-Inversión-Financi'!T42+'Cuenta Ahorro-Inversión-Financi'!R42+(('Cuenta Ahorro-Inversión-Financi'!AX9+'Cuenta Ahorro-Inversión-Financi'!BB9)/1000/'PIB corriente base 1993'!V8)</f>
        <v>6.5769306883267514E-2</v>
      </c>
      <c r="V42" s="673">
        <f>'Cuenta Ahorro-Inversión-Financi'!BM9/1000/'PIB corriente base 1993'!V8</f>
        <v>1.1642303700452977E-2</v>
      </c>
      <c r="W42" s="673">
        <f>'Cuenta Ahorro-Inversión-Financi'!AW9/1000/'PIB corriente base 1993'!V8</f>
        <v>6.57693068832675E-2</v>
      </c>
      <c r="X42" s="673">
        <f t="shared" ref="X42:X64" si="13">W42</f>
        <v>6.57693068832675E-2</v>
      </c>
      <c r="Y42" s="673"/>
      <c r="Z42" s="673">
        <f>('Cuenta Ahorro-Inversión-Financi'!CF9)/1000/'PIB corriente base 1993'!V8</f>
        <v>6.5817334163708247E-2</v>
      </c>
      <c r="AA42" s="673">
        <f>('Cuenta Ahorro-Inversión-Financi'!CF9-'Cuenta Ahorro-Inversión-Financi'!AX9)/1000/'PIB corriente base 1993'!V8</f>
        <v>6.4327424171951891E-2</v>
      </c>
      <c r="AB42" s="669"/>
      <c r="AC42" s="674">
        <v>1993</v>
      </c>
      <c r="AD42" s="675">
        <f>'Cuenta Ahorro-Inversión-Financi'!J42-'Cuenta Ahorro-Inversión-Financi'!X42</f>
        <v>-5.5445260067971125E-4</v>
      </c>
      <c r="AE42" s="675">
        <f>'Cuenta Ahorro-Inversión-Financi'!F42-'Cuenta Ahorro-Inversión-Financi'!R42</f>
        <v>-7.284260278509154E-3</v>
      </c>
      <c r="AF42" s="675">
        <f>'Cuenta Ahorro-Inversión-Financi'!I42-'Cuenta Ahorro-Inversión-Financi'!U42-'Cuenta Ahorro-Inversión-Financi'!H42</f>
        <v>-8.9903152792855708E-3</v>
      </c>
      <c r="AG42" s="675">
        <f>'Cuenta Ahorro-Inversión-Financi'!I42-'Cuenta Ahorro-Inversión-Financi'!U42</f>
        <v>-7.6345564120698442E-3</v>
      </c>
      <c r="AH42" s="675">
        <f>'Cuenta Ahorro-Inversión-Financi'!O42-'Cuenta Ahorro-Inversión-Financi'!U42</f>
        <v>-4.4606927546389508E-4</v>
      </c>
      <c r="AI42" s="675">
        <f>'Cuenta Ahorro-Inversión-Financi'!F42-('Cuenta Ahorro-Inversión-Financi'!BE9+'Cuenta Ahorro-Inversión-Financi'!BQ9)/'PIB corriente base 1993'!V8/1000</f>
        <v>-1.8926563978962134E-2</v>
      </c>
      <c r="AJ42" s="455">
        <f>'Cuenta Ahorro-Inversión-Financi'!AH42-'Cuenta Ahorro-Inversión-Financi'!H42</f>
        <v>-1.8018281426796219E-3</v>
      </c>
      <c r="AK42" s="417"/>
      <c r="AL42" s="417"/>
      <c r="AN42" s="676">
        <f>'Cuenta Ahorro-Inversión-Financi'!AN43-1</f>
        <v>1993</v>
      </c>
      <c r="AO42" s="675">
        <f>'Cuenta Ahorro-Inversión-Financi'!I42</f>
        <v>5.813475047119767E-2</v>
      </c>
      <c r="AP42" s="675">
        <f>'Cuenta Ahorro-Inversión-Financi'!F42</f>
        <v>4.5352832912549039E-2</v>
      </c>
      <c r="AQ42" s="675">
        <v>0</v>
      </c>
      <c r="AR42" s="675">
        <f>'Cuenta Ahorro-Inversión-Financi'!L42</f>
        <v>1.2477115671008975E-2</v>
      </c>
      <c r="AS42" s="675">
        <f>'Cuenta Ahorro-Inversión-Financi'!T42+'Cuenta Ahorro-Inversión-Financi'!R42+(('Cuenta Ahorro-Inversión-Financi'!BB9)/1000/'PIB corriente base 1993'!V8)</f>
        <v>6.4279396891511173E-2</v>
      </c>
      <c r="AT42" s="675">
        <f>'Cuenta Ahorro-Inversión-Financi'!T42+'Cuenta Ahorro-Inversión-Financi'!R42+(('Cuenta Ahorro-Inversión-Financi'!BB9-'Cuenta Ahorro-Inversión-Financi'!BO9-'Cuenta Ahorro-Inversión-Financi'!BP9)/1000/'PIB corriente base 1993'!V8)</f>
        <v>6.3050409945254793E-2</v>
      </c>
      <c r="AU42" s="675">
        <f>'Cuenta Ahorro-Inversión-Financi'!U42</f>
        <v>6.5769306883267514E-2</v>
      </c>
      <c r="AV42" s="675">
        <f>('Cuenta Ahorro-Inversión-Financi'!CG9)/1000/'PIB corriente base 1993'!V8+'Cuenta Ahorro-Inversión-Financi'!Y42</f>
        <v>5.2886285344030236E-3</v>
      </c>
      <c r="AW42" s="675">
        <f>'Cuenta Ahorro-Inversión-Financi'!AP42-'Cuenta Ahorro-Inversión-Financi'!AT42</f>
        <v>-1.7697577032705754E-2</v>
      </c>
      <c r="AX42" s="675">
        <f>'Cuenta Ahorro-Inversión-Financi'!AO42-'Cuenta Ahorro-Inversión-Financi'!AU42</f>
        <v>-7.6345564120698442E-3</v>
      </c>
      <c r="AY42" s="675">
        <f>'Cuenta Ahorro-Inversión-Financi'!AO42+'Cuenta Ahorro-Inversión-Financi'!AR42-'Cuenta Ahorro-Inversión-Financi'!AU42-'Cuenta Ahorro-Inversión-Financi'!AV42</f>
        <v>-4.4606927546389334E-4</v>
      </c>
      <c r="AZ42" s="675">
        <f>'Cuenta Ahorro-Inversión-Financi'!AY42</f>
        <v>-4.4606927546389334E-4</v>
      </c>
      <c r="BA42" s="455">
        <f t="shared" ref="BA42:BA67" si="14">AU42+AV42</f>
        <v>7.105793541767054E-2</v>
      </c>
      <c r="BB42" s="455">
        <v>-8.9903152792855292E-3</v>
      </c>
      <c r="BC42" s="455">
        <v>-7.6345564120698E-3</v>
      </c>
      <c r="CC42" s="1" t="s">
        <v>970</v>
      </c>
      <c r="CG42" s="625"/>
      <c r="CW42" s="455"/>
      <c r="CX42" s="455"/>
    </row>
    <row r="43" spans="1:1025" ht="15.75" customHeight="1">
      <c r="A43" s="669"/>
      <c r="B43" s="669"/>
      <c r="C43" s="669"/>
      <c r="D43" s="677">
        <f>69000/'PIB corriente base 2004'!X19</f>
        <v>1.1587853512858041E-2</v>
      </c>
      <c r="E43" s="849">
        <v>1994</v>
      </c>
      <c r="F43" s="678">
        <f>'Cuenta Ahorro-Inversión-Financi'!T10/'PIB corriente base 1993'!V9/1000</f>
        <v>4.1240641070148722E-2</v>
      </c>
      <c r="G43" s="678">
        <f>('Cuenta Ahorro-Inversión-Financi'!G10+'Cuenta Ahorro-Inversión-Financi'!R10)/'PIB corriente base 1993'!V9/1000</f>
        <v>1.2086918580086134E-2</v>
      </c>
      <c r="H43" s="678">
        <f>'Cuenta Ahorro-Inversión-Financi'!W10/'PIB corriente base 1993'!V9/1000</f>
        <v>9.5319509687930845E-5</v>
      </c>
      <c r="I43" s="678">
        <f>('Cuenta Ahorro-Inversión-Financi'!F10-'Cuenta Ahorro-Inversión-Financi'!U10)/'PIB corriente base 1993'!V9/1000</f>
        <v>5.3422879159922783E-2</v>
      </c>
      <c r="J43" s="678">
        <f>'Cuenta Ahorro-Inversión-Financi'!F10/'PIB corriente base 1993'!V9/1000</f>
        <v>6.3027473261338729E-2</v>
      </c>
      <c r="K43" s="678">
        <f>'Cuenta Ahorro-Inversión-Financi'!S10/'PIB corriente base 1993'!V9/1000</f>
        <v>5.0845235171564661E-2</v>
      </c>
      <c r="L43" s="678">
        <f>'Cuenta Ahorro-Inversión-Financi'!AG10/'PIB corriente base 1993'!V9/1000</f>
        <v>1.0313805580301925E-2</v>
      </c>
      <c r="M43" s="678">
        <f>'Cuenta Ahorro-Inversión-Financi'!AN10/'PIB corriente base 1993'!V9/1000</f>
        <v>3.5384967109413999E-3</v>
      </c>
      <c r="N43" s="678">
        <f>'Cuenta Ahorro-Inversión-Financi'!AF10/'PIB corriente base 1993'!V9/1000</f>
        <v>6.4592550668188017E-2</v>
      </c>
      <c r="O43" s="678">
        <f>'Cuenta Ahorro-Inversión-Financi'!M43+'Cuenta Ahorro-Inversión-Financi'!I43</f>
        <v>5.6961375870864181E-2</v>
      </c>
      <c r="P43" s="669"/>
      <c r="Q43" s="679">
        <v>1994</v>
      </c>
      <c r="R43" s="678">
        <f>'Cuenta Ahorro-Inversión-Financi'!BE10/1000/'PIB corriente base 1993'!V9</f>
        <v>5.6464426220353491E-2</v>
      </c>
      <c r="S43" s="678"/>
      <c r="T43" s="678">
        <f>'Cuenta Ahorro-Inversión-Financi'!BW10/1000/'PIB corriente base 1993'!V9</f>
        <v>1.2436021103775298E-2</v>
      </c>
      <c r="U43" s="678">
        <f>'Cuenta Ahorro-Inversión-Financi'!T43+'Cuenta Ahorro-Inversión-Financi'!R43+(('Cuenta Ahorro-Inversión-Financi'!AX10+'Cuenta Ahorro-Inversión-Financi'!BB10)/1000/'PIB corriente base 1993'!V9)</f>
        <v>7.0046705331925724E-2</v>
      </c>
      <c r="V43" s="678">
        <f>'Cuenta Ahorro-Inversión-Financi'!BM10/1000/'PIB corriente base 1993'!V9</f>
        <v>1.2436021103775298E-2</v>
      </c>
      <c r="W43" s="678">
        <f>'Cuenta Ahorro-Inversión-Financi'!AW10/1000/'PIB corriente base 1993'!V9</f>
        <v>7.0046705331925738E-2</v>
      </c>
      <c r="X43" s="678">
        <f t="shared" si="13"/>
        <v>7.0046705331925738E-2</v>
      </c>
      <c r="Y43" s="678"/>
      <c r="Z43" s="678">
        <f>('Cuenta Ahorro-Inversión-Financi'!CF10)/1000/'PIB corriente base 1993'!V9</f>
        <v>7.007235077366869E-2</v>
      </c>
      <c r="AA43" s="678">
        <f>('Cuenta Ahorro-Inversión-Financi'!CF10-'Cuenta Ahorro-Inversión-Financi'!AX10)/1000/'PIB corriente base 1993'!V9</f>
        <v>6.8931257054482262E-2</v>
      </c>
      <c r="AB43" s="669"/>
      <c r="AC43" s="680">
        <v>1994</v>
      </c>
      <c r="AD43" s="678">
        <f>'Cuenta Ahorro-Inversión-Financi'!J43-'Cuenta Ahorro-Inversión-Financi'!X43</f>
        <v>-7.0192320705870087E-3</v>
      </c>
      <c r="AE43" s="678">
        <f>'Cuenta Ahorro-Inversión-Financi'!F43-'Cuenta Ahorro-Inversión-Financi'!R43</f>
        <v>-1.5223785150204769E-2</v>
      </c>
      <c r="AF43" s="678">
        <f>'Cuenta Ahorro-Inversión-Financi'!I43-'Cuenta Ahorro-Inversión-Financi'!U43-'Cuenta Ahorro-Inversión-Financi'!H43</f>
        <v>-1.6719145681690872E-2</v>
      </c>
      <c r="AG43" s="678">
        <f>'Cuenta Ahorro-Inversión-Financi'!I43-'Cuenta Ahorro-Inversión-Financi'!U43</f>
        <v>-1.6623826172002941E-2</v>
      </c>
      <c r="AH43" s="678">
        <f>'Cuenta Ahorro-Inversión-Financi'!O43-'Cuenta Ahorro-Inversión-Financi'!U43</f>
        <v>-1.3085329461061543E-2</v>
      </c>
      <c r="AI43" s="678">
        <f>'Cuenta Ahorro-Inversión-Financi'!F43-('Cuenta Ahorro-Inversión-Financi'!BE10+'Cuenta Ahorro-Inversión-Financi'!BQ10)/'PIB corriente base 1993'!V9/1000</f>
        <v>-2.7659806253980075E-2</v>
      </c>
      <c r="AJ43" s="455">
        <f>'Cuenta Ahorro-Inversión-Financi'!AH43-'Cuenta Ahorro-Inversión-Financi'!H43</f>
        <v>-1.3180648970749474E-2</v>
      </c>
      <c r="AK43" s="417"/>
      <c r="AL43" s="417"/>
      <c r="AN43" s="676">
        <f>'Cuenta Ahorro-Inversión-Financi'!AN44-1</f>
        <v>1994</v>
      </c>
      <c r="AO43" s="678">
        <f>'Cuenta Ahorro-Inversión-Financi'!I43</f>
        <v>5.3422879159922783E-2</v>
      </c>
      <c r="AP43" s="678">
        <f>'Cuenta Ahorro-Inversión-Financi'!F43</f>
        <v>4.1240641070148722E-2</v>
      </c>
      <c r="AQ43" s="678">
        <v>0</v>
      </c>
      <c r="AR43" s="678">
        <f>'Cuenta Ahorro-Inversión-Financi'!L43</f>
        <v>1.0313805580301925E-2</v>
      </c>
      <c r="AS43" s="678">
        <f>'Cuenta Ahorro-Inversión-Financi'!T43+'Cuenta Ahorro-Inversión-Financi'!R43+(('Cuenta Ahorro-Inversión-Financi'!BB10)/1000/'PIB corriente base 1993'!V9)</f>
        <v>6.8905611612739295E-2</v>
      </c>
      <c r="AT43" s="678">
        <f>'Cuenta Ahorro-Inversión-Financi'!T43+'Cuenta Ahorro-Inversión-Financi'!R43+(('Cuenta Ahorro-Inversión-Financi'!BB10-'Cuenta Ahorro-Inversión-Financi'!BO10-'Cuenta Ahorro-Inversión-Financi'!BP10)/1000/'PIB corriente base 1993'!V9)</f>
        <v>6.7811314403621023E-2</v>
      </c>
      <c r="AU43" s="678">
        <f>'Cuenta Ahorro-Inversión-Financi'!U43</f>
        <v>7.0046705331925724E-2</v>
      </c>
      <c r="AV43" s="678">
        <f>('Cuenta Ahorro-Inversión-Financi'!CG10)/1000/'PIB corriente base 1993'!V9+'Cuenta Ahorro-Inversión-Financi'!Y43</f>
        <v>6.7753088693605253E-3</v>
      </c>
      <c r="AW43" s="678">
        <f>'Cuenta Ahorro-Inversión-Financi'!AP43-'Cuenta Ahorro-Inversión-Financi'!AT43</f>
        <v>-2.6570673333472301E-2</v>
      </c>
      <c r="AX43" s="678">
        <f>'Cuenta Ahorro-Inversión-Financi'!AO43-'Cuenta Ahorro-Inversión-Financi'!AU43</f>
        <v>-1.6623826172002941E-2</v>
      </c>
      <c r="AY43" s="678">
        <f>'Cuenta Ahorro-Inversión-Financi'!AO43+'Cuenta Ahorro-Inversión-Financi'!AQ43+'Cuenta Ahorro-Inversión-Financi'!AR43-'Cuenta Ahorro-Inversión-Financi'!AU43-'Cuenta Ahorro-Inversión-Financi'!AV43</f>
        <v>-1.3085329461061546E-2</v>
      </c>
      <c r="AZ43" s="678">
        <f>'Cuenta Ahorro-Inversión-Financi'!AY43</f>
        <v>-1.3085329461061546E-2</v>
      </c>
      <c r="BA43" s="455">
        <f t="shared" si="14"/>
        <v>7.6822014201286246E-2</v>
      </c>
      <c r="BB43" s="455">
        <v>-1.6719145681690799E-2</v>
      </c>
      <c r="BC43" s="455">
        <v>-1.6623826172002899E-2</v>
      </c>
      <c r="BJ43" s="28">
        <v>124211453.686</v>
      </c>
      <c r="BK43" s="681"/>
      <c r="BL43" s="28"/>
      <c r="BM43" s="544" t="s">
        <v>971</v>
      </c>
      <c r="CG43" s="625"/>
      <c r="DC43" s="682"/>
      <c r="DD43" s="455"/>
    </row>
    <row r="44" spans="1:1025" ht="15.75" customHeight="1">
      <c r="A44" s="669"/>
      <c r="B44" s="669"/>
      <c r="C44" s="669"/>
      <c r="D44" s="669"/>
      <c r="E44" s="849">
        <v>1995</v>
      </c>
      <c r="F44" s="671">
        <f>'Cuenta Ahorro-Inversión-Financi'!T11/'PIB corriente base 1993'!V10/1000</f>
        <v>3.6716284226292667E-2</v>
      </c>
      <c r="G44" s="671">
        <f>('Cuenta Ahorro-Inversión-Financi'!G11+'Cuenta Ahorro-Inversión-Financi'!R11)/'PIB corriente base 1993'!V10/1000</f>
        <v>1.2112184053518191E-2</v>
      </c>
      <c r="H44" s="671">
        <f>'Cuenta Ahorro-Inversión-Financi'!W11/'PIB corriente base 1993'!V10/1000</f>
        <v>3.1697520672467914E-5</v>
      </c>
      <c r="I44" s="671">
        <f>('Cuenta Ahorro-Inversión-Financi'!F11-'Cuenta Ahorro-Inversión-Financi'!U11)/'PIB corriente base 1993'!V10/1000</f>
        <v>4.8860165800483323E-2</v>
      </c>
      <c r="J44" s="671">
        <f>'Cuenta Ahorro-Inversión-Financi'!F11/'PIB corriente base 1993'!V10/1000</f>
        <v>5.7415842727289466E-2</v>
      </c>
      <c r="K44" s="671">
        <f>'Cuenta Ahorro-Inversión-Financi'!S11/'PIB corriente base 1993'!V10/1000</f>
        <v>4.5271961153098811E-2</v>
      </c>
      <c r="L44" s="671">
        <f>'Cuenta Ahorro-Inversión-Financi'!AH11/'PIB corriente base 1993'!V10/1000</f>
        <v>1.1591546064282976E-2</v>
      </c>
      <c r="M44" s="671">
        <f>'Cuenta Ahorro-Inversión-Financi'!AN11/'PIB corriente base 1993'!V10/1000</f>
        <v>5.8353285382753339E-3</v>
      </c>
      <c r="N44" s="671">
        <f>'Cuenta Ahorro-Inversión-Financi'!AF11/'PIB corriente base 1993'!V10/1000</f>
        <v>5.874867273341669E-2</v>
      </c>
      <c r="O44" s="671">
        <f>'Cuenta Ahorro-Inversión-Financi'!M44+'Cuenta Ahorro-Inversión-Financi'!I44</f>
        <v>5.4695494338758657E-2</v>
      </c>
      <c r="P44" s="669"/>
      <c r="Q44" s="679">
        <v>1995</v>
      </c>
      <c r="R44" s="673">
        <f>'Cuenta Ahorro-Inversión-Financi'!BE11/1000/'PIB corriente base 1993'!V10</f>
        <v>5.3644670399752167E-2</v>
      </c>
      <c r="S44" s="673"/>
      <c r="T44" s="673">
        <f>'Cuenta Ahorro-Inversión-Financi'!BW11/1000/'PIB corriente base 1993'!V10</f>
        <v>5.355879882989893E-3</v>
      </c>
      <c r="U44" s="673">
        <f>'Cuenta Ahorro-Inversión-Financi'!T44+'Cuenta Ahorro-Inversión-Financi'!R44+(('Cuenta Ahorro-Inversión-Financi'!AX11+'Cuenta Ahorro-Inversión-Financi'!BB11)/1000/'PIB corriente base 1993'!V10)</f>
        <v>6.0192703555002419E-2</v>
      </c>
      <c r="V44" s="673">
        <f>'Cuenta Ahorro-Inversión-Financi'!BM11/1000/'PIB corriente base 1993'!V10</f>
        <v>5.355879882989893E-3</v>
      </c>
      <c r="W44" s="673">
        <f>'Cuenta Ahorro-Inversión-Financi'!AW11/1000/'PIB corriente base 1993'!V10</f>
        <v>6.0192703555002426E-2</v>
      </c>
      <c r="X44" s="673">
        <f t="shared" si="13"/>
        <v>6.0192703555002426E-2</v>
      </c>
      <c r="Y44" s="673"/>
      <c r="Z44" s="673">
        <f>('Cuenta Ahorro-Inversión-Financi'!CF11)/1000/'PIB corriente base 1993'!V10</f>
        <v>6.0205198205032139E-2</v>
      </c>
      <c r="AA44" s="673">
        <f>('Cuenta Ahorro-Inversión-Financi'!CF11-'Cuenta Ahorro-Inversión-Financi'!AX11)/1000/'PIB corriente base 1993'!V10</f>
        <v>5.905445689582673E-2</v>
      </c>
      <c r="AB44" s="669"/>
      <c r="AC44" s="680">
        <v>1995</v>
      </c>
      <c r="AD44" s="675">
        <f>'Cuenta Ahorro-Inversión-Financi'!J44-'Cuenta Ahorro-Inversión-Financi'!X44</f>
        <v>-2.7768608277129597E-3</v>
      </c>
      <c r="AE44" s="675">
        <f>'Cuenta Ahorro-Inversión-Financi'!F44-'Cuenta Ahorro-Inversión-Financi'!R44</f>
        <v>-1.69283861734595E-2</v>
      </c>
      <c r="AF44" s="675">
        <f>'Cuenta Ahorro-Inversión-Financi'!I44-'Cuenta Ahorro-Inversión-Financi'!U44-'Cuenta Ahorro-Inversión-Financi'!H44</f>
        <v>-1.1364235275191564E-2</v>
      </c>
      <c r="AG44" s="675">
        <f>'Cuenta Ahorro-Inversión-Financi'!I44-'Cuenta Ahorro-Inversión-Financi'!U44</f>
        <v>-1.1332537754519097E-2</v>
      </c>
      <c r="AH44" s="675">
        <f>'Cuenta Ahorro-Inversión-Financi'!O44-'Cuenta Ahorro-Inversión-Financi'!U44</f>
        <v>-5.4972092162437619E-3</v>
      </c>
      <c r="AI44" s="675">
        <f>'Cuenta Ahorro-Inversión-Financi'!F44-('Cuenta Ahorro-Inversión-Financi'!BE11+'Cuenta Ahorro-Inversión-Financi'!BQ11)/'PIB corriente base 1993'!V10/1000</f>
        <v>-2.2284266056449398E-2</v>
      </c>
      <c r="AJ44" s="455">
        <f>'Cuenta Ahorro-Inversión-Financi'!AH44-'Cuenta Ahorro-Inversión-Financi'!H44</f>
        <v>-5.5289067369162295E-3</v>
      </c>
      <c r="AN44" s="676">
        <f>'Cuenta Ahorro-Inversión-Financi'!AN45-1</f>
        <v>1995</v>
      </c>
      <c r="AO44" s="675">
        <f>'Cuenta Ahorro-Inversión-Financi'!I44</f>
        <v>4.8860165800483323E-2</v>
      </c>
      <c r="AP44" s="675">
        <f>'Cuenta Ahorro-Inversión-Financi'!F44</f>
        <v>3.6716284226292667E-2</v>
      </c>
      <c r="AQ44" s="675">
        <v>0</v>
      </c>
      <c r="AR44" s="675">
        <f>'Cuenta Ahorro-Inversión-Financi'!L44</f>
        <v>1.1591546064282976E-2</v>
      </c>
      <c r="AS44" s="675">
        <f>'Cuenta Ahorro-Inversión-Financi'!T44+'Cuenta Ahorro-Inversión-Financi'!R44+(('Cuenta Ahorro-Inversión-Financi'!BB11)/1000/'PIB corriente base 1993'!V10)</f>
        <v>5.9041962245797011E-2</v>
      </c>
      <c r="AT44" s="675">
        <f>'Cuenta Ahorro-Inversión-Financi'!T44+'Cuenta Ahorro-Inversión-Financi'!R44+(('Cuenta Ahorro-Inversión-Financi'!BB11-'Cuenta Ahorro-Inversión-Financi'!BO11-'Cuenta Ahorro-Inversión-Financi'!BP11)/1000/'PIB corriente base 1993'!V10)</f>
        <v>5.9041962245797011E-2</v>
      </c>
      <c r="AU44" s="675">
        <f>'Cuenta Ahorro-Inversión-Financi'!U44</f>
        <v>6.0192703555002419E-2</v>
      </c>
      <c r="AV44" s="675">
        <f>('Cuenta Ahorro-Inversión-Financi'!CG11)/1000/'PIB corriente base 1993'!V10+'Cuenta Ahorro-Inversión-Financi'!Y44</f>
        <v>6.6383579073520721E-3</v>
      </c>
      <c r="AW44" s="675">
        <f>'Cuenta Ahorro-Inversión-Financi'!AP44-'Cuenta Ahorro-Inversión-Financi'!AT44</f>
        <v>-2.2325678019504344E-2</v>
      </c>
      <c r="AX44" s="675">
        <f>'Cuenta Ahorro-Inversión-Financi'!AO44-'Cuenta Ahorro-Inversión-Financi'!AU44</f>
        <v>-1.1332537754519097E-2</v>
      </c>
      <c r="AY44" s="675">
        <f>'Cuenta Ahorro-Inversión-Financi'!AO44+'Cuenta Ahorro-Inversión-Financi'!AQ44+'Cuenta Ahorro-Inversión-Financi'!AR44-'Cuenta Ahorro-Inversión-Financi'!AU44-'Cuenta Ahorro-Inversión-Financi'!AV44</f>
        <v>-6.3793495975881928E-3</v>
      </c>
      <c r="AZ44" s="675">
        <f>'Cuenta Ahorro-Inversión-Financi'!AY44</f>
        <v>-6.3793495975881928E-3</v>
      </c>
      <c r="BA44" s="455">
        <f t="shared" si="14"/>
        <v>6.6831061462354485E-2</v>
      </c>
      <c r="BB44" s="455">
        <v>-1.1364235275191601E-2</v>
      </c>
      <c r="BC44" s="455">
        <v>-1.13325377545191E-2</v>
      </c>
      <c r="BF44" s="455">
        <f>'Cuenta Ahorro-Inversión-Financi'!BR26/'Cuenta Ahorro-Inversión-Financi'!BE26</f>
        <v>3.5811103354466592E-2</v>
      </c>
      <c r="BI44" s="1">
        <f>('Cuenta Ahorro-Inversión-Financi'!BN32-'Cuenta Ahorro-Inversión-Financi'!BJ44)+'Cuenta Ahorro-Inversión-Financi'!BM32</f>
        <v>167993739.7493</v>
      </c>
      <c r="BJ44" s="310">
        <f>'Cuenta Ahorro-Inversión-Financi'!BM32-'Cuenta Ahorro-Inversión-Financi'!BO32-'Cuenta Ahorro-Inversión-Financi'!BP32</f>
        <v>145903423.52104998</v>
      </c>
      <c r="BK44" s="28">
        <v>75079918.568000004</v>
      </c>
      <c r="BL44" s="28">
        <f>'Cuenta Ahorro-Inversión-Financi'!BQ31-'Cuenta Ahorro-Inversión-Financi'!BO31-'Cuenta Ahorro-Inversión-Financi'!BP31</f>
        <v>75053880.197930008</v>
      </c>
      <c r="BN44" s="28" t="s">
        <v>972</v>
      </c>
      <c r="CG44" s="625"/>
    </row>
    <row r="45" spans="1:1025" ht="15.75" customHeight="1">
      <c r="A45" s="669"/>
      <c r="B45" s="669"/>
      <c r="C45" s="669"/>
      <c r="D45" s="669"/>
      <c r="E45" s="849">
        <v>1996</v>
      </c>
      <c r="F45" s="683">
        <f>'Cuenta Ahorro-Inversión-Financi'!S12/'PIB corriente base 1993'!V11/1000</f>
        <v>3.6384675884464944E-2</v>
      </c>
      <c r="G45" s="683">
        <f>('Cuenta Ahorro-Inversión-Financi'!G12+'Cuenta Ahorro-Inversión-Financi'!R12)/'PIB corriente base 1993'!V11/1000</f>
        <v>1.4674132007748912E-2</v>
      </c>
      <c r="H45" s="683">
        <f>'Cuenta Ahorro-Inversión-Financi'!W12/'PIB corriente base 1993'!V11/1000</f>
        <v>1.1652327474047302E-4</v>
      </c>
      <c r="I45" s="683">
        <f>('Cuenta Ahorro-Inversión-Financi'!F12-'Cuenta Ahorro-Inversión-Financi'!U12)/'PIB corriente base 1993'!V11/1000</f>
        <v>5.117533116695433E-2</v>
      </c>
      <c r="J45" s="678">
        <f>'Cuenta Ahorro-Inversión-Financi'!F12/'PIB corriente base 1993'!V11/1000</f>
        <v>5.117533116695433E-2</v>
      </c>
      <c r="K45" s="683">
        <f>'Cuenta Ahorro-Inversión-Financi'!S12/'PIB corriente base 1993'!V11/1000</f>
        <v>3.6384675884464944E-2</v>
      </c>
      <c r="L45" s="683">
        <f>'Cuenta Ahorro-Inversión-Financi'!AH12/'PIB corriente base 1993'!V11/1000</f>
        <v>1.1873413888874359E-2</v>
      </c>
      <c r="M45" s="683">
        <f>'Cuenta Ahorro-Inversión-Financi'!AN12/'PIB corriente base 1993'!V11/1000</f>
        <v>4.4126549062490595E-3</v>
      </c>
      <c r="N45" s="684">
        <f>'Cuenta Ahorro-Inversión-Financi'!AF12/'PIB corriente base 1993'!V11/1000</f>
        <v>5.1538508697571601E-2</v>
      </c>
      <c r="O45" s="684">
        <f>'Cuenta Ahorro-Inversión-Financi'!M45+'Cuenta Ahorro-Inversión-Financi'!I45</f>
        <v>5.5587986073203387E-2</v>
      </c>
      <c r="P45" s="669"/>
      <c r="Q45" s="679">
        <v>1996</v>
      </c>
      <c r="R45" s="678">
        <f>'Cuenta Ahorro-Inversión-Financi'!BE12/1000/'PIB corriente base 1993'!V11</f>
        <v>5.3162252663224489E-2</v>
      </c>
      <c r="S45" s="678"/>
      <c r="T45" s="678">
        <f>'Cuenta Ahorro-Inversión-Financi'!BW12/1000/'PIB corriente base 1993'!V11</f>
        <v>6.00272468782676E-3</v>
      </c>
      <c r="U45" s="678">
        <f>'Cuenta Ahorro-Inversión-Financi'!T45+'Cuenta Ahorro-Inversión-Financi'!R45+(('Cuenta Ahorro-Inversión-Financi'!AX12+'Cuenta Ahorro-Inversión-Financi'!BB12)/1000/'PIB corriente base 1993'!V11)</f>
        <v>6.0875290803994779E-2</v>
      </c>
      <c r="V45" s="678">
        <f>'Cuenta Ahorro-Inversión-Financi'!BM12/1000/'PIB corriente base 1993'!V11</f>
        <v>6.00272468782676E-3</v>
      </c>
      <c r="W45" s="678">
        <f>'Cuenta Ahorro-Inversión-Financi'!AW12/1000/'PIB corriente base 1993'!V11</f>
        <v>6.0875290803994779E-2</v>
      </c>
      <c r="X45" s="678">
        <f t="shared" si="13"/>
        <v>6.0875290803994779E-2</v>
      </c>
      <c r="Y45" s="678"/>
      <c r="Z45" s="678">
        <f>('Cuenta Ahorro-Inversión-Financi'!CF12)/1000/'PIB corriente base 1993'!V11</f>
        <v>6.0902443758527713E-2</v>
      </c>
      <c r="AA45" s="678">
        <f>('Cuenta Ahorro-Inversión-Financi'!CF12-'Cuenta Ahorro-Inversión-Financi'!AX12)/1000/'PIB corriente base 1993'!V11</f>
        <v>5.9686628956188564E-2</v>
      </c>
      <c r="AB45" s="669"/>
      <c r="AC45" s="680">
        <v>1996</v>
      </c>
      <c r="AD45" s="678">
        <f>'Cuenta Ahorro-Inversión-Financi'!J45-'Cuenta Ahorro-Inversión-Financi'!X45</f>
        <v>-9.6999596370404492E-3</v>
      </c>
      <c r="AE45" s="678">
        <f>'Cuenta Ahorro-Inversión-Financi'!F45-'Cuenta Ahorro-Inversión-Financi'!R45</f>
        <v>-1.6777576778759545E-2</v>
      </c>
      <c r="AF45" s="678">
        <f>'Cuenta Ahorro-Inversión-Financi'!I45-'Cuenta Ahorro-Inversión-Financi'!U45-'Cuenta Ahorro-Inversión-Financi'!H45</f>
        <v>-9.816482911780923E-3</v>
      </c>
      <c r="AG45" s="678">
        <f>'Cuenta Ahorro-Inversión-Financi'!I45-'Cuenta Ahorro-Inversión-Financi'!U45</f>
        <v>-9.6999596370404492E-3</v>
      </c>
      <c r="AH45" s="678">
        <f>'Cuenta Ahorro-Inversión-Financi'!O45-'Cuenta Ahorro-Inversión-Financi'!U45</f>
        <v>-5.2873047307913923E-3</v>
      </c>
      <c r="AI45" s="678">
        <f>'Cuenta Ahorro-Inversión-Financi'!F45-('Cuenta Ahorro-Inversión-Financi'!BE12+'Cuenta Ahorro-Inversión-Financi'!BQ12)/'PIB corriente base 1993'!V11/1000</f>
        <v>-1.6777576778759538E-2</v>
      </c>
      <c r="AJ45" s="455">
        <f>'Cuenta Ahorro-Inversión-Financi'!AH45-'Cuenta Ahorro-Inversión-Financi'!H45</f>
        <v>-5.4038280055318652E-3</v>
      </c>
      <c r="AK45" s="685"/>
      <c r="AL45" s="685"/>
      <c r="AN45" s="676">
        <f>'Cuenta Ahorro-Inversión-Financi'!AN46-1</f>
        <v>1996</v>
      </c>
      <c r="AO45" s="678">
        <f>'Cuenta Ahorro-Inversión-Financi'!I45</f>
        <v>5.117533116695433E-2</v>
      </c>
      <c r="AP45" s="678">
        <f>'Cuenta Ahorro-Inversión-Financi'!F45</f>
        <v>3.6384675884464944E-2</v>
      </c>
      <c r="AQ45" s="678">
        <v>0</v>
      </c>
      <c r="AR45" s="678">
        <f>'Cuenta Ahorro-Inversión-Financi'!L45</f>
        <v>1.1873413888874359E-2</v>
      </c>
      <c r="AS45" s="678">
        <f>'Cuenta Ahorro-Inversión-Financi'!T45+'Cuenta Ahorro-Inversión-Financi'!R45+(('Cuenta Ahorro-Inversión-Financi'!BB12)/1000/'PIB corriente base 1993'!V11)</f>
        <v>5.965947600165563E-2</v>
      </c>
      <c r="AT45" s="678">
        <f>'Cuenta Ahorro-Inversión-Financi'!T45+'Cuenta Ahorro-Inversión-Financi'!R45+(('Cuenta Ahorro-Inversión-Financi'!BB12-'Cuenta Ahorro-Inversión-Financi'!BO12-'Cuenta Ahorro-Inversión-Financi'!BP12)/1000/'PIB corriente base 1993'!V11)</f>
        <v>5.965947600165563E-2</v>
      </c>
      <c r="AU45" s="678">
        <f>'Cuenta Ahorro-Inversión-Financi'!U45</f>
        <v>6.0875290803994779E-2</v>
      </c>
      <c r="AV45" s="678">
        <f>('Cuenta Ahorro-Inversión-Financi'!CG12)/1000/'PIB corriente base 1993'!V11+'Cuenta Ahorro-Inversión-Financi'!Y45</f>
        <v>7.4607589826252985E-3</v>
      </c>
      <c r="AW45" s="678">
        <f>'Cuenta Ahorro-Inversión-Financi'!AP45-'Cuenta Ahorro-Inversión-Financi'!AT45</f>
        <v>-2.3274800117190686E-2</v>
      </c>
      <c r="AX45" s="678">
        <f>'Cuenta Ahorro-Inversión-Financi'!AO45-'Cuenta Ahorro-Inversión-Financi'!AU45</f>
        <v>-9.6999596370404492E-3</v>
      </c>
      <c r="AY45" s="678">
        <f>'Cuenta Ahorro-Inversión-Financi'!AO45+'Cuenta Ahorro-Inversión-Financi'!AQ45+'Cuenta Ahorro-Inversión-Financi'!AR45-'Cuenta Ahorro-Inversión-Financi'!AU45-'Cuenta Ahorro-Inversión-Financi'!AV45</f>
        <v>-5.2873047307913854E-3</v>
      </c>
      <c r="AZ45" s="678">
        <f>'Cuenta Ahorro-Inversión-Financi'!AY45</f>
        <v>-5.2873047307913854E-3</v>
      </c>
      <c r="BA45" s="455">
        <f t="shared" si="14"/>
        <v>6.8336049786620084E-2</v>
      </c>
      <c r="BB45" s="455">
        <v>-9.8164829117809698E-3</v>
      </c>
      <c r="BC45" s="455">
        <v>-9.6999596370404995E-3</v>
      </c>
      <c r="BF45" s="455">
        <f>'Cuenta Ahorro-Inversión-Financi'!BR27/'Cuenta Ahorro-Inversión-Financi'!BE27</f>
        <v>3.5842833942773392E-2</v>
      </c>
      <c r="BI45" s="1">
        <f>'Cuenta Ahorro-Inversión-Financi'!BN32-'Cuenta Ahorro-Inversión-Financi'!BJ44</f>
        <v>0</v>
      </c>
      <c r="BJ45" s="28">
        <v>50627831.649999999</v>
      </c>
      <c r="BK45" s="28">
        <f>'Cuenta Ahorro-Inversión-Financi'!BQ30-'Cuenta Ahorro-Inversión-Financi'!BO30-'Cuenta Ahorro-Inversión-Financi'!BP30</f>
        <v>50627831.649910003</v>
      </c>
      <c r="BL45" s="28">
        <f>'Cuenta Ahorro-Inversión-Financi'!BL44+'Cuenta Ahorro-Inversión-Financi'!BR31</f>
        <v>90576617.55667001</v>
      </c>
      <c r="BM45" s="28">
        <f>'Cuenta Ahorro-Inversión-Financi'!BN30+'Cuenta Ahorro-Inversión-Financi'!BO30+'Cuenta Ahorro-Inversión-Financi'!BP30</f>
        <v>62895026.926459998</v>
      </c>
      <c r="BN45" s="686">
        <v>2684200</v>
      </c>
      <c r="BO45" s="28"/>
      <c r="BP45" s="28">
        <v>10613959.7659624</v>
      </c>
      <c r="BQ45" s="28"/>
      <c r="BR45" s="1" t="s">
        <v>973</v>
      </c>
      <c r="CG45" s="625"/>
    </row>
    <row r="46" spans="1:1025" ht="15.75" customHeight="1">
      <c r="A46" s="669"/>
      <c r="B46" s="669"/>
      <c r="C46" s="669"/>
      <c r="D46" s="669"/>
      <c r="E46" s="849">
        <v>1997</v>
      </c>
      <c r="F46" s="671">
        <f>'Cuenta Ahorro-Inversión-Financi'!S13/'PIB corriente base 1993'!V12/1000</f>
        <v>3.4958159978124154E-2</v>
      </c>
      <c r="G46" s="671">
        <f>('Cuenta Ahorro-Inversión-Financi'!G13+'Cuenta Ahorro-Inversión-Financi'!R13)/'PIB corriente base 1993'!V12/1000</f>
        <v>2.008539468875652E-2</v>
      </c>
      <c r="H46" s="671">
        <f>'Cuenta Ahorro-Inversión-Financi'!W13/'PIB corriente base 1993'!V12/1000</f>
        <v>1.0830390046298377E-4</v>
      </c>
      <c r="I46" s="671">
        <f>('Cuenta Ahorro-Inversión-Financi'!F13-'Cuenta Ahorro-Inversión-Financi'!U13)/'PIB corriente base 1993'!V12/1000</f>
        <v>4.8375687457096035E-2</v>
      </c>
      <c r="J46" s="671">
        <f>'Cuenta Ahorro-Inversión-Financi'!F13/'PIB corriente base 1993'!V12/1000</f>
        <v>5.5151858567343649E-2</v>
      </c>
      <c r="K46" s="671">
        <f>'Cuenta Ahorro-Inversión-Financi'!S13/'PIB corriente base 1993'!V12/1000</f>
        <v>3.4958159978124154E-2</v>
      </c>
      <c r="L46" s="671">
        <f>'Cuenta Ahorro-Inversión-Financi'!AH13/'PIB corriente base 1993'!V12/1000</f>
        <v>1.2286423141515632E-2</v>
      </c>
      <c r="M46" s="671">
        <f>'Cuenta Ahorro-Inversión-Financi'!AN13/'PIB corriente base 1993'!V12/1000</f>
        <v>5.0689630266851828E-3</v>
      </c>
      <c r="N46" s="671">
        <f>'Cuenta Ahorro-Inversión-Financi'!AF13/'PIB corriente base 1993'!V12/1000</f>
        <v>5.5864836862944522E-2</v>
      </c>
      <c r="O46" s="671">
        <f>'Cuenta Ahorro-Inversión-Financi'!M46+'Cuenta Ahorro-Inversión-Financi'!I46</f>
        <v>5.344465048378122E-2</v>
      </c>
      <c r="P46" s="669"/>
      <c r="Q46" s="679">
        <v>1997</v>
      </c>
      <c r="R46" s="687">
        <f>'Cuenta Ahorro-Inversión-Financi'!BE13/1000/'PIB corriente base 1993'!V12</f>
        <v>5.0065966686067401E-2</v>
      </c>
      <c r="S46" s="687"/>
      <c r="T46" s="687">
        <f>'Cuenta Ahorro-Inversión-Financi'!BW13/1000/'PIB corriente base 1993'!V12</f>
        <v>5.3990300658729477E-3</v>
      </c>
      <c r="U46" s="687">
        <f>'Cuenta Ahorro-Inversión-Financi'!T46+'Cuenta Ahorro-Inversión-Financi'!R46+(('Cuenta Ahorro-Inversión-Financi'!AX13+'Cuenta Ahorro-Inversión-Financi'!BB13)/1000/'PIB corriente base 1993'!V12)</f>
        <v>5.6600595771893462E-2</v>
      </c>
      <c r="V46" s="687">
        <f>'Cuenta Ahorro-Inversión-Financi'!BM13/1000/'PIB corriente base 1993'!V12</f>
        <v>5.3990300658729477E-3</v>
      </c>
      <c r="W46" s="673">
        <f>'Cuenta Ahorro-Inversión-Financi'!AW13/1000/'PIB corriente base 1993'!V12</f>
        <v>5.6600595771893469E-2</v>
      </c>
      <c r="X46" s="673">
        <f t="shared" si="13"/>
        <v>5.6600595771893469E-2</v>
      </c>
      <c r="Y46" s="673"/>
      <c r="Z46" s="673">
        <f>('Cuenta Ahorro-Inversión-Financi'!CF13)/1000/'PIB corriente base 1993'!V12</f>
        <v>5.6630785948952878E-2</v>
      </c>
      <c r="AA46" s="673">
        <f>('Cuenta Ahorro-Inversión-Financi'!CF13-'Cuenta Ahorro-Inversión-Financi'!AX13)/1000/'PIB corriente base 1993'!V12</f>
        <v>5.5790439920810904E-2</v>
      </c>
      <c r="AB46" s="669"/>
      <c r="AC46" s="680">
        <v>1997</v>
      </c>
      <c r="AD46" s="675">
        <f>'Cuenta Ahorro-Inversión-Financi'!J46-'Cuenta Ahorro-Inversión-Financi'!X46</f>
        <v>-1.4487372045498201E-3</v>
      </c>
      <c r="AE46" s="675">
        <f>'Cuenta Ahorro-Inversión-Financi'!F46-'Cuenta Ahorro-Inversión-Financi'!R46</f>
        <v>-1.5107806707943247E-2</v>
      </c>
      <c r="AF46" s="675">
        <f>'Cuenta Ahorro-Inversión-Financi'!I46-'Cuenta Ahorro-Inversión-Financi'!U46-'Cuenta Ahorro-Inversión-Financi'!H46</f>
        <v>-8.3332122152604115E-3</v>
      </c>
      <c r="AG46" s="675">
        <f>'Cuenta Ahorro-Inversión-Financi'!I46-'Cuenta Ahorro-Inversión-Financi'!U46</f>
        <v>-8.2249083147974272E-3</v>
      </c>
      <c r="AH46" s="675">
        <f>'Cuenta Ahorro-Inversión-Financi'!O46-'Cuenta Ahorro-Inversión-Financi'!U46</f>
        <v>-3.1559452881122427E-3</v>
      </c>
      <c r="AI46" s="675">
        <f>'Cuenta Ahorro-Inversión-Financi'!F46-('Cuenta Ahorro-Inversión-Financi'!BE13+'Cuenta Ahorro-Inversión-Financi'!BQ13)/'PIB corriente base 1993'!V12/1000</f>
        <v>-1.9840554249826219E-2</v>
      </c>
      <c r="AJ46" s="455">
        <f>'Cuenta Ahorro-Inversión-Financi'!AH46-'Cuenta Ahorro-Inversión-Financi'!H46</f>
        <v>-3.2642491885752265E-3</v>
      </c>
      <c r="AK46" s="685"/>
      <c r="AL46" s="685"/>
      <c r="AN46" s="676">
        <f>'Cuenta Ahorro-Inversión-Financi'!AN47-1</f>
        <v>1997</v>
      </c>
      <c r="AO46" s="675">
        <f>'Cuenta Ahorro-Inversión-Financi'!I46</f>
        <v>4.8375687457096035E-2</v>
      </c>
      <c r="AP46" s="675">
        <f>'Cuenta Ahorro-Inversión-Financi'!F46</f>
        <v>3.4958159978124154E-2</v>
      </c>
      <c r="AQ46" s="675">
        <v>0</v>
      </c>
      <c r="AR46" s="675">
        <f>'Cuenta Ahorro-Inversión-Financi'!L46</f>
        <v>1.2286423141515632E-2</v>
      </c>
      <c r="AS46" s="675">
        <f>'Cuenta Ahorro-Inversión-Financi'!T46+'Cuenta Ahorro-Inversión-Financi'!R46+(('Cuenta Ahorro-Inversión-Financi'!BB13)/1000/'PIB corriente base 1993'!V12)</f>
        <v>5.5760249743751489E-2</v>
      </c>
      <c r="AT46" s="675">
        <f>'Cuenta Ahorro-Inversión-Financi'!T46+'Cuenta Ahorro-Inversión-Financi'!R46+(('Cuenta Ahorro-Inversión-Financi'!BB13-'Cuenta Ahorro-Inversión-Financi'!BO13-'Cuenta Ahorro-Inversión-Financi'!BP13)/1000/'PIB corriente base 1993'!V12)</f>
        <v>5.5760249743751489E-2</v>
      </c>
      <c r="AU46" s="675">
        <f>'Cuenta Ahorro-Inversión-Financi'!U46</f>
        <v>5.6600595771893462E-2</v>
      </c>
      <c r="AV46" s="675">
        <f>('Cuenta Ahorro-Inversión-Financi'!CG13)/1000/'PIB corriente base 1993'!V12+'Cuenta Ahorro-Inversión-Financi'!Y46</f>
        <v>7.21746011483045E-3</v>
      </c>
      <c r="AW46" s="675">
        <f>'Cuenta Ahorro-Inversión-Financi'!AP46-'Cuenta Ahorro-Inversión-Financi'!AT46</f>
        <v>-2.0802089765627335E-2</v>
      </c>
      <c r="AX46" s="675">
        <f>'Cuenta Ahorro-Inversión-Financi'!AO46-'Cuenta Ahorro-Inversión-Financi'!AU46</f>
        <v>-8.2249083147974272E-3</v>
      </c>
      <c r="AY46" s="675">
        <f>'Cuenta Ahorro-Inversión-Financi'!AO46+'Cuenta Ahorro-Inversión-Financi'!AQ46+'Cuenta Ahorro-Inversión-Financi'!AR46-'Cuenta Ahorro-Inversión-Financi'!AU46-'Cuenta Ahorro-Inversión-Financi'!AV46</f>
        <v>-3.155945288112247E-3</v>
      </c>
      <c r="AZ46" s="675">
        <f>'Cuenta Ahorro-Inversión-Financi'!AY46</f>
        <v>-3.155945288112247E-3</v>
      </c>
      <c r="BA46" s="455">
        <f t="shared" si="14"/>
        <v>6.3818055886723915E-2</v>
      </c>
      <c r="BB46" s="455">
        <v>-8.3332122152604791E-3</v>
      </c>
      <c r="BC46" s="455">
        <v>-8.2249083147975001E-3</v>
      </c>
      <c r="BF46" s="455">
        <f>'Cuenta Ahorro-Inversión-Financi'!BR28/'Cuenta Ahorro-Inversión-Financi'!BE28</f>
        <v>3.5832599063582861E-2</v>
      </c>
      <c r="BI46" s="1">
        <f>'Cuenta Ahorro-Inversión-Financi'!BN32-'Cuenta Ahorro-Inversión-Financi'!BI45</f>
        <v>145903423.52105001</v>
      </c>
      <c r="BJ46" s="455">
        <f>('Cuenta Ahorro-Inversión-Financi'!BO31)/'Cuenta Ahorro-Inversión-Financi'!BM31</f>
        <v>2.3761201479417172E-2</v>
      </c>
      <c r="BK46" s="1">
        <f>'Cuenta Ahorro-Inversión-Financi'!BK45+'Cuenta Ahorro-Inversión-Financi'!BR30</f>
        <v>61284342.353520006</v>
      </c>
      <c r="BN46" s="310">
        <v>26842000</v>
      </c>
      <c r="BO46" s="688">
        <f>22088370468.25/1000</f>
        <v>22088370.468249999</v>
      </c>
    </row>
    <row r="47" spans="1:1025" ht="15.75" customHeight="1">
      <c r="A47" s="669"/>
      <c r="B47" s="669"/>
      <c r="C47" s="669"/>
      <c r="D47" s="669"/>
      <c r="E47" s="849">
        <v>1998</v>
      </c>
      <c r="F47" s="678">
        <f>'Cuenta Ahorro-Inversión-Financi'!T14/'PIB corriente base 1993'!V13/1000</f>
        <v>2.6496521923346422E-2</v>
      </c>
      <c r="G47" s="678">
        <f>('Cuenta Ahorro-Inversión-Financi'!G14+'Cuenta Ahorro-Inversión-Financi'!R14)/'PIB corriente base 1993'!V13/1000</f>
        <v>2.1257840347759106E-2</v>
      </c>
      <c r="H47" s="678">
        <f>'Cuenta Ahorro-Inversión-Financi'!W14/'PIB corriente base 1993'!V13/1000</f>
        <v>4.8496305148205421E-5</v>
      </c>
      <c r="I47" s="678">
        <f>('Cuenta Ahorro-Inversión-Financi'!F14-'Cuenta Ahorro-Inversión-Financi'!U14)/'PIB corriente base 1993'!V13/1000</f>
        <v>4.7802858576253743E-2</v>
      </c>
      <c r="J47" s="678">
        <f>'Cuenta Ahorro-Inversión-Financi'!F14/'PIB corriente base 1993'!V13/1000</f>
        <v>5.447481534235294E-2</v>
      </c>
      <c r="K47" s="678">
        <f>'Cuenta Ahorro-Inversión-Financi'!S14/'PIB corriente base 1993'!V13/1000</f>
        <v>3.3168478689445627E-2</v>
      </c>
      <c r="L47" s="678">
        <f>'Cuenta Ahorro-Inversión-Financi'!AH14/'PIB corriente base 1993'!V13/1000</f>
        <v>1.2703332712976441E-2</v>
      </c>
      <c r="M47" s="678">
        <f>'Cuenta Ahorro-Inversión-Financi'!AN14/'PIB corriente base 1993'!V13/1000</f>
        <v>4.5225979350447584E-3</v>
      </c>
      <c r="N47" s="683">
        <f>'Cuenta Ahorro-Inversión-Financi'!AF14/'PIB corriente base 1993'!V13/1000</f>
        <v>5.4766801743188695E-2</v>
      </c>
      <c r="O47" s="683">
        <f>'Cuenta Ahorro-Inversión-Financi'!M47+'Cuenta Ahorro-Inversión-Financi'!I47</f>
        <v>5.2325456511298503E-2</v>
      </c>
      <c r="P47" s="669"/>
      <c r="Q47" s="679">
        <v>1998</v>
      </c>
      <c r="R47" s="678">
        <f>'Cuenta Ahorro-Inversión-Financi'!BE14/1000/'PIB corriente base 1993'!V13</f>
        <v>4.9190355547857903E-2</v>
      </c>
      <c r="S47" s="678"/>
      <c r="T47" s="678">
        <f>'Cuenta Ahorro-Inversión-Financi'!BQ14/1000/'PIB corriente base 1993'!V13</f>
        <v>4.7703499305596919E-3</v>
      </c>
      <c r="U47" s="678">
        <f>'Cuenta Ahorro-Inversión-Financi'!T47+'Cuenta Ahorro-Inversión-Financi'!R47+(('Cuenta Ahorro-Inversión-Financi'!AX14+'Cuenta Ahorro-Inversión-Financi'!BB14)/1000/'PIB corriente base 1993'!V13)</f>
        <v>5.4985518635284107E-2</v>
      </c>
      <c r="V47" s="678">
        <f>'Cuenta Ahorro-Inversión-Financi'!BM14/1000/'PIB corriente base 1993'!V13</f>
        <v>1.2752478862528069E-2</v>
      </c>
      <c r="W47" s="678">
        <f>'Cuenta Ahorro-Inversión-Financi'!AW14/1000/'PIB corriente base 1993'!V13</f>
        <v>6.2967647567252483E-2</v>
      </c>
      <c r="X47" s="678">
        <f t="shared" si="13"/>
        <v>6.2967647567252483E-2</v>
      </c>
      <c r="Y47" s="678"/>
      <c r="Z47" s="678">
        <f>('Cuenta Ahorro-Inversión-Financi'!CF14)/1000/'PIB corriente base 1993'!V13</f>
        <v>6.301442228188088E-2</v>
      </c>
      <c r="AA47" s="678">
        <f>('Cuenta Ahorro-Inversión-Financi'!CF14-'Cuenta Ahorro-Inversión-Financi'!AX14)/1000/'PIB corriente base 1993'!V13</f>
        <v>6.2239422549517448E-2</v>
      </c>
      <c r="AB47" s="669"/>
      <c r="AC47" s="680">
        <v>1998</v>
      </c>
      <c r="AD47" s="678">
        <f>'Cuenta Ahorro-Inversión-Financi'!J47-'Cuenta Ahorro-Inversión-Financi'!X47</f>
        <v>-8.4928322248995422E-3</v>
      </c>
      <c r="AE47" s="678">
        <f>'Cuenta Ahorro-Inversión-Financi'!F47-'Cuenta Ahorro-Inversión-Financi'!R47</f>
        <v>-2.2693833624511481E-2</v>
      </c>
      <c r="AF47" s="678">
        <f>'Cuenta Ahorro-Inversión-Financi'!I47-'Cuenta Ahorro-Inversión-Financi'!U47-'Cuenta Ahorro-Inversión-Financi'!H47</f>
        <v>-7.23115636417857E-3</v>
      </c>
      <c r="AG47" s="678">
        <f>'Cuenta Ahorro-Inversión-Financi'!I47-'Cuenta Ahorro-Inversión-Financi'!U47</f>
        <v>-7.1826600590303644E-3</v>
      </c>
      <c r="AH47" s="678">
        <f>'Cuenta Ahorro-Inversión-Financi'!O47-'Cuenta Ahorro-Inversión-Financi'!U47</f>
        <v>-2.6600621239856043E-3</v>
      </c>
      <c r="AI47" s="678">
        <f>'Cuenta Ahorro-Inversión-Financi'!F47-('Cuenta Ahorro-Inversión-Financi'!BE14+'Cuenta Ahorro-Inversión-Financi'!BQ14)/'PIB corriente base 1993'!V13/1000</f>
        <v>-2.746418355507118E-2</v>
      </c>
      <c r="AJ47" s="455">
        <f>'Cuenta Ahorro-Inversión-Financi'!AH47-'Cuenta Ahorro-Inversión-Financi'!H47</f>
        <v>-2.7085584291338099E-3</v>
      </c>
      <c r="AK47" s="685"/>
      <c r="AL47" s="685"/>
      <c r="AN47" s="676">
        <f>'Cuenta Ahorro-Inversión-Financi'!AN48-1</f>
        <v>1998</v>
      </c>
      <c r="AO47" s="678">
        <f>'Cuenta Ahorro-Inversión-Financi'!I47</f>
        <v>4.7802858576253743E-2</v>
      </c>
      <c r="AP47" s="678">
        <f>'Cuenta Ahorro-Inversión-Financi'!F47</f>
        <v>2.6496521923346422E-2</v>
      </c>
      <c r="AQ47" s="678">
        <v>0</v>
      </c>
      <c r="AR47" s="678">
        <f>'Cuenta Ahorro-Inversión-Financi'!L47</f>
        <v>1.2703332712976441E-2</v>
      </c>
      <c r="AS47" s="678">
        <f>'Cuenta Ahorro-Inversión-Financi'!T47+'Cuenta Ahorro-Inversión-Financi'!R47+(('Cuenta Ahorro-Inversión-Financi'!BB14)/1000/'PIB corriente base 1993'!V13)</f>
        <v>5.4210518902920668E-2</v>
      </c>
      <c r="AT47" s="678">
        <f>'Cuenta Ahorro-Inversión-Financi'!T47+'Cuenta Ahorro-Inversión-Financi'!R47+(('Cuenta Ahorro-Inversión-Financi'!BB14-'Cuenta Ahorro-Inversión-Financi'!BO14-'Cuenta Ahorro-Inversión-Financi'!BP14)/1000/'PIB corriente base 1993'!V13)</f>
        <v>5.36416042274813E-2</v>
      </c>
      <c r="AU47" s="678">
        <f>'Cuenta Ahorro-Inversión-Financi'!U47</f>
        <v>5.4985518635284107E-2</v>
      </c>
      <c r="AV47" s="678">
        <f>('Cuenta Ahorro-Inversión-Financi'!CG14)/1000/'PIB corriente base 1993'!V13+'Cuenta Ahorro-Inversión-Financi'!Y47</f>
        <v>8.1807347779316829E-3</v>
      </c>
      <c r="AW47" s="678">
        <f>'Cuenta Ahorro-Inversión-Financi'!AP47-'Cuenta Ahorro-Inversión-Financi'!AT47</f>
        <v>-2.7145082304134878E-2</v>
      </c>
      <c r="AX47" s="678">
        <f>'Cuenta Ahorro-Inversión-Financi'!AO47-'Cuenta Ahorro-Inversión-Financi'!AU47</f>
        <v>-7.1826600590303644E-3</v>
      </c>
      <c r="AY47" s="678">
        <f>'Cuenta Ahorro-Inversión-Financi'!AO47+'Cuenta Ahorro-Inversión-Financi'!AQ47+'Cuenta Ahorro-Inversión-Financi'!AR47-'Cuenta Ahorro-Inversión-Financi'!AU47-'Cuenta Ahorro-Inversión-Financi'!AV47</f>
        <v>-2.6600621239856077E-3</v>
      </c>
      <c r="AZ47" s="678">
        <f>'Cuenta Ahorro-Inversión-Financi'!AY47</f>
        <v>-2.6600621239856077E-3</v>
      </c>
      <c r="BA47" s="455">
        <f t="shared" si="14"/>
        <v>6.3166253413215787E-2</v>
      </c>
      <c r="BB47" s="455">
        <v>-7.2311563641786099E-3</v>
      </c>
      <c r="BC47" s="455">
        <v>-7.1826600590303999E-3</v>
      </c>
      <c r="BF47" s="455">
        <f>'Cuenta Ahorro-Inversión-Financi'!BR29/'Cuenta Ahorro-Inversión-Financi'!BE29</f>
        <v>3.5824264381775772E-2</v>
      </c>
      <c r="BI47" s="1">
        <f>'Cuenta Ahorro-Inversión-Financi'!BI46+'Cuenta Ahorro-Inversión-Financi'!BO32+'Cuenta Ahorro-Inversión-Financi'!BP32</f>
        <v>167993739.7493</v>
      </c>
      <c r="BJ47" s="455">
        <f>('Cuenta Ahorro-Inversión-Financi'!BO32)/'Cuenta Ahorro-Inversión-Financi'!BM32</f>
        <v>0.13148329515857474</v>
      </c>
      <c r="BN47" s="28">
        <f>'Cuenta Ahorro-Inversión-Financi'!BN46-'Cuenta Ahorro-Inversión-Financi'!BO46</f>
        <v>4753629.531750001</v>
      </c>
      <c r="BO47" s="689"/>
      <c r="CA47" s="809" t="s">
        <v>974</v>
      </c>
      <c r="CB47" s="809"/>
      <c r="CC47" s="809"/>
      <c r="CD47" s="809"/>
      <c r="CE47" s="809"/>
      <c r="CF47" s="809"/>
      <c r="CG47" s="809"/>
      <c r="CH47" s="809"/>
      <c r="CI47" s="809"/>
      <c r="CJ47" s="809"/>
      <c r="CK47" s="809"/>
      <c r="CL47" s="809"/>
      <c r="CM47" s="809"/>
    </row>
    <row r="48" spans="1:1025" ht="15.75" customHeight="1">
      <c r="A48" s="669"/>
      <c r="B48" s="669"/>
      <c r="C48" s="669"/>
      <c r="D48" s="669"/>
      <c r="E48" s="849">
        <v>1999</v>
      </c>
      <c r="F48" s="671">
        <f>'Cuenta Ahorro-Inversión-Financi'!T15/'PIB corriente base 1993'!V14/1000</f>
        <v>2.4905564668713822E-2</v>
      </c>
      <c r="G48" s="671">
        <f>('Cuenta Ahorro-Inversión-Financi'!G15+'Cuenta Ahorro-Inversión-Financi'!R15)/'PIB corriente base 1993'!V14/1000</f>
        <v>2.1430330231537533E-2</v>
      </c>
      <c r="H48" s="671">
        <f>'Cuenta Ahorro-Inversión-Financi'!W15/'PIB corriente base 1993'!V14/1000</f>
        <v>8.9008900038115067E-6</v>
      </c>
      <c r="I48" s="671">
        <f>('Cuenta Ahorro-Inversión-Financi'!F15-'Cuenta Ahorro-Inversión-Financi'!U15)/'PIB corriente base 1993'!V14/1000</f>
        <v>4.6344795790255168E-2</v>
      </c>
      <c r="J48" s="671">
        <f>'Cuenta Ahorro-Inversión-Financi'!F15/'PIB corriente base 1993'!V14/1000</f>
        <v>5.3277700430070164E-2</v>
      </c>
      <c r="K48" s="671">
        <f>'Cuenta Ahorro-Inversión-Financi'!S15/'PIB corriente base 1993'!V14/1000</f>
        <v>3.1838469308528822E-2</v>
      </c>
      <c r="L48" s="671">
        <f>'Cuenta Ahorro-Inversión-Financi'!AH15/'PIB corriente base 1993'!V14/1000</f>
        <v>1.3059061033359248E-2</v>
      </c>
      <c r="M48" s="671">
        <f>'Cuenta Ahorro-Inversión-Financi'!AN15/'PIB corriente base 1993'!V14/1000</f>
        <v>4.3774827281074956E-3</v>
      </c>
      <c r="N48" s="671">
        <f>'Cuenta Ahorro-Inversión-Financi'!AF15/'PIB corriente base 1993'!V14/1000</f>
        <v>5.3500770107241462E-2</v>
      </c>
      <c r="O48" s="671">
        <f>'Cuenta Ahorro-Inversión-Financi'!M48+'Cuenta Ahorro-Inversión-Financi'!I48</f>
        <v>5.0722278518362661E-2</v>
      </c>
      <c r="P48" s="669"/>
      <c r="Q48" s="679">
        <v>1999</v>
      </c>
      <c r="R48" s="687">
        <f>'Cuenta Ahorro-Inversión-Financi'!BE15/1000/'PIB corriente base 1993'!V14</f>
        <v>5.1749690321129138E-2</v>
      </c>
      <c r="S48" s="687"/>
      <c r="T48" s="687">
        <f>'Cuenta Ahorro-Inversión-Financi'!BQ15/1000/'PIB corriente base 1993'!V14</f>
        <v>5.8732282382241395E-3</v>
      </c>
      <c r="U48" s="687">
        <f>'Cuenta Ahorro-Inversión-Financi'!T48+'Cuenta Ahorro-Inversión-Financi'!R48+(('Cuenta Ahorro-Inversión-Financi'!AX15+'Cuenta Ahorro-Inversión-Financi'!BB15)/1000/'PIB corriente base 1993'!V14)</f>
        <v>5.8481966532990162E-2</v>
      </c>
      <c r="V48" s="687">
        <f>'Cuenta Ahorro-Inversión-Financi'!BM15/1000/'PIB corriente base 1993'!V14</f>
        <v>1.4308221330753395E-2</v>
      </c>
      <c r="W48" s="673">
        <f>'Cuenta Ahorro-Inversión-Financi'!AW15/1000/'PIB corriente base 1993'!V14</f>
        <v>6.6916959625519412E-2</v>
      </c>
      <c r="X48" s="673">
        <f t="shared" si="13"/>
        <v>6.6916959625519412E-2</v>
      </c>
      <c r="Y48" s="673"/>
      <c r="Z48" s="673">
        <f>('Cuenta Ahorro-Inversión-Financi'!CF15)/1000/'PIB corriente base 1993'!V14</f>
        <v>6.6940629614664487E-2</v>
      </c>
      <c r="AA48" s="673">
        <f>('Cuenta Ahorro-Inversión-Financi'!CF15-'Cuenta Ahorro-Inversión-Financi'!AX15)/1000/'PIB corriente base 1993'!V14</f>
        <v>6.609580819484806E-2</v>
      </c>
      <c r="AB48" s="669"/>
      <c r="AC48" s="680">
        <v>1999</v>
      </c>
      <c r="AD48" s="675">
        <f>'Cuenta Ahorro-Inversión-Financi'!J48-'Cuenta Ahorro-Inversión-Financi'!X48</f>
        <v>-1.3639259195449248E-2</v>
      </c>
      <c r="AE48" s="675">
        <f>'Cuenta Ahorro-Inversión-Financi'!F48-'Cuenta Ahorro-Inversión-Financi'!R48</f>
        <v>-2.6844125652415316E-2</v>
      </c>
      <c r="AF48" s="675">
        <f>'Cuenta Ahorro-Inversión-Financi'!I48-'Cuenta Ahorro-Inversión-Financi'!U48-'Cuenta Ahorro-Inversión-Financi'!H48</f>
        <v>-1.2146071632738805E-2</v>
      </c>
      <c r="AG48" s="675">
        <f>'Cuenta Ahorro-Inversión-Financi'!I48-'Cuenta Ahorro-Inversión-Financi'!U48</f>
        <v>-1.2137170742734994E-2</v>
      </c>
      <c r="AH48" s="675">
        <f>'Cuenta Ahorro-Inversión-Financi'!O48-'Cuenta Ahorro-Inversión-Financi'!U48</f>
        <v>-7.7596880146275013E-3</v>
      </c>
      <c r="AI48" s="675">
        <f>'Cuenta Ahorro-Inversión-Financi'!F48-('Cuenta Ahorro-Inversión-Financi'!BE15+'Cuenta Ahorro-Inversión-Financi'!BQ15)/'PIB corriente base 1993'!V14/1000</f>
        <v>-3.2717353890639456E-2</v>
      </c>
      <c r="AJ48" s="455">
        <f>'Cuenta Ahorro-Inversión-Financi'!AH48-'Cuenta Ahorro-Inversión-Financi'!H48</f>
        <v>-7.7685889046313125E-3</v>
      </c>
      <c r="AK48" s="685"/>
      <c r="AL48" s="685"/>
      <c r="AN48" s="676">
        <f>'Cuenta Ahorro-Inversión-Financi'!AN49-1</f>
        <v>1999</v>
      </c>
      <c r="AO48" s="675">
        <f>'Cuenta Ahorro-Inversión-Financi'!I48</f>
        <v>4.6344795790255168E-2</v>
      </c>
      <c r="AP48" s="675">
        <f>'Cuenta Ahorro-Inversión-Financi'!F48</f>
        <v>2.4905564668713822E-2</v>
      </c>
      <c r="AQ48" s="675">
        <v>0</v>
      </c>
      <c r="AR48" s="675">
        <f>'Cuenta Ahorro-Inversión-Financi'!L48</f>
        <v>1.3059061033359248E-2</v>
      </c>
      <c r="AS48" s="675">
        <f>'Cuenta Ahorro-Inversión-Financi'!T48+'Cuenta Ahorro-Inversión-Financi'!R48+(('Cuenta Ahorro-Inversión-Financi'!BB15)/1000/'PIB corriente base 1993'!V14)</f>
        <v>5.7637145113173742E-2</v>
      </c>
      <c r="AT48" s="675">
        <f>'Cuenta Ahorro-Inversión-Financi'!T48+'Cuenta Ahorro-Inversión-Financi'!R48+(('Cuenta Ahorro-Inversión-Financi'!BB15-'Cuenta Ahorro-Inversión-Financi'!BO15-'Cuenta Ahorro-Inversión-Financi'!BP15)/1000/'PIB corriente base 1993'!V14)</f>
        <v>5.7057201535359731E-2</v>
      </c>
      <c r="AU48" s="675">
        <f>'Cuenta Ahorro-Inversión-Financi'!U48</f>
        <v>5.8481966532990162E-2</v>
      </c>
      <c r="AV48" s="675">
        <f>('Cuenta Ahorro-Inversión-Financi'!CG15)/1000/'PIB corriente base 1993'!V14+'Cuenta Ahorro-Inversión-Financi'!Y48</f>
        <v>8.6815783052517515E-3</v>
      </c>
      <c r="AW48" s="675">
        <f>'Cuenta Ahorro-Inversión-Financi'!AP48-'Cuenta Ahorro-Inversión-Financi'!AT48</f>
        <v>-3.2151636866645905E-2</v>
      </c>
      <c r="AX48" s="675">
        <f>'Cuenta Ahorro-Inversión-Financi'!AO48-'Cuenta Ahorro-Inversión-Financi'!AU48</f>
        <v>-1.2137170742734994E-2</v>
      </c>
      <c r="AY48" s="675">
        <f>'Cuenta Ahorro-Inversión-Financi'!AO48+'Cuenta Ahorro-Inversión-Financi'!AQ48+'Cuenta Ahorro-Inversión-Financi'!AR48-'Cuenta Ahorro-Inversión-Financi'!AU48-'Cuenta Ahorro-Inversión-Financi'!AV48</f>
        <v>-7.7596880146274961E-3</v>
      </c>
      <c r="AZ48" s="675">
        <f>'Cuenta Ahorro-Inversión-Financi'!AY48</f>
        <v>-7.7596880146274961E-3</v>
      </c>
      <c r="BA48" s="455">
        <f t="shared" si="14"/>
        <v>6.7163544838241912E-2</v>
      </c>
      <c r="BB48" s="455">
        <v>-1.21460716327388E-2</v>
      </c>
      <c r="BC48" s="455">
        <v>-1.2137170742734999E-2</v>
      </c>
      <c r="BF48" s="455">
        <f>'Cuenta Ahorro-Inversión-Financi'!BR30/'Cuenta Ahorro-Inversión-Financi'!BE30</f>
        <v>3.6049570206293929E-2</v>
      </c>
      <c r="BI48" s="1" t="s">
        <v>975</v>
      </c>
      <c r="BJ48" s="455">
        <f>('Cuenta Ahorro-Inversión-Financi'!BO33)/'Cuenta Ahorro-Inversión-Financi'!BM33</f>
        <v>0.23491451309299416</v>
      </c>
      <c r="CA48" s="809"/>
      <c r="CB48" s="809"/>
      <c r="CC48" s="809"/>
      <c r="CD48" s="809"/>
      <c r="CE48" s="809"/>
      <c r="CF48" s="809"/>
      <c r="CG48" s="809"/>
      <c r="CH48" s="809"/>
      <c r="CI48" s="809"/>
      <c r="CJ48" s="809"/>
      <c r="CK48" s="809"/>
      <c r="CL48" s="809"/>
      <c r="CM48" s="809"/>
    </row>
    <row r="49" spans="1:107" ht="15.75" customHeight="1">
      <c r="A49" s="669"/>
      <c r="B49" s="669"/>
      <c r="C49" s="669"/>
      <c r="D49" s="669"/>
      <c r="E49" s="849">
        <v>2000</v>
      </c>
      <c r="F49" s="678">
        <f>'Cuenta Ahorro-Inversión-Financi'!T16/'PIB corriente base 1993'!V15/1000</f>
        <v>2.3619876566538297E-2</v>
      </c>
      <c r="G49" s="678">
        <f>('Cuenta Ahorro-Inversión-Financi'!G16+'Cuenta Ahorro-Inversión-Financi'!R16)/'PIB corriente base 1993'!V15/1000</f>
        <v>2.3556870770297954E-2</v>
      </c>
      <c r="H49" s="678">
        <f>'Cuenta Ahorro-Inversión-Financi'!W16/'PIB corriente base 1993'!V15/1000</f>
        <v>5.0805813937639194E-6</v>
      </c>
      <c r="I49" s="678">
        <f>('Cuenta Ahorro-Inversión-Financi'!F16-'Cuenta Ahorro-Inversión-Financi'!U16)/'PIB corriente base 1993'!V15/1000</f>
        <v>4.7181827918230015E-2</v>
      </c>
      <c r="J49" s="678">
        <f>'Cuenta Ahorro-Inversión-Financi'!F16/'PIB corriente base 1993'!V15/1000</f>
        <v>5.458356221983697E-2</v>
      </c>
      <c r="K49" s="678">
        <f>'Cuenta Ahorro-Inversión-Financi'!S16/'PIB corriente base 1993'!V15/1000</f>
        <v>3.1021610868145255E-2</v>
      </c>
      <c r="L49" s="678">
        <f>'Cuenta Ahorro-Inversión-Financi'!AH16/'PIB corriente base 1993'!V15/1000</f>
        <v>1.3248290446669314E-2</v>
      </c>
      <c r="M49" s="678">
        <f>'Cuenta Ahorro-Inversión-Financi'!AN16/'PIB corriente base 1993'!V15/1000</f>
        <v>4.8244970175839582E-3</v>
      </c>
      <c r="N49" s="683">
        <f>'Cuenta Ahorro-Inversión-Financi'!AF16/'PIB corriente base 1993'!V15/1000</f>
        <v>5.487559270522098E-2</v>
      </c>
      <c r="O49" s="683">
        <f>'Cuenta Ahorro-Inversión-Financi'!M49+'Cuenta Ahorro-Inversión-Financi'!I49</f>
        <v>5.2006324935813975E-2</v>
      </c>
      <c r="P49" s="669"/>
      <c r="Q49" s="679">
        <v>2000</v>
      </c>
      <c r="R49" s="678">
        <f>'Cuenta Ahorro-Inversión-Financi'!BE16/1000/'PIB corriente base 1993'!V15</f>
        <v>5.1850130065835651E-2</v>
      </c>
      <c r="S49" s="678"/>
      <c r="T49" s="678">
        <f>'Cuenta Ahorro-Inversión-Financi'!BQ16/1000/'PIB corriente base 1993'!V15</f>
        <v>6.1308401763183794E-3</v>
      </c>
      <c r="U49" s="678">
        <f>'Cuenta Ahorro-Inversión-Financi'!T49+'Cuenta Ahorro-Inversión-Financi'!R49+(('Cuenta Ahorro-Inversión-Financi'!AX16+'Cuenta Ahorro-Inversión-Financi'!BB16)/1000/'PIB corriente base 1993'!V15)</f>
        <v>5.8744869389588054E-2</v>
      </c>
      <c r="V49" s="678">
        <f>'Cuenta Ahorro-Inversión-Financi'!BM16/1000/'PIB corriente base 1993'!V15</f>
        <v>1.4655603363751048E-2</v>
      </c>
      <c r="W49" s="678">
        <f>'Cuenta Ahorro-Inversión-Financi'!AW16/1000/'PIB corriente base 1993'!V15</f>
        <v>6.7269632577020719E-2</v>
      </c>
      <c r="X49" s="678">
        <f t="shared" si="13"/>
        <v>6.7269632577020719E-2</v>
      </c>
      <c r="Y49" s="678"/>
      <c r="Z49" s="678">
        <f>('Cuenta Ahorro-Inversión-Financi'!CF16)/1000/'PIB corriente base 1993'!V15</f>
        <v>6.7287817148984685E-2</v>
      </c>
      <c r="AA49" s="678">
        <f>('Cuenta Ahorro-Inversión-Financi'!CF16-'Cuenta Ahorro-Inversión-Financi'!AX16)/1000/'PIB corriente base 1993'!V15</f>
        <v>6.6529899625874481E-2</v>
      </c>
      <c r="AB49" s="669"/>
      <c r="AC49" s="680">
        <v>2000</v>
      </c>
      <c r="AD49" s="678">
        <f>'Cuenta Ahorro-Inversión-Financi'!J49-'Cuenta Ahorro-Inversión-Financi'!X49</f>
        <v>-1.2686070357183749E-2</v>
      </c>
      <c r="AE49" s="678">
        <f>'Cuenta Ahorro-Inversión-Financi'!F49-'Cuenta Ahorro-Inversión-Financi'!R49</f>
        <v>-2.8230253499297354E-2</v>
      </c>
      <c r="AF49" s="678">
        <f>'Cuenta Ahorro-Inversión-Financi'!I49-'Cuenta Ahorro-Inversión-Financi'!U49-'Cuenta Ahorro-Inversión-Financi'!H49</f>
        <v>-1.1568122052751803E-2</v>
      </c>
      <c r="AG49" s="678">
        <f>'Cuenta Ahorro-Inversión-Financi'!I49-'Cuenta Ahorro-Inversión-Financi'!U49</f>
        <v>-1.1563041471358039E-2</v>
      </c>
      <c r="AH49" s="678">
        <f>'Cuenta Ahorro-Inversión-Financi'!O49-'Cuenta Ahorro-Inversión-Financi'!U49</f>
        <v>-6.7385444537740799E-3</v>
      </c>
      <c r="AI49" s="678">
        <f>'Cuenta Ahorro-Inversión-Financi'!F49-('Cuenta Ahorro-Inversión-Financi'!BE16+'Cuenta Ahorro-Inversión-Financi'!BQ16)/'PIB corriente base 1993'!V15/1000</f>
        <v>-3.4361093675615739E-2</v>
      </c>
      <c r="AJ49" s="455">
        <f>'Cuenta Ahorro-Inversión-Financi'!AH49-'Cuenta Ahorro-Inversión-Financi'!H49</f>
        <v>-6.743625035167844E-3</v>
      </c>
      <c r="AN49" s="676">
        <f>'Cuenta Ahorro-Inversión-Financi'!AN50-1</f>
        <v>2000</v>
      </c>
      <c r="AO49" s="678">
        <f>'Cuenta Ahorro-Inversión-Financi'!I49</f>
        <v>4.7181827918230015E-2</v>
      </c>
      <c r="AP49" s="678">
        <f>'Cuenta Ahorro-Inversión-Financi'!F49</f>
        <v>2.3619876566538297E-2</v>
      </c>
      <c r="AQ49" s="678">
        <v>0</v>
      </c>
      <c r="AR49" s="678">
        <f>'Cuenta Ahorro-Inversión-Financi'!L49</f>
        <v>1.3248290446669314E-2</v>
      </c>
      <c r="AS49" s="678">
        <f>'Cuenta Ahorro-Inversión-Financi'!T49+'Cuenta Ahorro-Inversión-Financi'!R49+(('Cuenta Ahorro-Inversión-Financi'!BB16)/1000/'PIB corriente base 1993'!V15)</f>
        <v>5.7986951866477836E-2</v>
      </c>
      <c r="AT49" s="678">
        <f>'Cuenta Ahorro-Inversión-Financi'!T49+'Cuenta Ahorro-Inversión-Financi'!R49+(('Cuenta Ahorro-Inversión-Financi'!BB16-'Cuenta Ahorro-Inversión-Financi'!BO16-'Cuenta Ahorro-Inversión-Financi'!BP16)/1000/'PIB corriente base 1993'!V15)</f>
        <v>5.7395373103139059E-2</v>
      </c>
      <c r="AU49" s="678">
        <f>'Cuenta Ahorro-Inversión-Financi'!U49</f>
        <v>5.8744869389588054E-2</v>
      </c>
      <c r="AV49" s="678">
        <f>('Cuenta Ahorro-Inversión-Financi'!CG16)/1000/'PIB corriente base 1993'!V15+'Cuenta Ahorro-Inversión-Financi'!Y49</f>
        <v>8.4237934290853547E-3</v>
      </c>
      <c r="AW49" s="678">
        <f>'Cuenta Ahorro-Inversión-Financi'!AP49-'Cuenta Ahorro-Inversión-Financi'!AT49</f>
        <v>-3.3775496536600766E-2</v>
      </c>
      <c r="AX49" s="678">
        <f>'Cuenta Ahorro-Inversión-Financi'!AO49-'Cuenta Ahorro-Inversión-Financi'!AU49</f>
        <v>-1.1563041471358039E-2</v>
      </c>
      <c r="AY49" s="678">
        <f>'Cuenta Ahorro-Inversión-Financi'!AO49+'Cuenta Ahorro-Inversión-Financi'!AQ49+'Cuenta Ahorro-Inversión-Financi'!AR49-'Cuenta Ahorro-Inversión-Financi'!AU49-'Cuenta Ahorro-Inversión-Financi'!AV49</f>
        <v>-6.7385444537740782E-3</v>
      </c>
      <c r="AZ49" s="678">
        <f>'Cuenta Ahorro-Inversión-Financi'!AY49</f>
        <v>-6.7385444537740782E-3</v>
      </c>
      <c r="BA49" s="455">
        <f t="shared" si="14"/>
        <v>6.7168662818673411E-2</v>
      </c>
      <c r="BB49" s="455">
        <v>-1.15681220527519E-2</v>
      </c>
      <c r="BC49" s="455">
        <v>-1.15630414713581E-2</v>
      </c>
      <c r="BF49" s="455">
        <f>'Cuenta Ahorro-Inversión-Financi'!BR31/'Cuenta Ahorro-Inversión-Financi'!BE31</f>
        <v>3.5813573266686494E-2</v>
      </c>
      <c r="CA49" s="809"/>
      <c r="CB49" s="809"/>
      <c r="CC49" s="809"/>
      <c r="CD49" s="809"/>
      <c r="CE49" s="809"/>
      <c r="CF49" s="809"/>
      <c r="CG49" s="809"/>
      <c r="CH49" s="809"/>
      <c r="CI49" s="809"/>
      <c r="CJ49" s="809"/>
      <c r="CK49" s="809"/>
      <c r="CL49" s="809"/>
      <c r="CM49" s="809"/>
    </row>
    <row r="50" spans="1:107" ht="15.75" customHeight="1">
      <c r="A50" s="669"/>
      <c r="B50" s="669"/>
      <c r="C50" s="669"/>
      <c r="D50" s="669"/>
      <c r="E50" s="849">
        <v>2001</v>
      </c>
      <c r="F50" s="671">
        <f>'Cuenta Ahorro-Inversión-Financi'!T17/'PIB corriente base 1993'!V16/1000</f>
        <v>2.387586963380494E-2</v>
      </c>
      <c r="G50" s="671">
        <f>('Cuenta Ahorro-Inversión-Financi'!G17+'Cuenta Ahorro-Inversión-Financi'!R17)/'PIB corriente base 1993'!V16/1000</f>
        <v>2.144577363317738E-2</v>
      </c>
      <c r="H50" s="671">
        <f>'Cuenta Ahorro-Inversión-Financi'!W17/'PIB corriente base 1993'!V16/1000</f>
        <v>1.2795037999963891E-6</v>
      </c>
      <c r="I50" s="671">
        <f>('Cuenta Ahorro-Inversión-Financi'!F17-'Cuenta Ahorro-Inversión-Financi'!U17)/'PIB corriente base 1993'!V16/1000</f>
        <v>4.5322922770782322E-2</v>
      </c>
      <c r="J50" s="671">
        <f>'Cuenta Ahorro-Inversión-Financi'!F17/'PIB corriente base 1993'!V16/1000</f>
        <v>5.0793166744430927E-2</v>
      </c>
      <c r="K50" s="671">
        <f>'Cuenta Ahorro-Inversión-Financi'!S17/'PIB corriente base 1993'!V16/1000</f>
        <v>2.9346113607453546E-2</v>
      </c>
      <c r="L50" s="671">
        <f>'Cuenta Ahorro-Inversión-Financi'!AH17/'PIB corriente base 1993'!V16/1000</f>
        <v>1.2445044343194066E-2</v>
      </c>
      <c r="M50" s="671">
        <f>'Cuenta Ahorro-Inversión-Financi'!AN17/'PIB corriente base 1993'!V16/1000</f>
        <v>3.9388708840708995E-3</v>
      </c>
      <c r="N50" s="671">
        <f>'Cuenta Ahorro-Inversión-Financi'!AF17/'PIB corriente base 1993'!V16/1000</f>
        <v>5.0810948015815774E-2</v>
      </c>
      <c r="O50" s="671">
        <f>'Cuenta Ahorro-Inversión-Financi'!M50+'Cuenta Ahorro-Inversión-Financi'!I50</f>
        <v>4.9261793654853218E-2</v>
      </c>
      <c r="P50" s="669"/>
      <c r="Q50" s="679">
        <v>2001</v>
      </c>
      <c r="R50" s="687">
        <f>'Cuenta Ahorro-Inversión-Financi'!BE17/1000/'PIB corriente base 1993'!V16</f>
        <v>5.2521530825534735E-2</v>
      </c>
      <c r="S50" s="687"/>
      <c r="T50" s="687">
        <f>'Cuenta Ahorro-Inversión-Financi'!BQ17/1000/'PIB corriente base 1993'!V16</f>
        <v>6.2166992059071212E-3</v>
      </c>
      <c r="U50" s="687">
        <f>'Cuenta Ahorro-Inversión-Financi'!T50+'Cuenta Ahorro-Inversión-Financi'!R50+(('Cuenta Ahorro-Inversión-Financi'!AX17+'Cuenta Ahorro-Inversión-Financi'!BB17)/1000/'PIB corriente base 1993'!V16)</f>
        <v>5.9426722392113419E-2</v>
      </c>
      <c r="V50" s="687">
        <f>'Cuenta Ahorro-Inversión-Financi'!BM17/1000/'PIB corriente base 1993'!V16</f>
        <v>1.3777080187770265E-2</v>
      </c>
      <c r="W50" s="673">
        <f>'Cuenta Ahorro-Inversión-Financi'!AW17/1000/'PIB corriente base 1993'!V16</f>
        <v>6.6987103373976564E-2</v>
      </c>
      <c r="X50" s="673">
        <f t="shared" si="13"/>
        <v>6.6987103373976564E-2</v>
      </c>
      <c r="Y50" s="673"/>
      <c r="Z50" s="673">
        <f>('Cuenta Ahorro-Inversión-Financi'!CF17)/1000/'PIB corriente base 1993'!V16</f>
        <v>6.7003194998577251E-2</v>
      </c>
      <c r="AA50" s="673">
        <f>('Cuenta Ahorro-Inversión-Financi'!CF17-'Cuenta Ahorro-Inversión-Financi'!AX17)/1000/'PIB corriente base 1993'!V16</f>
        <v>6.6314774894094028E-2</v>
      </c>
      <c r="AB50" s="669"/>
      <c r="AC50" s="680">
        <v>2001</v>
      </c>
      <c r="AD50" s="675">
        <f>'Cuenta Ahorro-Inversión-Financi'!J50-'Cuenta Ahorro-Inversión-Financi'!X50</f>
        <v>-1.6193936629545637E-2</v>
      </c>
      <c r="AE50" s="675">
        <f>'Cuenta Ahorro-Inversión-Financi'!F50-'Cuenta Ahorro-Inversión-Financi'!R50</f>
        <v>-2.8645661191729795E-2</v>
      </c>
      <c r="AF50" s="675">
        <f>'Cuenta Ahorro-Inversión-Financi'!I50-'Cuenta Ahorro-Inversión-Financi'!U50-'Cuenta Ahorro-Inversión-Financi'!H50</f>
        <v>-1.4105079125131094E-2</v>
      </c>
      <c r="AG50" s="675">
        <f>'Cuenta Ahorro-Inversión-Financi'!I50-'Cuenta Ahorro-Inversión-Financi'!U50</f>
        <v>-1.4103799621331098E-2</v>
      </c>
      <c r="AH50" s="675">
        <f>'Cuenta Ahorro-Inversión-Financi'!O50-'Cuenta Ahorro-Inversión-Financi'!U50</f>
        <v>-1.0164928737260201E-2</v>
      </c>
      <c r="AI50" s="675">
        <f>'Cuenta Ahorro-Inversión-Financi'!F50-('Cuenta Ahorro-Inversión-Financi'!BE17+'Cuenta Ahorro-Inversión-Financi'!BQ17)/'PIB corriente base 1993'!V16/1000</f>
        <v>-3.4862360397636918E-2</v>
      </c>
      <c r="AJ50" s="455">
        <f>'Cuenta Ahorro-Inversión-Financi'!AH50-'Cuenta Ahorro-Inversión-Financi'!H50</f>
        <v>-1.0166208241060197E-2</v>
      </c>
      <c r="AN50" s="676">
        <f>'Cuenta Ahorro-Inversión-Financi'!AN51-1</f>
        <v>2001</v>
      </c>
      <c r="AO50" s="675">
        <f>'Cuenta Ahorro-Inversión-Financi'!I50</f>
        <v>4.5322922770782322E-2</v>
      </c>
      <c r="AP50" s="675">
        <f>'Cuenta Ahorro-Inversión-Financi'!F50</f>
        <v>2.387586963380494E-2</v>
      </c>
      <c r="AQ50" s="675">
        <v>0</v>
      </c>
      <c r="AR50" s="675">
        <f>'Cuenta Ahorro-Inversión-Financi'!L50</f>
        <v>1.2445044343194066E-2</v>
      </c>
      <c r="AS50" s="675">
        <f>'Cuenta Ahorro-Inversión-Financi'!T50+'Cuenta Ahorro-Inversión-Financi'!R50+(('Cuenta Ahorro-Inversión-Financi'!BB17)/1000/'PIB corriente base 1993'!V16)</f>
        <v>5.8738302287630197E-2</v>
      </c>
      <c r="AT50" s="675">
        <f>'Cuenta Ahorro-Inversión-Financi'!T50+'Cuenta Ahorro-Inversión-Financi'!R50+(('Cuenta Ahorro-Inversión-Financi'!BB17-'Cuenta Ahorro-Inversión-Financi'!BO17-'Cuenta Ahorro-Inversión-Financi'!BP17)/1000/'PIB corriente base 1993'!V16)</f>
        <v>5.8208367286722483E-2</v>
      </c>
      <c r="AU50" s="675">
        <f>'Cuenta Ahorro-Inversión-Financi'!U50</f>
        <v>5.9426722392113419E-2</v>
      </c>
      <c r="AV50" s="675">
        <f>('Cuenta Ahorro-Inversión-Financi'!CG17)/1000/'PIB corriente base 1993'!V16+'Cuenta Ahorro-Inversión-Financi'!Y50</f>
        <v>8.5061734591231671E-3</v>
      </c>
      <c r="AW50" s="675">
        <f>'Cuenta Ahorro-Inversión-Financi'!AP50-'Cuenta Ahorro-Inversión-Financi'!AT50</f>
        <v>-3.4332497652917543E-2</v>
      </c>
      <c r="AX50" s="675">
        <f>'Cuenta Ahorro-Inversión-Financi'!AO50-'Cuenta Ahorro-Inversión-Financi'!AU50</f>
        <v>-1.4103799621331098E-2</v>
      </c>
      <c r="AY50" s="675">
        <f>'Cuenta Ahorro-Inversión-Financi'!AO50+'Cuenta Ahorro-Inversión-Financi'!AQ50+'Cuenta Ahorro-Inversión-Financi'!AR50-'Cuenta Ahorro-Inversión-Financi'!AU50-'Cuenta Ahorro-Inversión-Financi'!AV50</f>
        <v>-1.0164928737260199E-2</v>
      </c>
      <c r="AZ50" s="675">
        <f>'Cuenta Ahorro-Inversión-Financi'!AY50</f>
        <v>-1.0164928737260199E-2</v>
      </c>
      <c r="BA50" s="455">
        <f t="shared" si="14"/>
        <v>6.7932895851236588E-2</v>
      </c>
      <c r="BB50" s="455">
        <v>-1.4105079125131099E-2</v>
      </c>
      <c r="BC50" s="455">
        <v>-1.41037996213311E-2</v>
      </c>
      <c r="BF50" s="455">
        <f>'Cuenta Ahorro-Inversión-Financi'!BR32/'Cuenta Ahorro-Inversión-Financi'!BE32</f>
        <v>3.591444565679288E-2</v>
      </c>
      <c r="BI50" s="1" t="s">
        <v>976</v>
      </c>
      <c r="BX50" s="1">
        <f>'Cuenta Ahorro-Inversión-Financi'!BE13+'Cuenta Ahorro-Inversión-Financi'!BR13</f>
        <v>16496294.74536</v>
      </c>
      <c r="BY50" s="455">
        <f>'Cuenta Ahorro-Inversión-Financi'!BR13/'Cuenta Ahorro-Inversión-Financi'!BX50</f>
        <v>0.11117841779444852</v>
      </c>
      <c r="CA50" s="809"/>
      <c r="CB50" s="809"/>
      <c r="CC50" s="809"/>
      <c r="CD50" s="809"/>
      <c r="CE50" s="809"/>
      <c r="CF50" s="809"/>
      <c r="CG50" s="809"/>
      <c r="CH50" s="809"/>
      <c r="CI50" s="809"/>
      <c r="CJ50" s="809"/>
      <c r="CK50" s="809"/>
      <c r="CL50" s="809"/>
      <c r="CM50" s="809"/>
    </row>
    <row r="51" spans="1:107" ht="15.75" customHeight="1">
      <c r="A51" s="669"/>
      <c r="B51" s="669"/>
      <c r="C51" s="669"/>
      <c r="D51" s="669"/>
      <c r="E51" s="849">
        <v>2002</v>
      </c>
      <c r="F51" s="678">
        <f>'Cuenta Ahorro-Inversión-Financi'!T18/'PIB corriente base 1993'!V17/1000</f>
        <v>2.0451199643396614E-2</v>
      </c>
      <c r="G51" s="678">
        <f>('Cuenta Ahorro-Inversión-Financi'!G18+'Cuenta Ahorro-Inversión-Financi'!R18)/'PIB corriente base 1993'!V17/1000</f>
        <v>1.7055519971740474E-2</v>
      </c>
      <c r="H51" s="678">
        <f>'Cuenta Ahorro-Inversión-Financi'!W18/'PIB corriente base 1993'!V17/1000</f>
        <v>1.7183089538788257E-5</v>
      </c>
      <c r="I51" s="678">
        <f>('Cuenta Ahorro-Inversión-Financi'!F18-'Cuenta Ahorro-Inversión-Financi'!U18)/'PIB corriente base 1993'!V17/1000</f>
        <v>3.7524103976065745E-2</v>
      </c>
      <c r="J51" s="678">
        <f>'Cuenta Ahorro-Inversión-Financi'!F18/'PIB corriente base 1993'!V17/1000</f>
        <v>4.2575591675314335E-2</v>
      </c>
      <c r="K51" s="678">
        <f>'Cuenta Ahorro-Inversión-Financi'!S18/'PIB corriente base 1993'!V17/1000</f>
        <v>2.550268734264521E-2</v>
      </c>
      <c r="L51" s="678">
        <f>'Cuenta Ahorro-Inversión-Financi'!AH18/'PIB corriente base 1993'!V17/1000</f>
        <v>9.6369580470071613E-3</v>
      </c>
      <c r="M51" s="678">
        <f>'Cuenta Ahorro-Inversión-Financi'!AN18/'PIB corriente base 1993'!V17/1000</f>
        <v>2.838230108039525E-3</v>
      </c>
      <c r="N51" s="683">
        <f>'Cuenta Ahorro-Inversión-Financi'!AF18/'PIB corriente base 1993'!V17/1000</f>
        <v>4.2589626959596373E-2</v>
      </c>
      <c r="O51" s="683">
        <f>'Cuenta Ahorro-Inversión-Financi'!M51+'Cuenta Ahorro-Inversión-Financi'!I51</f>
        <v>4.0362334084105271E-2</v>
      </c>
      <c r="P51" s="669"/>
      <c r="Q51" s="679">
        <v>2002</v>
      </c>
      <c r="R51" s="678">
        <f>'Cuenta Ahorro-Inversión-Financi'!BE18/1000/'PIB corriente base 1993'!V17</f>
        <v>4.4342162747713201E-2</v>
      </c>
      <c r="S51" s="678"/>
      <c r="T51" s="678">
        <f>'Cuenta Ahorro-Inversión-Financi'!BQ18/1000/'PIB corriente base 1993'!V17</f>
        <v>6.7859175547552945E-3</v>
      </c>
      <c r="U51" s="678">
        <f>'Cuenta Ahorro-Inversión-Financi'!T51+'Cuenta Ahorro-Inversión-Financi'!R51+(('Cuenta Ahorro-Inversión-Financi'!AX18+'Cuenta Ahorro-Inversión-Financi'!BB18)/1000/'PIB corriente base 1993'!V17)</f>
        <v>5.1802195882388789E-2</v>
      </c>
      <c r="V51" s="678">
        <f>'Cuenta Ahorro-Inversión-Financi'!BM18/1000/'PIB corriente base 1993'!V17</f>
        <v>1.3538303166852448E-2</v>
      </c>
      <c r="W51" s="678">
        <f>'Cuenta Ahorro-Inversión-Financi'!AW18/1000/'PIB corriente base 1993'!V17</f>
        <v>5.8554581494485933E-2</v>
      </c>
      <c r="X51" s="678">
        <f t="shared" si="13"/>
        <v>5.8554581494485933E-2</v>
      </c>
      <c r="Y51" s="678"/>
      <c r="Z51" s="678">
        <f>('Cuenta Ahorro-Inversión-Financi'!CF18)/1000/'PIB corriente base 1993'!V17</f>
        <v>5.8559921564009826E-2</v>
      </c>
      <c r="AA51" s="678">
        <f>('Cuenta Ahorro-Inversión-Financi'!CF18-'Cuenta Ahorro-Inversión-Financi'!AX18)/1000/'PIB corriente base 1993'!V17</f>
        <v>5.7885805984089538E-2</v>
      </c>
      <c r="AB51" s="669"/>
      <c r="AC51" s="680">
        <v>2002</v>
      </c>
      <c r="AD51" s="678">
        <f>'Cuenta Ahorro-Inversión-Financi'!J51-'Cuenta Ahorro-Inversión-Financi'!X51</f>
        <v>-1.5978989819171598E-2</v>
      </c>
      <c r="AE51" s="678">
        <f>'Cuenta Ahorro-Inversión-Financi'!F51-'Cuenta Ahorro-Inversión-Financi'!R51</f>
        <v>-2.3890963104316588E-2</v>
      </c>
      <c r="AF51" s="678">
        <f>'Cuenta Ahorro-Inversión-Financi'!I51-'Cuenta Ahorro-Inversión-Financi'!U51-'Cuenta Ahorro-Inversión-Financi'!H51</f>
        <v>-1.4295274995861832E-2</v>
      </c>
      <c r="AG51" s="678">
        <f>'Cuenta Ahorro-Inversión-Financi'!I51-'Cuenta Ahorro-Inversión-Financi'!U51</f>
        <v>-1.4278091906323044E-2</v>
      </c>
      <c r="AH51" s="678">
        <f>'Cuenta Ahorro-Inversión-Financi'!O51-'Cuenta Ahorro-Inversión-Financi'!U51</f>
        <v>-1.1439861798283518E-2</v>
      </c>
      <c r="AI51" s="678">
        <f>'Cuenta Ahorro-Inversión-Financi'!F51-('Cuenta Ahorro-Inversión-Financi'!BE18+'Cuenta Ahorro-Inversión-Financi'!BQ18)/'PIB corriente base 1993'!V17/1000</f>
        <v>-3.0676880659071881E-2</v>
      </c>
      <c r="AJ51" s="455">
        <f>'Cuenta Ahorro-Inversión-Financi'!AH51-'Cuenta Ahorro-Inversión-Financi'!H51</f>
        <v>-1.1457044887822307E-2</v>
      </c>
      <c r="AN51" s="676">
        <f>'Cuenta Ahorro-Inversión-Financi'!AN52-1</f>
        <v>2002</v>
      </c>
      <c r="AO51" s="678">
        <f>'Cuenta Ahorro-Inversión-Financi'!I51</f>
        <v>3.7524103976065745E-2</v>
      </c>
      <c r="AP51" s="678">
        <f>'Cuenta Ahorro-Inversión-Financi'!F51</f>
        <v>2.0451199643396614E-2</v>
      </c>
      <c r="AQ51" s="678">
        <v>0</v>
      </c>
      <c r="AR51" s="678">
        <f>'Cuenta Ahorro-Inversión-Financi'!L51</f>
        <v>9.6369580470071613E-3</v>
      </c>
      <c r="AS51" s="678">
        <f>'Cuenta Ahorro-Inversión-Financi'!T51+'Cuenta Ahorro-Inversión-Financi'!R51+(('Cuenta Ahorro-Inversión-Financi'!BB18)/1000/'PIB corriente base 1993'!V17)</f>
        <v>5.1128080302468494E-2</v>
      </c>
      <c r="AT51" s="678">
        <f>'Cuenta Ahorro-Inversión-Financi'!T51+'Cuenta Ahorro-Inversión-Financi'!R51+(('Cuenta Ahorro-Inversión-Financi'!BB18-'Cuenta Ahorro-Inversión-Financi'!BO18-'Cuenta Ahorro-Inversión-Financi'!BP18)/1000/'PIB corriente base 1993'!V17)</f>
        <v>5.0151539215660505E-2</v>
      </c>
      <c r="AU51" s="678">
        <f>'Cuenta Ahorro-Inversión-Financi'!U51</f>
        <v>5.1802195882388789E-2</v>
      </c>
      <c r="AV51" s="678">
        <f>('Cuenta Ahorro-Inversión-Financi'!CG18)/1000/'PIB corriente base 1993'!V17+'Cuenta Ahorro-Inversión-Financi'!Y51</f>
        <v>6.7987279389676355E-3</v>
      </c>
      <c r="AW51" s="678">
        <f>'Cuenta Ahorro-Inversión-Financi'!AP51-'Cuenta Ahorro-Inversión-Financi'!AT51</f>
        <v>-2.9700339572263892E-2</v>
      </c>
      <c r="AX51" s="678">
        <f>'Cuenta Ahorro-Inversión-Financi'!AO51-'Cuenta Ahorro-Inversión-Financi'!AU51</f>
        <v>-1.4278091906323044E-2</v>
      </c>
      <c r="AY51" s="678">
        <f>'Cuenta Ahorro-Inversión-Financi'!AO51+'Cuenta Ahorro-Inversión-Financi'!AQ51+'Cuenta Ahorro-Inversión-Financi'!AR51-'Cuenta Ahorro-Inversión-Financi'!AU51-'Cuenta Ahorro-Inversión-Financi'!AV51</f>
        <v>-1.1439861798283517E-2</v>
      </c>
      <c r="AZ51" s="678">
        <f>'Cuenta Ahorro-Inversión-Financi'!AY51</f>
        <v>-1.1439861798283517E-2</v>
      </c>
      <c r="BA51" s="455">
        <f t="shared" si="14"/>
        <v>5.8600923821356427E-2</v>
      </c>
      <c r="BB51" s="455">
        <v>-1.42952749958619E-2</v>
      </c>
      <c r="BC51" s="455">
        <v>-1.42780919063231E-2</v>
      </c>
      <c r="BI51" s="1" t="s">
        <v>977</v>
      </c>
      <c r="BX51" s="1">
        <f>'Cuenta Ahorro-Inversión-Financi'!BE14+'Cuenta Ahorro-Inversión-Financi'!BR14</f>
        <v>16764543.50543</v>
      </c>
      <c r="BY51" s="455">
        <f>'Cuenta Ahorro-Inversión-Financi'!BR14/'Cuenta Ahorro-Inversión-Financi'!BX51</f>
        <v>0.12282872223947165</v>
      </c>
      <c r="CA51" s="809"/>
      <c r="CB51" s="809"/>
      <c r="CC51" s="809"/>
      <c r="CD51" s="809"/>
      <c r="CE51" s="809"/>
      <c r="CF51" s="809"/>
      <c r="CG51" s="809"/>
      <c r="CH51" s="809"/>
      <c r="CI51" s="809"/>
      <c r="CJ51" s="809"/>
      <c r="CK51" s="809"/>
      <c r="CL51" s="809"/>
      <c r="CM51" s="809"/>
    </row>
    <row r="52" spans="1:107" ht="15.75" customHeight="1">
      <c r="A52" s="669"/>
      <c r="B52" s="669"/>
      <c r="C52" s="669"/>
      <c r="D52" s="669" t="s">
        <v>978</v>
      </c>
      <c r="E52" s="849">
        <v>2003</v>
      </c>
      <c r="F52" s="671">
        <f>'Cuenta Ahorro-Inversión-Financi'!S19/'PIB corriente base 1993'!V18/1000</f>
        <v>2.0472673983102898E-2</v>
      </c>
      <c r="G52" s="671">
        <f>('Cuenta Ahorro-Inversión-Financi'!G19+'Cuenta Ahorro-Inversión-Financi'!R19)/'PIB corriente base 1993'!V18/1000</f>
        <v>1.9855391614481178E-2</v>
      </c>
      <c r="H52" s="671">
        <f>'Cuenta Ahorro-Inversión-Financi'!W19/'PIB corriente base 1993'!V18/1000</f>
        <v>5.4597090170212923E-6</v>
      </c>
      <c r="I52" s="671">
        <f>'Cuenta Ahorro-Inversión-Financi'!J52</f>
        <v>4.0333721101485608E-2</v>
      </c>
      <c r="J52" s="671">
        <f>'Cuenta Ahorro-Inversión-Financi'!F19/'PIB corriente base 1993'!V18/1000</f>
        <v>4.0333721101485608E-2</v>
      </c>
      <c r="K52" s="671">
        <f>'Cuenta Ahorro-Inversión-Financi'!S19/'PIB corriente base 1993'!V18/1000</f>
        <v>2.0472673983102898E-2</v>
      </c>
      <c r="L52" s="671">
        <f>'Cuenta Ahorro-Inversión-Financi'!AH19/'PIB corriente base 1993'!V18/1000</f>
        <v>1.1802672712088739E-2</v>
      </c>
      <c r="M52" s="671">
        <f>'Cuenta Ahorro-Inversión-Financi'!AN19/'PIB corriente base 1993'!V18/1000</f>
        <v>5.0064972511528133E-3</v>
      </c>
      <c r="N52" s="671">
        <f>'Cuenta Ahorro-Inversión-Financi'!AF19/'PIB corriente base 1993'!V18/1000</f>
        <v>4.0337484666496982E-2</v>
      </c>
      <c r="O52" s="671">
        <f>'Cuenta Ahorro-Inversión-Financi'!M52+'Cuenta Ahorro-Inversión-Financi'!I52</f>
        <v>4.534021835263842E-2</v>
      </c>
      <c r="P52" s="669"/>
      <c r="Q52" s="679">
        <v>2003</v>
      </c>
      <c r="R52" s="687">
        <f>'Cuenta Ahorro-Inversión-Financi'!BE19/1000/'PIB corriente base 1993'!V18</f>
        <v>4.1415509916904091E-2</v>
      </c>
      <c r="S52" s="687"/>
      <c r="T52" s="687">
        <f>'Cuenta Ahorro-Inversión-Financi'!BW19/1000/'PIB corriente base 1993'!V18</f>
        <v>8.1561711866091641E-3</v>
      </c>
      <c r="U52" s="687">
        <f>'Cuenta Ahorro-Inversión-Financi'!T52+'Cuenta Ahorro-Inversión-Financi'!R52+(('Cuenta Ahorro-Inversión-Financi'!AX19+'Cuenta Ahorro-Inversión-Financi'!BB19)/1000/'PIB corriente base 1993'!V18)</f>
        <v>5.0267292346788693E-2</v>
      </c>
      <c r="V52" s="687">
        <f>'Cuenta Ahorro-Inversión-Financi'!BM19/1000/'PIB corriente base 1993'!V18</f>
        <v>8.1561711866091641E-3</v>
      </c>
      <c r="W52" s="673">
        <f>'Cuenta Ahorro-Inversión-Financi'!AW19/1000/'PIB corriente base 1993'!V18</f>
        <v>5.02672923467887E-2</v>
      </c>
      <c r="X52" s="673">
        <f t="shared" si="13"/>
        <v>5.02672923467887E-2</v>
      </c>
      <c r="Y52" s="673"/>
      <c r="Z52" s="673">
        <f>('Cuenta Ahorro-Inversión-Financi'!CF19)/1000/'PIB corriente base 1993'!V18</f>
        <v>5.0282070885209126E-2</v>
      </c>
      <c r="AA52" s="673">
        <f>('Cuenta Ahorro-Inversión-Financi'!CF19-'Cuenta Ahorro-Inversión-Financi'!AX19)/1000/'PIB corriente base 1993'!V18</f>
        <v>4.9599512816911211E-2</v>
      </c>
      <c r="AB52" s="669"/>
      <c r="AC52" s="680">
        <v>2003</v>
      </c>
      <c r="AD52" s="675">
        <f>'Cuenta Ahorro-Inversión-Financi'!J52-'Cuenta Ahorro-Inversión-Financi'!X52</f>
        <v>-9.9335712453030925E-3</v>
      </c>
      <c r="AE52" s="675">
        <f>'Cuenta Ahorro-Inversión-Financi'!F52-'Cuenta Ahorro-Inversión-Financi'!R52</f>
        <v>-2.0942835933801193E-2</v>
      </c>
      <c r="AF52" s="675">
        <f>'Cuenta Ahorro-Inversión-Financi'!I52-'Cuenta Ahorro-Inversión-Financi'!U52-'Cuenta Ahorro-Inversión-Financi'!H52</f>
        <v>-9.9390309543201071E-3</v>
      </c>
      <c r="AG52" s="675">
        <f>'Cuenta Ahorro-Inversión-Financi'!I52-'Cuenta Ahorro-Inversión-Financi'!U52</f>
        <v>-9.9335712453030856E-3</v>
      </c>
      <c r="AH52" s="675">
        <f>'Cuenta Ahorro-Inversión-Financi'!O52-'Cuenta Ahorro-Inversión-Financi'!U52</f>
        <v>-4.9270739941502731E-3</v>
      </c>
      <c r="AI52" s="675">
        <f>'Cuenta Ahorro-Inversión-Financi'!F52-('Cuenta Ahorro-Inversión-Financi'!BE19+'Cuenta Ahorro-Inversión-Financi'!BQ19)/'PIB corriente base 1993'!V18/1000</f>
        <v>-2.6335156944293784E-2</v>
      </c>
      <c r="AJ52" s="455">
        <f>'Cuenta Ahorro-Inversión-Financi'!AH52-'Cuenta Ahorro-Inversión-Financi'!H52</f>
        <v>-4.9325337031672946E-3</v>
      </c>
      <c r="AN52" s="676">
        <v>2003</v>
      </c>
      <c r="AO52" s="675">
        <f>'Cuenta Ahorro-Inversión-Financi'!I52</f>
        <v>4.0333721101485608E-2</v>
      </c>
      <c r="AP52" s="675">
        <f>'Cuenta Ahorro-Inversión-Financi'!F52</f>
        <v>2.0472673983102898E-2</v>
      </c>
      <c r="AQ52" s="675">
        <v>0</v>
      </c>
      <c r="AR52" s="675">
        <f>'Cuenta Ahorro-Inversión-Financi'!L52</f>
        <v>1.1802672712088739E-2</v>
      </c>
      <c r="AS52" s="675">
        <f>'Cuenta Ahorro-Inversión-Financi'!T52+'Cuenta Ahorro-Inversión-Financi'!R52+(('Cuenta Ahorro-Inversión-Financi'!BB19)/1000/'PIB corriente base 1993'!V18)</f>
        <v>4.9584734278490777E-2</v>
      </c>
      <c r="AT52" s="675">
        <f>'Cuenta Ahorro-Inversión-Financi'!T52+'Cuenta Ahorro-Inversión-Financi'!R52+(('Cuenta Ahorro-Inversión-Financi'!BB19-'Cuenta Ahorro-Inversión-Financi'!BO19-'Cuenta Ahorro-Inversión-Financi'!BP19)/1000/'PIB corriente base 1993'!V18)</f>
        <v>4.8230612019234537E-2</v>
      </c>
      <c r="AU52" s="675">
        <f>'Cuenta Ahorro-Inversión-Financi'!U52</f>
        <v>5.0267292346788693E-2</v>
      </c>
      <c r="AV52" s="675">
        <f>('Cuenta Ahorro-Inversión-Financi'!CG19)/1000/'PIB corriente base 1993'!V18+'Cuenta Ahorro-Inversión-Financi'!Y52</f>
        <v>6.7961754609359255E-3</v>
      </c>
      <c r="AW52" s="675">
        <f>'Cuenta Ahorro-Inversión-Financi'!AP52-'Cuenta Ahorro-Inversión-Financi'!AT52</f>
        <v>-2.7757938036131639E-2</v>
      </c>
      <c r="AX52" s="675">
        <f>'Cuenta Ahorro-Inversión-Financi'!AO52-'Cuenta Ahorro-Inversión-Financi'!AU52</f>
        <v>-9.9335712453030856E-3</v>
      </c>
      <c r="AY52" s="675">
        <f>'Cuenta Ahorro-Inversión-Financi'!AO52+'Cuenta Ahorro-Inversión-Financi'!AQ52+'Cuenta Ahorro-Inversión-Financi'!AR52-'Cuenta Ahorro-Inversión-Financi'!AU52-'Cuenta Ahorro-Inversión-Financi'!AV52</f>
        <v>-4.9270739941502687E-3</v>
      </c>
      <c r="AZ52" s="675">
        <f>'Cuenta Ahorro-Inversión-Financi'!AY52</f>
        <v>-4.9270739941502687E-3</v>
      </c>
      <c r="BA52" s="455">
        <f t="shared" si="14"/>
        <v>5.7063467807724616E-2</v>
      </c>
      <c r="BB52" s="455">
        <v>-9.9390309543201192E-3</v>
      </c>
      <c r="BC52" s="455">
        <v>-9.9335712453030994E-3</v>
      </c>
      <c r="BI52" s="1" t="s">
        <v>979</v>
      </c>
      <c r="BX52" s="1">
        <f>'Cuenta Ahorro-Inversión-Financi'!BE15+'Cuenta Ahorro-Inversión-Financi'!BR15</f>
        <v>16749800.15392</v>
      </c>
      <c r="BY52" s="455">
        <f>'Cuenta Ahorro-Inversión-Financi'!BR15/'Cuenta Ahorro-Inversión-Financi'!BX52</f>
        <v>0.12403559713658914</v>
      </c>
      <c r="CA52" s="809"/>
      <c r="CB52" s="809"/>
      <c r="CC52" s="809"/>
      <c r="CD52" s="809"/>
      <c r="CE52" s="809"/>
      <c r="CF52" s="809"/>
      <c r="CG52" s="809"/>
      <c r="CH52" s="809"/>
      <c r="CI52" s="809"/>
      <c r="CJ52" s="809"/>
      <c r="CK52" s="809"/>
      <c r="CL52" s="809"/>
      <c r="CM52" s="809"/>
      <c r="DC52" s="455"/>
    </row>
    <row r="53" spans="1:107" ht="15.75" customHeight="1">
      <c r="A53" s="669"/>
      <c r="B53" s="669"/>
      <c r="C53" s="669"/>
      <c r="D53" s="669"/>
      <c r="E53" s="849">
        <v>2004</v>
      </c>
      <c r="F53" s="678">
        <f>'Cuenta Ahorro-Inversión-Financi'!S20/1000/'PIB corriente base 2004'!X8</f>
        <v>1.9858383068615145E-2</v>
      </c>
      <c r="G53" s="678">
        <f>('Cuenta Ahorro-Inversión-Financi'!G20+'Cuenta Ahorro-Inversión-Financi'!R20)/1000/'PIB corriente base 2004'!X8</f>
        <v>2.1674207616184295E-2</v>
      </c>
      <c r="H53" s="678">
        <f>'Cuenta Ahorro-Inversión-Financi'!W20/1000/'PIB corriente base 2004'!X8</f>
        <v>2.3088096995920518E-5</v>
      </c>
      <c r="I53" s="678">
        <f>'Cuenta Ahorro-Inversión-Financi'!J53</f>
        <v>4.1555839512732763E-2</v>
      </c>
      <c r="J53" s="678">
        <f>'Cuenta Ahorro-Inversión-Financi'!F20/1000/'PIB corriente base 2004'!X8</f>
        <v>4.1555839512732763E-2</v>
      </c>
      <c r="K53" s="678">
        <f>'Cuenta Ahorro-Inversión-Financi'!S20/1000/'PIB corriente base 2004'!X8</f>
        <v>1.9858383068615145E-2</v>
      </c>
      <c r="L53" s="678">
        <f>'Cuenta Ahorro-Inversión-Financi'!AG20/1000/'PIB corriente base 2004'!X8</f>
        <v>1.3324283644975191E-2</v>
      </c>
      <c r="M53" s="678">
        <f>'Cuenta Ahorro-Inversión-Financi'!AN20/1000/'PIB corriente base 2004'!X8</f>
        <v>7.3904659537850715E-3</v>
      </c>
      <c r="N53" s="678">
        <f>'Cuenta Ahorro-Inversión-Financi'!AF20/1000/'PIB corriente base 2004'!X8</f>
        <v>4.1559851020311102E-2</v>
      </c>
      <c r="O53" s="678">
        <f>'Cuenta Ahorro-Inversión-Financi'!M53+'Cuenta Ahorro-Inversión-Financi'!I53</f>
        <v>4.8946305466517834E-2</v>
      </c>
      <c r="P53" s="669"/>
      <c r="Q53" s="679">
        <v>2004</v>
      </c>
      <c r="R53" s="678">
        <f>'Cuenta Ahorro-Inversión-Financi'!BE20/1000/'PIB corriente base 2004'!X8</f>
        <v>3.6705436096271957E-2</v>
      </c>
      <c r="S53" s="678"/>
      <c r="T53" s="678">
        <f>'Cuenta Ahorro-Inversión-Financi'!BW20/1000/'PIB corriente base 2004'!X8</f>
        <v>7.4909538189209925E-3</v>
      </c>
      <c r="U53" s="678">
        <f>'Cuenta Ahorro-Inversión-Financi'!T53+'Cuenta Ahorro-Inversión-Financi'!R53+(('Cuenta Ahorro-Inversión-Financi'!AX20+'Cuenta Ahorro-Inversión-Financi'!BB20)/1000/'PIB corriente base 2004'!X8)</f>
        <v>4.4816564749400524E-2</v>
      </c>
      <c r="V53" s="678">
        <f>'Cuenta Ahorro-Inversión-Financi'!BM20/1000/'PIB corriente base 2004'!X8</f>
        <v>7.4909538189209925E-3</v>
      </c>
      <c r="W53" s="678">
        <f>'Cuenta Ahorro-Inversión-Financi'!AW20/1000/'PIB corriente base 2004'!X8</f>
        <v>4.4816564749400517E-2</v>
      </c>
      <c r="X53" s="678">
        <f t="shared" si="13"/>
        <v>4.4816564749400517E-2</v>
      </c>
      <c r="Y53" s="678"/>
      <c r="Z53" s="678">
        <f>('Cuenta Ahorro-Inversión-Financi'!CF20)/1000/'PIB corriente base 2004'!X8</f>
        <v>4.4853258546819298E-2</v>
      </c>
      <c r="AA53" s="678">
        <f>('Cuenta Ahorro-Inversión-Financi'!CF20-'Cuenta Ahorro-Inversión-Financi'!AX20)/1000/'PIB corriente base 2004'!X8</f>
        <v>4.425054401983794E-2</v>
      </c>
      <c r="AB53" s="669"/>
      <c r="AC53" s="680">
        <v>2004</v>
      </c>
      <c r="AD53" s="678">
        <f>'Cuenta Ahorro-Inversión-Financi'!J53-'Cuenta Ahorro-Inversión-Financi'!X53</f>
        <v>-3.2607252366677539E-3</v>
      </c>
      <c r="AE53" s="678">
        <f>'Cuenta Ahorro-Inversión-Financi'!F53-'Cuenta Ahorro-Inversión-Financi'!R53</f>
        <v>-1.6847053027656812E-2</v>
      </c>
      <c r="AF53" s="678">
        <f>'Cuenta Ahorro-Inversión-Financi'!I53-'Cuenta Ahorro-Inversión-Financi'!U53-'Cuenta Ahorro-Inversión-Financi'!H53</f>
        <v>-3.2838133336636813E-3</v>
      </c>
      <c r="AG53" s="678">
        <f>'Cuenta Ahorro-Inversión-Financi'!I53-'Cuenta Ahorro-Inversión-Financi'!U53</f>
        <v>-3.2607252366677608E-3</v>
      </c>
      <c r="AH53" s="678">
        <f>'Cuenta Ahorro-Inversión-Financi'!O53-'Cuenta Ahorro-Inversión-Financi'!U53</f>
        <v>4.1297407171173098E-3</v>
      </c>
      <c r="AI53" s="678">
        <f>'Cuenta Ahorro-Inversión-Financi'!F53-('Cuenta Ahorro-Inversión-Financi'!BE20+'Cuenta Ahorro-Inversión-Financi'!BQ20)/'PIB corriente base 2004'!X8/1000</f>
        <v>-2.2859588252707692E-2</v>
      </c>
      <c r="AJ53" s="455">
        <f>'Cuenta Ahorro-Inversión-Financi'!AH53-'Cuenta Ahorro-Inversión-Financi'!H53</f>
        <v>4.1066526201213888E-3</v>
      </c>
      <c r="AN53" s="676">
        <v>2004</v>
      </c>
      <c r="AO53" s="678">
        <f>'Cuenta Ahorro-Inversión-Financi'!I53</f>
        <v>4.1555839512732763E-2</v>
      </c>
      <c r="AP53" s="678">
        <f>'Cuenta Ahorro-Inversión-Financi'!F53</f>
        <v>1.9858383068615145E-2</v>
      </c>
      <c r="AQ53" s="678">
        <v>0</v>
      </c>
      <c r="AR53" s="678">
        <f>'Cuenta Ahorro-Inversión-Financi'!L53</f>
        <v>1.3324283644975191E-2</v>
      </c>
      <c r="AS53" s="678">
        <f>'Cuenta Ahorro-Inversión-Financi'!T53+'Cuenta Ahorro-Inversión-Financi'!R53+(('Cuenta Ahorro-Inversión-Financi'!BB20)/1000/'PIB corriente base 2004'!X8)</f>
        <v>4.4213850222419165E-2</v>
      </c>
      <c r="AT53" s="678">
        <f>'Cuenta Ahorro-Inversión-Financi'!T53+'Cuenta Ahorro-Inversión-Financi'!R53+(('Cuenta Ahorro-Inversión-Financi'!BB20-'Cuenta Ahorro-Inversión-Financi'!BO20-'Cuenta Ahorro-Inversión-Financi'!BP20)/1000/'PIB corriente base 2004'!X8)</f>
        <v>4.1743751984432864E-2</v>
      </c>
      <c r="AU53" s="678">
        <f>'Cuenta Ahorro-Inversión-Financi'!U53</f>
        <v>4.4816564749400524E-2</v>
      </c>
      <c r="AV53" s="678">
        <f>('Cuenta Ahorro-Inversión-Financi'!CG20)/'PIB corriente base 2004'!X8/1000+'Cuenta Ahorro-Inversión-Financi'!Y53</f>
        <v>6.2422259511127967E-3</v>
      </c>
      <c r="AW53" s="678">
        <f>'Cuenta Ahorro-Inversión-Financi'!AP53-'Cuenta Ahorro-Inversión-Financi'!AT53</f>
        <v>-2.1885368915817719E-2</v>
      </c>
      <c r="AX53" s="678">
        <f>'Cuenta Ahorro-Inversión-Financi'!AO53-'Cuenta Ahorro-Inversión-Financi'!AU53</f>
        <v>-3.2607252366677608E-3</v>
      </c>
      <c r="AY53" s="678">
        <f>'Cuenta Ahorro-Inversión-Financi'!AO53+'Cuenta Ahorro-Inversión-Financi'!AQ53+'Cuenta Ahorro-Inversión-Financi'!AR53-'Cuenta Ahorro-Inversión-Financi'!AU53-'Cuenta Ahorro-Inversión-Financi'!AV53</f>
        <v>3.821332457194633E-3</v>
      </c>
      <c r="AZ53" s="678">
        <f>'Cuenta Ahorro-Inversión-Financi'!AY53</f>
        <v>3.821332457194633E-3</v>
      </c>
      <c r="BA53" s="455">
        <f t="shared" si="14"/>
        <v>5.1058790700513321E-2</v>
      </c>
      <c r="BB53" s="455">
        <v>-3.2838146517836599E-3</v>
      </c>
      <c r="BC53" s="455">
        <v>-3.26072654552019E-3</v>
      </c>
      <c r="BI53" s="1" t="s">
        <v>980</v>
      </c>
      <c r="BX53" s="1">
        <f>'Cuenta Ahorro-Inversión-Financi'!BE16+'Cuenta Ahorro-Inversión-Financi'!BR16</f>
        <v>16822291.5973</v>
      </c>
      <c r="BY53" s="455">
        <f>'Cuenta Ahorro-Inversión-Financi'!BR16/'Cuenta Ahorro-Inversión-Financi'!BX53</f>
        <v>0.12401941415489744</v>
      </c>
      <c r="CA53" s="809"/>
      <c r="CB53" s="809"/>
      <c r="CC53" s="809"/>
      <c r="CD53" s="809"/>
      <c r="CE53" s="809"/>
      <c r="CF53" s="809"/>
      <c r="CG53" s="809"/>
      <c r="CH53" s="809"/>
      <c r="CI53" s="809"/>
      <c r="CJ53" s="809"/>
      <c r="CK53" s="809"/>
      <c r="CL53" s="809"/>
      <c r="CM53" s="809"/>
    </row>
    <row r="54" spans="1:107" ht="15.75" customHeight="1">
      <c r="A54" s="669"/>
      <c r="B54" s="669"/>
      <c r="C54" s="669"/>
      <c r="D54" s="669"/>
      <c r="E54" s="849">
        <v>2005</v>
      </c>
      <c r="F54" s="671">
        <f>'Cuenta Ahorro-Inversión-Financi'!S21/1000/'PIB corriente base 2004'!X9</f>
        <v>2.142497776030532E-2</v>
      </c>
      <c r="G54" s="671">
        <f>('Cuenta Ahorro-Inversión-Financi'!G21+'Cuenta Ahorro-Inversión-Financi'!R21)/1000/'PIB corriente base 2004'!X9</f>
        <v>2.1947140589457386E-2</v>
      </c>
      <c r="H54" s="671">
        <f>'Cuenta Ahorro-Inversión-Financi'!W21/1000/'PIB corriente base 2004'!X9</f>
        <v>6.6475850715056454E-5</v>
      </c>
      <c r="I54" s="671">
        <f>'Cuenta Ahorro-Inversión-Financi'!J54</f>
        <v>4.3438749001835322E-2</v>
      </c>
      <c r="J54" s="671">
        <f>'Cuenta Ahorro-Inversión-Financi'!F21/1000/'PIB corriente base 2004'!X9</f>
        <v>4.3438749001835322E-2</v>
      </c>
      <c r="K54" s="671">
        <f>'Cuenta Ahorro-Inversión-Financi'!S21/1000/'PIB corriente base 2004'!X9</f>
        <v>2.142497776030532E-2</v>
      </c>
      <c r="L54" s="671">
        <f>'Cuenta Ahorro-Inversión-Financi'!AG21/1000/'PIB corriente base 2004'!X9</f>
        <v>1.3961831821235454E-2</v>
      </c>
      <c r="M54" s="671">
        <f>'Cuenta Ahorro-Inversión-Financi'!AN21/1000/'PIB corriente base 2004'!X9</f>
        <v>8.0130523207401928E-3</v>
      </c>
      <c r="N54" s="671">
        <f>'Cuenta Ahorro-Inversión-Financi'!AF21/1000/'PIB corriente base 2004'!X9</f>
        <v>4.3442837585314739E-2</v>
      </c>
      <c r="O54" s="671">
        <f>'Cuenta Ahorro-Inversión-Financi'!M54+'Cuenta Ahorro-Inversión-Financi'!I54</f>
        <v>5.1451801322575513E-2</v>
      </c>
      <c r="P54" s="669"/>
      <c r="Q54" s="679">
        <v>2005</v>
      </c>
      <c r="R54" s="687">
        <f>'Cuenta Ahorro-Inversión-Financi'!BE21/1000/'PIB corriente base 2004'!X9</f>
        <v>3.4550591268011556E-2</v>
      </c>
      <c r="S54" s="687"/>
      <c r="T54" s="687">
        <f>'Cuenta Ahorro-Inversión-Financi'!BW21/1000/'PIB corriente base 2004'!X9</f>
        <v>8.5259069146611816E-3</v>
      </c>
      <c r="U54" s="687">
        <f>'Cuenta Ahorro-Inversión-Financi'!T54+'Cuenta Ahorro-Inversión-Financi'!R54+(('Cuenta Ahorro-Inversión-Financi'!AX21+'Cuenta Ahorro-Inversión-Financi'!BB21)/1000/'PIB corriente base 2004'!X9)</f>
        <v>4.3851774412147625E-2</v>
      </c>
      <c r="V54" s="687">
        <f>'Cuenta Ahorro-Inversión-Financi'!BM21/1000/'PIB corriente base 2004'!X9</f>
        <v>8.5259069146611816E-3</v>
      </c>
      <c r="W54" s="673">
        <f>'Cuenta Ahorro-Inversión-Financi'!AW21/1000/'PIB corriente base 2004'!X9</f>
        <v>4.3851774412147632E-2</v>
      </c>
      <c r="X54" s="673">
        <f t="shared" si="13"/>
        <v>4.3851774412147632E-2</v>
      </c>
      <c r="Y54" s="673"/>
      <c r="Z54" s="673">
        <f>('Cuenta Ahorro-Inversión-Financi'!CF21)/1000/'PIB corriente base 2004'!X9</f>
        <v>4.3878072845420689E-2</v>
      </c>
      <c r="AA54" s="673">
        <f>('Cuenta Ahorro-Inversión-Financi'!CF21-'Cuenta Ahorro-Inversión-Financi'!AX21)/1000/'PIB corriente base 2004'!X9</f>
        <v>4.3117116194897921E-2</v>
      </c>
      <c r="AB54" s="669"/>
      <c r="AC54" s="680">
        <v>2005</v>
      </c>
      <c r="AD54" s="675">
        <f>'Cuenta Ahorro-Inversión-Financi'!J54-'Cuenta Ahorro-Inversión-Financi'!X54</f>
        <v>-4.1302541031230933E-4</v>
      </c>
      <c r="AE54" s="675">
        <f>'Cuenta Ahorro-Inversión-Financi'!F54-'Cuenta Ahorro-Inversión-Financi'!R54</f>
        <v>-1.3125613507706236E-2</v>
      </c>
      <c r="AF54" s="675">
        <f>'Cuenta Ahorro-Inversión-Financi'!I54-'Cuenta Ahorro-Inversión-Financi'!U54-'Cuenta Ahorro-Inversión-Financi'!H54</f>
        <v>-4.7950126102735881E-4</v>
      </c>
      <c r="AG54" s="675">
        <f>'Cuenta Ahorro-Inversión-Financi'!I54-'Cuenta Ahorro-Inversión-Financi'!U54</f>
        <v>-4.1302541031230239E-4</v>
      </c>
      <c r="AH54" s="675">
        <f>'Cuenta Ahorro-Inversión-Financi'!O54-'Cuenta Ahorro-Inversión-Financi'!U54</f>
        <v>7.6000269104278886E-3</v>
      </c>
      <c r="AI54" s="675">
        <f>'Cuenta Ahorro-Inversión-Financi'!F54-('Cuenta Ahorro-Inversión-Financi'!BE21+'Cuenta Ahorro-Inversión-Financi'!BQ21)/'PIB corriente base 2004'!X9/1000</f>
        <v>-2.0297026750164825E-2</v>
      </c>
      <c r="AJ54" s="455">
        <f>'Cuenta Ahorro-Inversión-Financi'!AH54-'Cuenta Ahorro-Inversión-Financi'!H54</f>
        <v>7.5335510597128322E-3</v>
      </c>
      <c r="AN54" s="676">
        <v>2005</v>
      </c>
      <c r="AO54" s="675">
        <f>'Cuenta Ahorro-Inversión-Financi'!I54</f>
        <v>4.3438749001835322E-2</v>
      </c>
      <c r="AP54" s="675">
        <f>'Cuenta Ahorro-Inversión-Financi'!F54</f>
        <v>2.142497776030532E-2</v>
      </c>
      <c r="AQ54" s="675">
        <v>0</v>
      </c>
      <c r="AR54" s="675">
        <f>'Cuenta Ahorro-Inversión-Financi'!L54</f>
        <v>1.3961831821235454E-2</v>
      </c>
      <c r="AS54" s="675">
        <f>'Cuenta Ahorro-Inversión-Financi'!T54+'Cuenta Ahorro-Inversión-Financi'!R54+(('Cuenta Ahorro-Inversión-Financi'!BB21-'Cuenta Ahorro-Inversión-Financi'!BK21-'Cuenta Ahorro-Inversión-Financi'!BU21-'Cuenta Ahorro-Inversión-Financi'!BV21)/1000/'PIB corriente base 2004'!X9)</f>
        <v>4.2744587078280924E-2</v>
      </c>
      <c r="AT54" s="675">
        <f>'Cuenta Ahorro-Inversión-Financi'!T54+'Cuenta Ahorro-Inversión-Financi'!R54+(('Cuenta Ahorro-Inversión-Financi'!BB21-'Cuenta Ahorro-Inversión-Financi'!BK21-'Cuenta Ahorro-Inversión-Financi'!BU21-'Cuenta Ahorro-Inversión-Financi'!BV21-'Cuenta Ahorro-Inversión-Financi'!BO21-'Cuenta Ahorro-Inversión-Financi'!BP21)/1000/'PIB corriente base 2004'!X9)</f>
        <v>3.9329035034630998E-2</v>
      </c>
      <c r="AU54" s="675">
        <f>'Cuenta Ahorro-Inversión-Financi'!U54</f>
        <v>4.3851774412147625E-2</v>
      </c>
      <c r="AV54" s="675">
        <f>('Cuenta Ahorro-Inversión-Financi'!CG21)/'PIB corriente base 2004'!X9/1000+'Cuenta Ahorro-Inversión-Financi'!Y54</f>
        <v>5.9711153834111769E-3</v>
      </c>
      <c r="AW54" s="675">
        <f>'Cuenta Ahorro-Inversión-Financi'!AP54-'Cuenta Ahorro-Inversión-Financi'!AT54</f>
        <v>-1.7904057274325678E-2</v>
      </c>
      <c r="AX54" s="675">
        <f>'Cuenta Ahorro-Inversión-Financi'!AO54-'Cuenta Ahorro-Inversión-Financi'!AU54</f>
        <v>-4.1302541031230239E-4</v>
      </c>
      <c r="AY54" s="675">
        <f>'Cuenta Ahorro-Inversión-Financi'!AO54+'Cuenta Ahorro-Inversión-Financi'!AQ54+'Cuenta Ahorro-Inversión-Financi'!AR54-'Cuenta Ahorro-Inversión-Financi'!AU54-'Cuenta Ahorro-Inversión-Financi'!AV54</f>
        <v>7.5776910275119763E-3</v>
      </c>
      <c r="AZ54" s="675">
        <f>'Cuenta Ahorro-Inversión-Financi'!AY54</f>
        <v>7.5776910275119763E-3</v>
      </c>
      <c r="BA54" s="455">
        <f t="shared" si="14"/>
        <v>4.9822889795558802E-2</v>
      </c>
      <c r="BB54" s="455">
        <v>-4.7767855332349302E-4</v>
      </c>
      <c r="BC54" s="455">
        <v>-4.1145539442609798E-4</v>
      </c>
      <c r="BI54" s="1" t="s">
        <v>981</v>
      </c>
      <c r="BX54" s="1">
        <f>'Cuenta Ahorro-Inversión-Financi'!BE17+'Cuenta Ahorro-Inversión-Financi'!BR17</f>
        <v>16143811.96312</v>
      </c>
      <c r="BY54" s="455">
        <f>'Cuenta Ahorro-Inversión-Financi'!BR17/'Cuenta Ahorro-Inversión-Financi'!BX54</f>
        <v>0.12583456075930385</v>
      </c>
      <c r="CA54" s="573" t="s">
        <v>982</v>
      </c>
      <c r="DB54" s="455"/>
    </row>
    <row r="55" spans="1:107" ht="15.75" customHeight="1">
      <c r="A55" s="669"/>
      <c r="B55" s="669"/>
      <c r="C55" s="669"/>
      <c r="D55" s="669"/>
      <c r="E55" s="849">
        <v>2006</v>
      </c>
      <c r="F55" s="678">
        <f>'Cuenta Ahorro-Inversión-Financi'!S22/1000/'PIB corriente base 2004'!X10</f>
        <v>2.525758774444406E-2</v>
      </c>
      <c r="G55" s="678">
        <f>('Cuenta Ahorro-Inversión-Financi'!G22+'Cuenta Ahorro-Inversión-Financi'!R22)/1000/'PIB corriente base 2004'!X10</f>
        <v>2.1219679943127439E-2</v>
      </c>
      <c r="H55" s="678">
        <f>'Cuenta Ahorro-Inversión-Financi'!W22/1000/'PIB corriente base 2004'!X10</f>
        <v>4.0142879943149833E-4</v>
      </c>
      <c r="I55" s="678">
        <f>'Cuenta Ahorro-Inversión-Financi'!J55</f>
        <v>4.6878819658121657E-2</v>
      </c>
      <c r="J55" s="678">
        <f>'Cuenta Ahorro-Inversión-Financi'!F22/1000/'PIB corriente base 2004'!X10</f>
        <v>4.6878819658121657E-2</v>
      </c>
      <c r="K55" s="678">
        <f>'Cuenta Ahorro-Inversión-Financi'!S22/1000/'PIB corriente base 2004'!X10</f>
        <v>2.525758774444406E-2</v>
      </c>
      <c r="L55" s="678">
        <f>'Cuenta Ahorro-Inversión-Financi'!AH22/1000/'PIB corriente base 2004'!X10</f>
        <v>1.4113123533386727E-2</v>
      </c>
      <c r="M55" s="678">
        <f>'Cuenta Ahorro-Inversión-Financi'!AN22/1000/'PIB corriente base 2004'!X10</f>
        <v>7.8493992914574935E-3</v>
      </c>
      <c r="N55" s="683">
        <f>'Cuenta Ahorro-Inversión-Financi'!AF22/1000/'PIB corriente base 2004'!X10</f>
        <v>4.688203651967833E-2</v>
      </c>
      <c r="O55" s="683">
        <f>'Cuenta Ahorro-Inversión-Financi'!M55+'Cuenta Ahorro-Inversión-Financi'!I55</f>
        <v>5.4728218949579147E-2</v>
      </c>
      <c r="P55" s="669"/>
      <c r="Q55" s="679">
        <v>2006</v>
      </c>
      <c r="R55" s="678">
        <f>'Cuenta Ahorro-Inversión-Financi'!BE22/1000/'PIB corriente base 2004'!X10</f>
        <v>3.6841887116250548E-2</v>
      </c>
      <c r="S55" s="678"/>
      <c r="T55" s="678">
        <f>'Cuenta Ahorro-Inversión-Financi'!BW22/1000/'PIB corriente base 2004'!X10</f>
        <v>7.8710292523368076E-3</v>
      </c>
      <c r="U55" s="678">
        <f>'Cuenta Ahorro-Inversión-Financi'!T55+'Cuenta Ahorro-Inversión-Financi'!R55+(('Cuenta Ahorro-Inversión-Financi'!AX22+'Cuenta Ahorro-Inversión-Financi'!BB22)/1000/'PIB corriente base 2004'!X10)</f>
        <v>4.5550300632209779E-2</v>
      </c>
      <c r="V55" s="678">
        <f>'Cuenta Ahorro-Inversión-Financi'!BM22/1000/'PIB corriente base 2004'!X10</f>
        <v>7.8710292523368076E-3</v>
      </c>
      <c r="W55" s="678">
        <f>'Cuenta Ahorro-Inversión-Financi'!AW22/1000/'PIB corriente base 2004'!X10</f>
        <v>4.5550300632209779E-2</v>
      </c>
      <c r="X55" s="678">
        <f t="shared" si="13"/>
        <v>4.5550300632209779E-2</v>
      </c>
      <c r="Y55" s="678"/>
      <c r="Z55" s="678">
        <f>('Cuenta Ahorro-Inversión-Financi'!CF22)/1000/'PIB corriente base 2004'!X10</f>
        <v>4.5574857038902843E-2</v>
      </c>
      <c r="AA55" s="678">
        <f>('Cuenta Ahorro-Inversión-Financi'!CF22-'Cuenta Ahorro-Inversión-Financi'!AX22)/1000/'PIB corriente base 2004'!X10</f>
        <v>4.4741356768196482E-2</v>
      </c>
      <c r="AB55" s="669"/>
      <c r="AC55" s="680">
        <v>2006</v>
      </c>
      <c r="AD55" s="678">
        <f>'Cuenta Ahorro-Inversión-Financi'!J55-'Cuenta Ahorro-Inversión-Financi'!X55</f>
        <v>1.328519025911877E-3</v>
      </c>
      <c r="AE55" s="678">
        <f>'Cuenta Ahorro-Inversión-Financi'!F55-'Cuenta Ahorro-Inversión-Financi'!R55</f>
        <v>-1.1584299371806488E-2</v>
      </c>
      <c r="AF55" s="678">
        <f>'Cuenta Ahorro-Inversión-Financi'!I55-'Cuenta Ahorro-Inversión-Financi'!U55-'Cuenta Ahorro-Inversión-Financi'!H55</f>
        <v>9.2709022648037871E-4</v>
      </c>
      <c r="AG55" s="678">
        <f>'Cuenta Ahorro-Inversión-Financi'!I55-'Cuenta Ahorro-Inversión-Financi'!U55</f>
        <v>1.328519025911877E-3</v>
      </c>
      <c r="AH55" s="678">
        <f>'Cuenta Ahorro-Inversión-Financi'!O55-'Cuenta Ahorro-Inversión-Financi'!U55</f>
        <v>9.1779183173693671E-3</v>
      </c>
      <c r="AI55" s="678">
        <f>'Cuenta Ahorro-Inversión-Financi'!F55-('Cuenta Ahorro-Inversión-Financi'!BE22+'Cuenta Ahorro-Inversión-Financi'!BQ22)/'PIB corriente base 2004'!X10/1000</f>
        <v>-1.8034429989237287E-2</v>
      </c>
      <c r="AJ55" s="455">
        <f>'Cuenta Ahorro-Inversión-Financi'!AH55-'Cuenta Ahorro-Inversión-Financi'!H55</f>
        <v>8.7764895179378681E-3</v>
      </c>
      <c r="AN55" s="676">
        <v>2006</v>
      </c>
      <c r="AO55" s="678">
        <f>'Cuenta Ahorro-Inversión-Financi'!I55</f>
        <v>4.6878819658121657E-2</v>
      </c>
      <c r="AP55" s="678">
        <f>'Cuenta Ahorro-Inversión-Financi'!F55</f>
        <v>2.525758774444406E-2</v>
      </c>
      <c r="AQ55" s="678">
        <v>0</v>
      </c>
      <c r="AR55" s="678">
        <f>'Cuenta Ahorro-Inversión-Financi'!L55</f>
        <v>1.4113123533386727E-2</v>
      </c>
      <c r="AS55" s="678">
        <f>'Cuenta Ahorro-Inversión-Financi'!T55+'Cuenta Ahorro-Inversión-Financi'!R55+(('Cuenta Ahorro-Inversión-Financi'!BB22-'Cuenta Ahorro-Inversión-Financi'!BK22-'Cuenta Ahorro-Inversión-Financi'!BU22-'Cuenta Ahorro-Inversión-Financi'!BV22)/1000/'PIB corriente base 2004'!X10)</f>
        <v>4.4280425084452221E-2</v>
      </c>
      <c r="AT55" s="678">
        <f>'Cuenta Ahorro-Inversión-Financi'!T55+'Cuenta Ahorro-Inversión-Financi'!R55+(('Cuenta Ahorro-Inversión-Financi'!BB22-'Cuenta Ahorro-Inversión-Financi'!BK22-'Cuenta Ahorro-Inversión-Financi'!BU22-'Cuenta Ahorro-Inversión-Financi'!BV22-'Cuenta Ahorro-Inversión-Financi'!BO22-'Cuenta Ahorro-Inversión-Financi'!BP22)/1000/'PIB corriente base 2004'!X10)</f>
        <v>4.177118124023077E-2</v>
      </c>
      <c r="AU55" s="678">
        <f>'Cuenta Ahorro-Inversión-Financi'!U55</f>
        <v>4.5550300632209779E-2</v>
      </c>
      <c r="AV55" s="678">
        <f>('Cuenta Ahorro-Inversión-Financi'!CG22)/'PIB corriente base 2004'!X10/1000+'Cuenta Ahorro-Inversión-Financi'!Y55</f>
        <v>6.2637242419292328E-3</v>
      </c>
      <c r="AW55" s="678">
        <f>'Cuenta Ahorro-Inversión-Financi'!AP55-'Cuenta Ahorro-Inversión-Financi'!AT55</f>
        <v>-1.651359349578671E-2</v>
      </c>
      <c r="AX55" s="678">
        <f>'Cuenta Ahorro-Inversión-Financi'!AO55-'Cuenta Ahorro-Inversión-Financi'!AU55</f>
        <v>1.328519025911877E-3</v>
      </c>
      <c r="AY55" s="678">
        <f>'Cuenta Ahorro-Inversión-Financi'!AO55+'Cuenta Ahorro-Inversión-Financi'!AQ55+'Cuenta Ahorro-Inversión-Financi'!AR55-'Cuenta Ahorro-Inversión-Financi'!AU55-'Cuenta Ahorro-Inversión-Financi'!AV55</f>
        <v>9.177918317369374E-3</v>
      </c>
      <c r="AZ55" s="678">
        <f>'Cuenta Ahorro-Inversión-Financi'!AY55</f>
        <v>9.177918317369374E-3</v>
      </c>
      <c r="BA55" s="455">
        <f t="shared" si="14"/>
        <v>5.1814024874139011E-2</v>
      </c>
      <c r="BB55" s="455">
        <v>9.2302408626286604E-4</v>
      </c>
      <c r="BC55" s="455">
        <v>1.32269225254431E-3</v>
      </c>
      <c r="BI55" s="1" t="s">
        <v>983</v>
      </c>
      <c r="BX55" s="1">
        <f>'Cuenta Ahorro-Inversión-Financi'!BE18+'Cuenta Ahorro-Inversión-Financi'!BR18</f>
        <v>15772141.49193</v>
      </c>
      <c r="BY55" s="455">
        <f>'Cuenta Ahorro-Inversión-Financi'!BR18/'Cuenta Ahorro-Inversión-Financi'!BX55</f>
        <v>0.12120496650046692</v>
      </c>
      <c r="CA55" s="1" t="s">
        <v>984</v>
      </c>
    </row>
    <row r="56" spans="1:107" ht="15.75" customHeight="1">
      <c r="A56" s="669"/>
      <c r="B56" s="669"/>
      <c r="C56" s="669"/>
      <c r="D56" s="669"/>
      <c r="E56" s="849">
        <v>2007</v>
      </c>
      <c r="F56" s="671">
        <f>'Cuenta Ahorro-Inversión-Financi'!S23/1000/'PIB corriente base 2004'!X11</f>
        <v>3.8504796638148854E-2</v>
      </c>
      <c r="G56" s="671">
        <f>('Cuenta Ahorro-Inversión-Financi'!G23+'Cuenta Ahorro-Inversión-Financi'!R23)/1000/'PIB corriente base 2004'!X11</f>
        <v>2.0954867995993498E-2</v>
      </c>
      <c r="H56" s="671">
        <f>'Cuenta Ahorro-Inversión-Financi'!W23/1000/'PIB corriente base 2004'!X11</f>
        <v>7.3792881718357851E-4</v>
      </c>
      <c r="I56" s="671">
        <f>'Cuenta Ahorro-Inversión-Financi'!J56</f>
        <v>6.0198046871314206E-2</v>
      </c>
      <c r="J56" s="671">
        <f>'Cuenta Ahorro-Inversión-Financi'!F23/1000/'PIB corriente base 2004'!X11</f>
        <v>6.0198046871314206E-2</v>
      </c>
      <c r="K56" s="671">
        <f>'Cuenta Ahorro-Inversión-Financi'!S23/1000/'PIB corriente base 2004'!X11</f>
        <v>3.8504796638148854E-2</v>
      </c>
      <c r="L56" s="671">
        <f>'Cuenta Ahorro-Inversión-Financi'!AG23/1000/'PIB corriente base 2004'!X11</f>
        <v>1.4906804729574941E-2</v>
      </c>
      <c r="M56" s="671">
        <f>'Cuenta Ahorro-Inversión-Financi'!AN23/1000/'PIB corriente base 2004'!X11</f>
        <v>7.9635554353594835E-3</v>
      </c>
      <c r="N56" s="671">
        <f>'Cuenta Ahorro-Inversión-Financi'!AF23/1000/'PIB corriente base 2004'!X11</f>
        <v>6.0249021257640305E-2</v>
      </c>
      <c r="O56" s="671">
        <f>'Cuenta Ahorro-Inversión-Financi'!M56+'Cuenta Ahorro-Inversión-Financi'!I56</f>
        <v>6.8161602306673688E-2</v>
      </c>
      <c r="P56" s="669"/>
      <c r="Q56" s="679">
        <v>2007</v>
      </c>
      <c r="R56" s="687">
        <f>'Cuenta Ahorro-Inversión-Financi'!BE23/1000/'PIB corriente base 2004'!X11</f>
        <v>4.898085586862494E-2</v>
      </c>
      <c r="S56" s="687"/>
      <c r="T56" s="687">
        <f>'Cuenta Ahorro-Inversión-Financi'!BW23/1000/'PIB corriente base 2004'!X11</f>
        <v>7.3987918753018094E-3</v>
      </c>
      <c r="U56" s="687">
        <f>'Cuenta Ahorro-Inversión-Financi'!T56+'Cuenta Ahorro-Inversión-Financi'!R56+(('Cuenta Ahorro-Inversión-Financi'!AX23+'Cuenta Ahorro-Inversión-Financi'!BB23)/1000/'PIB corriente base 2004'!X11)</f>
        <v>5.7314081410241892E-2</v>
      </c>
      <c r="V56" s="687">
        <f>'Cuenta Ahorro-Inversión-Financi'!BM23/1000/'PIB corriente base 2004'!X11</f>
        <v>7.3987918753018094E-3</v>
      </c>
      <c r="W56" s="673">
        <f>'Cuenta Ahorro-Inversión-Financi'!AW23/1000/'PIB corriente base 2004'!X11</f>
        <v>5.7314081410241878E-2</v>
      </c>
      <c r="X56" s="673">
        <f t="shared" si="13"/>
        <v>5.7314081410241878E-2</v>
      </c>
      <c r="Y56" s="673"/>
      <c r="Z56" s="673">
        <f>('Cuenta Ahorro-Inversión-Financi'!CF23)/1000/'PIB corriente base 2004'!X11</f>
        <v>5.7361019036788162E-2</v>
      </c>
      <c r="AA56" s="673">
        <f>('Cuenta Ahorro-Inversión-Financi'!CF23-'Cuenta Ahorro-Inversión-Financi'!AX23)/1000/'PIB corriente base 2004'!X11</f>
        <v>5.6426585370473022E-2</v>
      </c>
      <c r="AB56" s="669"/>
      <c r="AC56" s="680">
        <v>2007</v>
      </c>
      <c r="AD56" s="675">
        <f>'Cuenta Ahorro-Inversión-Financi'!J56-'Cuenta Ahorro-Inversión-Financi'!X56</f>
        <v>2.8839654610723284E-3</v>
      </c>
      <c r="AE56" s="675">
        <f>'Cuenta Ahorro-Inversión-Financi'!F56-'Cuenta Ahorro-Inversión-Financi'!R56</f>
        <v>-1.0476059230476086E-2</v>
      </c>
      <c r="AF56" s="675">
        <f>'Cuenta Ahorro-Inversión-Financi'!I56-'Cuenta Ahorro-Inversión-Financi'!U56-'Cuenta Ahorro-Inversión-Financi'!H56</f>
        <v>2.1460366438887362E-3</v>
      </c>
      <c r="AG56" s="675">
        <f>'Cuenta Ahorro-Inversión-Financi'!I56-'Cuenta Ahorro-Inversión-Financi'!U56</f>
        <v>2.8839654610723145E-3</v>
      </c>
      <c r="AH56" s="675">
        <f>'Cuenta Ahorro-Inversión-Financi'!O56-'Cuenta Ahorro-Inversión-Financi'!U56</f>
        <v>1.0847520896431796E-2</v>
      </c>
      <c r="AI56" s="675">
        <f>'Cuenta Ahorro-Inversión-Financi'!F56-('Cuenta Ahorro-Inversión-Financi'!BE23+'Cuenta Ahorro-Inversión-Financi'!BQ23)/'PIB corriente base 2004'!X11/1000</f>
        <v>-1.60664030586085E-2</v>
      </c>
      <c r="AJ56" s="455">
        <f>'Cuenta Ahorro-Inversión-Financi'!AH56-'Cuenta Ahorro-Inversión-Financi'!H56</f>
        <v>1.0109592079248218E-2</v>
      </c>
      <c r="AN56" s="676">
        <v>2007</v>
      </c>
      <c r="AO56" s="675">
        <f>'Cuenta Ahorro-Inversión-Financi'!I56</f>
        <v>6.0198046871314206E-2</v>
      </c>
      <c r="AP56" s="675">
        <f>'Cuenta Ahorro-Inversión-Financi'!F56</f>
        <v>3.8504796638148854E-2</v>
      </c>
      <c r="AQ56" s="675">
        <v>0</v>
      </c>
      <c r="AR56" s="675">
        <f>'Cuenta Ahorro-Inversión-Financi'!L56</f>
        <v>1.4906804729574941E-2</v>
      </c>
      <c r="AS56" s="675">
        <f>'Cuenta Ahorro-Inversión-Financi'!T56+'Cuenta Ahorro-Inversión-Financi'!R56+(('Cuenta Ahorro-Inversión-Financi'!BB23-'Cuenta Ahorro-Inversión-Financi'!BK23-'Cuenta Ahorro-Inversión-Financi'!BU23-'Cuenta Ahorro-Inversión-Financi'!BV23)/1000/'PIB corriente base 2004'!X11)</f>
        <v>5.5916349062191686E-2</v>
      </c>
      <c r="AT56" s="675">
        <f>'Cuenta Ahorro-Inversión-Financi'!T56+'Cuenta Ahorro-Inversión-Financi'!R56+(('Cuenta Ahorro-Inversión-Financi'!BB23-'Cuenta Ahorro-Inversión-Financi'!BK23-'Cuenta Ahorro-Inversión-Financi'!BU23-'Cuenta Ahorro-Inversión-Financi'!BV23-'Cuenta Ahorro-Inversión-Financi'!BO23-'Cuenta Ahorro-Inversión-Financi'!BP23)/1000/'PIB corriente base 2004'!X11)</f>
        <v>5.437044790168416E-2</v>
      </c>
      <c r="AU56" s="675">
        <f>'Cuenta Ahorro-Inversión-Financi'!U56</f>
        <v>5.7314081410241892E-2</v>
      </c>
      <c r="AV56" s="675">
        <f>('Cuenta Ahorro-Inversión-Financi'!CG23)/'PIB corriente base 2004'!X11/1000+'Cuenta Ahorro-Inversión-Financi'!Y56</f>
        <v>6.9437408213559055E-3</v>
      </c>
      <c r="AW56" s="675">
        <f>'Cuenta Ahorro-Inversión-Financi'!AP56-'Cuenta Ahorro-Inversión-Financi'!AT56</f>
        <v>-1.5865651263535306E-2</v>
      </c>
      <c r="AX56" s="675">
        <f>'Cuenta Ahorro-Inversión-Financi'!AO56-'Cuenta Ahorro-Inversión-Financi'!AU56</f>
        <v>2.8839654610723145E-3</v>
      </c>
      <c r="AY56" s="675">
        <f>'Cuenta Ahorro-Inversión-Financi'!AO56+'Cuenta Ahorro-Inversión-Financi'!AQ56+'Cuenta Ahorro-Inversión-Financi'!AR56-'Cuenta Ahorro-Inversión-Financi'!AU56-'Cuenta Ahorro-Inversión-Financi'!AV56</f>
        <v>1.0847029369291347E-2</v>
      </c>
      <c r="AZ56" s="675">
        <f>'Cuenta Ahorro-Inversión-Financi'!AY56</f>
        <v>1.0847029369291347E-2</v>
      </c>
      <c r="BA56" s="455">
        <f t="shared" si="14"/>
        <v>6.4257822231597803E-2</v>
      </c>
      <c r="BB56" s="455">
        <v>2.1363577388008501E-3</v>
      </c>
      <c r="BC56" s="455">
        <v>2.8709584007995999E-3</v>
      </c>
      <c r="BI56" s="1" t="s">
        <v>985</v>
      </c>
      <c r="BX56" s="1">
        <f>'Cuenta Ahorro-Inversión-Financi'!BE19+'Cuenta Ahorro-Inversión-Financi'!BR19</f>
        <v>16553740.618720001</v>
      </c>
      <c r="BY56" s="455">
        <f>'Cuenta Ahorro-Inversión-Financi'!BR19/'Cuenta Ahorro-Inversión-Financi'!BX56</f>
        <v>5.9519039027698881E-2</v>
      </c>
    </row>
    <row r="57" spans="1:107" ht="15.75" customHeight="1">
      <c r="A57" s="669"/>
      <c r="B57" s="669"/>
      <c r="C57" s="669"/>
      <c r="D57" s="669"/>
      <c r="E57" s="849">
        <v>2008</v>
      </c>
      <c r="F57" s="678">
        <f>'Cuenta Ahorro-Inversión-Financi'!S24/1000/'PIB corriente base 2004'!X12</f>
        <v>3.685080167369819E-2</v>
      </c>
      <c r="G57" s="678">
        <f>('Cuenta Ahorro-Inversión-Financi'!G24+'Cuenta Ahorro-Inversión-Financi'!R24)/1000/'PIB corriente base 2004'!X12</f>
        <v>2.043922790165011E-2</v>
      </c>
      <c r="H57" s="678">
        <f>'Cuenta Ahorro-Inversión-Financi'!W24/1000/'PIB corriente base 2004'!X12</f>
        <v>9.7198055036460665E-4</v>
      </c>
      <c r="I57" s="678">
        <f>'Cuenta Ahorro-Inversión-Financi'!J57</f>
        <v>5.8263649387052051E-2</v>
      </c>
      <c r="J57" s="678">
        <f>'Cuenta Ahorro-Inversión-Financi'!F24/1000/'PIB corriente base 2004'!X12</f>
        <v>5.8263649387052051E-2</v>
      </c>
      <c r="K57" s="678">
        <f>'Cuenta Ahorro-Inversión-Financi'!S24/1000/'PIB corriente base 2004'!X12</f>
        <v>3.685080167369819E-2</v>
      </c>
      <c r="L57" s="678">
        <f>'Cuenta Ahorro-Inversión-Financi'!AH24/1000/'PIB corriente base 2004'!X12</f>
        <v>1.4573037647607418E-2</v>
      </c>
      <c r="M57" s="678">
        <f>'Cuenta Ahorro-Inversión-Financi'!AN24/1000/'PIB corriente base 2004'!X12</f>
        <v>7.0183201543997462E-3</v>
      </c>
      <c r="N57" s="683">
        <f>'Cuenta Ahorro-Inversión-Financi'!AF24/1000/'PIB corriente base 2004'!X12</f>
        <v>5.8266184851221307E-2</v>
      </c>
      <c r="O57" s="683">
        <f>'Cuenta Ahorro-Inversión-Financi'!M57+'Cuenta Ahorro-Inversión-Financi'!I57</f>
        <v>6.5281969541451795E-2</v>
      </c>
      <c r="P57" s="669"/>
      <c r="Q57" s="679">
        <v>2008</v>
      </c>
      <c r="R57" s="678">
        <f>'Cuenta Ahorro-Inversión-Financi'!BE24/1000/'PIB corriente base 2004'!X12</f>
        <v>4.837647141777849E-2</v>
      </c>
      <c r="S57" s="678"/>
      <c r="T57" s="678">
        <f>'Cuenta Ahorro-Inversión-Financi'!BW24/1000/'PIB corriente base 2004'!X12</f>
        <v>8.9350178765842721E-3</v>
      </c>
      <c r="U57" s="678">
        <f>'Cuenta Ahorro-Inversión-Financi'!T57+'Cuenta Ahorro-Inversión-Financi'!R57+(('Cuenta Ahorro-Inversión-Financi'!AX24+'Cuenta Ahorro-Inversión-Financi'!BB24)/1000/'PIB corriente base 2004'!X12)</f>
        <v>5.8412618431963138E-2</v>
      </c>
      <c r="V57" s="678">
        <f>'Cuenta Ahorro-Inversión-Financi'!BM24/1000/'PIB corriente base 2004'!X12</f>
        <v>8.9350178765842721E-3</v>
      </c>
      <c r="W57" s="678">
        <f>'Cuenta Ahorro-Inversión-Financi'!AW24/1000/'PIB corriente base 2004'!X12</f>
        <v>5.8412618431963124E-2</v>
      </c>
      <c r="X57" s="678">
        <f t="shared" si="13"/>
        <v>5.8412618431963124E-2</v>
      </c>
      <c r="Y57" s="678">
        <f>'Cuenta Ahorro-Inversión-Financi'!CL24/1000/'PIB corriente base 2004'!X12</f>
        <v>1.1668965370281548E-3</v>
      </c>
      <c r="Z57" s="678">
        <f>('Cuenta Ahorro-Inversión-Financi'!CF24)/1000/'PIB corriente base 2004'!X12+'Cuenta Ahorro-Inversión-Financi'!Y57</f>
        <v>5.9624697294304661E-2</v>
      </c>
      <c r="AA57" s="678">
        <f>('Cuenta Ahorro-Inversión-Financi'!CF24-'Cuenta Ahorro-Inversión-Financi'!AX24)/1000/'PIB corriente base 2004'!X12</f>
        <v>5.7356671619676135E-2</v>
      </c>
      <c r="AB57" s="669"/>
      <c r="AC57" s="680">
        <v>2008</v>
      </c>
      <c r="AD57" s="678">
        <f>'Cuenta Ahorro-Inversión-Financi'!J57-'Cuenta Ahorro-Inversión-Financi'!X57</f>
        <v>-1.4896904491107366E-4</v>
      </c>
      <c r="AE57" s="678">
        <f>'Cuenta Ahorro-Inversión-Financi'!F57-'Cuenta Ahorro-Inversión-Financi'!R57</f>
        <v>-1.15256697440803E-2</v>
      </c>
      <c r="AF57" s="678">
        <f>'Cuenta Ahorro-Inversión-Financi'!I57-'Cuenta Ahorro-Inversión-Financi'!U57-'Cuenta Ahorro-Inversión-Financi'!H57</f>
        <v>-1.1209495952756942E-3</v>
      </c>
      <c r="AG57" s="678">
        <f>'Cuenta Ahorro-Inversión-Financi'!I57-'Cuenta Ahorro-Inversión-Financi'!U57</f>
        <v>-1.4896904491108753E-4</v>
      </c>
      <c r="AH57" s="678">
        <f>'Cuenta Ahorro-Inversión-Financi'!O57-'Cuenta Ahorro-Inversión-Financi'!U57</f>
        <v>6.869351109488657E-3</v>
      </c>
      <c r="AI57" s="678">
        <f>'Cuenta Ahorro-Inversión-Financi'!F57-('Cuenta Ahorro-Inversión-Financi'!BE24+'Cuenta Ahorro-Inversión-Financi'!BQ24)/'PIB corriente base 2004'!X12/1000</f>
        <v>-1.8702400334092921E-2</v>
      </c>
      <c r="AJ57" s="455">
        <f>'Cuenta Ahorro-Inversión-Financi'!AH57-'Cuenta Ahorro-Inversión-Financi'!H57</f>
        <v>5.8973705591240499E-3</v>
      </c>
      <c r="AN57" s="676">
        <v>2008</v>
      </c>
      <c r="AO57" s="678">
        <f>'Cuenta Ahorro-Inversión-Financi'!I57</f>
        <v>5.8263649387052051E-2</v>
      </c>
      <c r="AP57" s="678">
        <f>'Cuenta Ahorro-Inversión-Financi'!F57</f>
        <v>3.685080167369819E-2</v>
      </c>
      <c r="AQ57" s="678">
        <v>0</v>
      </c>
      <c r="AR57" s="678">
        <f>'Cuenta Ahorro-Inversión-Financi'!L57</f>
        <v>1.4573037647607418E-2</v>
      </c>
      <c r="AS57" s="678">
        <f>'Cuenta Ahorro-Inversión-Financi'!T57+'Cuenta Ahorro-Inversión-Financi'!R57+(('Cuenta Ahorro-Inversión-Financi'!BB24-'Cuenta Ahorro-Inversión-Financi'!BK24-'Cuenta Ahorro-Inversión-Financi'!BU24-'Cuenta Ahorro-Inversión-Financi'!BV24)/1000/'PIB corriente base 2004'!X12)</f>
        <v>5.6867572834097227E-2</v>
      </c>
      <c r="AT57" s="678">
        <f>'Cuenta Ahorro-Inversión-Financi'!T57+'Cuenta Ahorro-Inversión-Financi'!R57+(('Cuenta Ahorro-Inversión-Financi'!BB24-'Cuenta Ahorro-Inversión-Financi'!BK24-'Cuenta Ahorro-Inversión-Financi'!BU24-'Cuenta Ahorro-Inversión-Financi'!BV24-'Cuenta Ahorro-Inversión-Financi'!BO24-'Cuenta Ahorro-Inversión-Financi'!BP24)/1000/'PIB corriente base 2004'!X12)</f>
        <v>5.5152138837388891E-2</v>
      </c>
      <c r="AU57" s="678">
        <f>'Cuenta Ahorro-Inversión-Financi'!U57</f>
        <v>5.8412618431963138E-2</v>
      </c>
      <c r="AV57" s="678">
        <f>('Cuenta Ahorro-Inversión-Financi'!CG24)/'PIB corriente base 2004'!X12/1000+'Cuenta Ahorro-Inversión-Financi'!Y57</f>
        <v>8.7216140302358285E-3</v>
      </c>
      <c r="AW57" s="678">
        <f>'Cuenta Ahorro-Inversión-Financi'!AP57-'Cuenta Ahorro-Inversión-Financi'!AT57</f>
        <v>-1.8301337163690701E-2</v>
      </c>
      <c r="AX57" s="678">
        <f>'Cuenta Ahorro-Inversión-Financi'!AO57-'Cuenta Ahorro-Inversión-Financi'!AU57</f>
        <v>-1.4896904491108753E-4</v>
      </c>
      <c r="AY57" s="678">
        <f>'Cuenta Ahorro-Inversión-Financi'!AO57+'Cuenta Ahorro-Inversión-Financi'!AQ57+'Cuenta Ahorro-Inversión-Financi'!AR57-'Cuenta Ahorro-Inversión-Financi'!AU57-'Cuenta Ahorro-Inversión-Financi'!AV57</f>
        <v>5.7024545724605E-3</v>
      </c>
      <c r="AZ57" s="678">
        <f>'Cuenta Ahorro-Inversión-Financi'!AY57-'Cuenta Ahorro-Inversión-Financi'!H57</f>
        <v>4.730474022095893E-3</v>
      </c>
      <c r="BA57" s="455">
        <f t="shared" si="14"/>
        <v>6.7134232462198962E-2</v>
      </c>
      <c r="BB57" s="455">
        <v>-1.11607433474384E-3</v>
      </c>
      <c r="BC57" s="455">
        <v>-1.4832114521230201E-4</v>
      </c>
      <c r="BX57" s="1">
        <f>'Cuenta Ahorro-Inversión-Financi'!BE20+'Cuenta Ahorro-Inversión-Financi'!BR20</f>
        <v>18523568.103350002</v>
      </c>
      <c r="BY57" s="455">
        <f>'Cuenta Ahorro-Inversión-Financi'!BR20/'Cuenta Ahorro-Inversión-Financi'!BX57</f>
        <v>3.8718421853092828E-2</v>
      </c>
    </row>
    <row r="58" spans="1:107" ht="15.75" customHeight="1">
      <c r="A58" s="669"/>
      <c r="B58" s="669"/>
      <c r="C58" s="669"/>
      <c r="D58" s="669"/>
      <c r="E58" s="849">
        <v>2009</v>
      </c>
      <c r="F58" s="671">
        <f>'Cuenta Ahorro-Inversión-Financi'!S25/1000/'PIB corriente base 2004'!X13</f>
        <v>5.0770137181938908E-2</v>
      </c>
      <c r="G58" s="671">
        <f>('Cuenta Ahorro-Inversión-Financi'!G25+'Cuenta Ahorro-Inversión-Financi'!R25)/1000/'PIB corriente base 2004'!X13</f>
        <v>2.0392118134628833E-2</v>
      </c>
      <c r="H58" s="671">
        <f>'Cuenta Ahorro-Inversión-Financi'!W25/1000/'PIB corriente base 2004'!X13</f>
        <v>6.8009570031728585E-3</v>
      </c>
      <c r="I58" s="671">
        <f>'Cuenta Ahorro-Inversión-Financi'!J58</f>
        <v>7.7963881855659681E-2</v>
      </c>
      <c r="J58" s="671">
        <f>'Cuenta Ahorro-Inversión-Financi'!F25/1000/'PIB corriente base 2004'!X13</f>
        <v>7.7963881855659681E-2</v>
      </c>
      <c r="K58" s="671">
        <f>'Cuenta Ahorro-Inversión-Financi'!S25/1000/'PIB corriente base 2004'!X13</f>
        <v>5.0770137181938908E-2</v>
      </c>
      <c r="L58" s="671">
        <f>'Cuenta Ahorro-Inversión-Financi'!AH25/1000/'PIB corriente base 2004'!X13</f>
        <v>1.4617359798054395E-2</v>
      </c>
      <c r="M58" s="671">
        <f>'Cuenta Ahorro-Inversión-Financi'!AN25/1000/'PIB corriente base 2004'!X13</f>
        <v>4.9846951957368902E-3</v>
      </c>
      <c r="N58" s="671">
        <f>'Cuenta Ahorro-Inversión-Financi'!AF25/1000/'PIB corriente base 2004'!X13</f>
        <v>7.7964708976759958E-2</v>
      </c>
      <c r="O58" s="671">
        <f>'Cuenta Ahorro-Inversión-Financi'!M58+'Cuenta Ahorro-Inversión-Financi'!I58</f>
        <v>8.2948577051396577E-2</v>
      </c>
      <c r="P58" s="669"/>
      <c r="Q58" s="679">
        <v>2009</v>
      </c>
      <c r="R58" s="687">
        <f>'Cuenta Ahorro-Inversión-Financi'!BE25/1000/'PIB corriente base 2004'!X13</f>
        <v>5.6816274557031879E-2</v>
      </c>
      <c r="S58" s="687"/>
      <c r="T58" s="687">
        <f>'Cuenta Ahorro-Inversión-Financi'!BW25/1000/'PIB corriente base 2004'!X13</f>
        <v>1.2396247535131312E-2</v>
      </c>
      <c r="U58" s="687">
        <f>'Cuenta Ahorro-Inversión-Financi'!T58+'Cuenta Ahorro-Inversión-Financi'!R58+(('Cuenta Ahorro-Inversión-Financi'!AX25+'Cuenta Ahorro-Inversión-Financi'!BB25)/1000/'PIB corriente base 2004'!X13)</f>
        <v>7.0993746545817346E-2</v>
      </c>
      <c r="V58" s="687">
        <f>'Cuenta Ahorro-Inversión-Financi'!BM25/1000/'PIB corriente base 2004'!X13</f>
        <v>1.2396247535131312E-2</v>
      </c>
      <c r="W58" s="673">
        <f>'Cuenta Ahorro-Inversión-Financi'!AW25/1000/'PIB corriente base 2004'!X13</f>
        <v>7.0993746545817332E-2</v>
      </c>
      <c r="X58" s="673">
        <f t="shared" si="13"/>
        <v>7.0993746545817332E-2</v>
      </c>
      <c r="Y58" s="673">
        <f>'Cuenta Ahorro-Inversión-Financi'!CL25/1000/'PIB corriente base 2004'!X13</f>
        <v>1.6750269346199568E-3</v>
      </c>
      <c r="Z58" s="673">
        <f>('Cuenta Ahorro-Inversión-Financi'!CF25)/1000/'PIB corriente base 2004'!X13+'Cuenta Ahorro-Inversión-Financi'!Y58</f>
        <v>7.2740609817641896E-2</v>
      </c>
      <c r="AA58" s="673">
        <f>('Cuenta Ahorro-Inversión-Financi'!CF25-'Cuenta Ahorro-Inversión-Financi'!AX25)/1000/'PIB corriente base 2004'!X13</f>
        <v>6.9287836033962893E-2</v>
      </c>
      <c r="AB58" s="669"/>
      <c r="AC58" s="680">
        <v>2009</v>
      </c>
      <c r="AD58" s="675">
        <f>'Cuenta Ahorro-Inversión-Financi'!J58-'Cuenta Ahorro-Inversión-Financi'!X58</f>
        <v>6.9701353098423485E-3</v>
      </c>
      <c r="AE58" s="675">
        <f>'Cuenta Ahorro-Inversión-Financi'!F58-'Cuenta Ahorro-Inversión-Financi'!R58</f>
        <v>-6.0461373750929706E-3</v>
      </c>
      <c r="AF58" s="675">
        <f>'Cuenta Ahorro-Inversión-Financi'!I58-'Cuenta Ahorro-Inversión-Financi'!U58-'Cuenta Ahorro-Inversión-Financi'!H58</f>
        <v>1.6917830666947613E-4</v>
      </c>
      <c r="AG58" s="675">
        <f>'Cuenta Ahorro-Inversión-Financi'!I58-'Cuenta Ahorro-Inversión-Financi'!U58</f>
        <v>6.9701353098423346E-3</v>
      </c>
      <c r="AH58" s="675">
        <f>'Cuenta Ahorro-Inversión-Financi'!O58-'Cuenta Ahorro-Inversión-Financi'!U58</f>
        <v>1.1954830505579231E-2</v>
      </c>
      <c r="AI58" s="675">
        <f>'Cuenta Ahorro-Inversión-Financi'!F58-('Cuenta Ahorro-Inversión-Financi'!BE25+'Cuenta Ahorro-Inversión-Financi'!BQ25)/'PIB corriente base 2004'!X13/1000</f>
        <v>-1.6401011786405774E-2</v>
      </c>
      <c r="AJ58" s="455">
        <f>'Cuenta Ahorro-Inversión-Financi'!AH58-'Cuenta Ahorro-Inversión-Financi'!H58</f>
        <v>5.1538735024063724E-3</v>
      </c>
      <c r="AN58" s="676">
        <v>2009</v>
      </c>
      <c r="AO58" s="675">
        <f>'Cuenta Ahorro-Inversión-Financi'!I58</f>
        <v>7.7963881855659681E-2</v>
      </c>
      <c r="AP58" s="675">
        <f>'Cuenta Ahorro-Inversión-Financi'!F58</f>
        <v>5.0770137181938908E-2</v>
      </c>
      <c r="AQ58" s="675">
        <v>0</v>
      </c>
      <c r="AR58" s="675">
        <f>'Cuenta Ahorro-Inversión-Financi'!L58</f>
        <v>1.4617359798054395E-2</v>
      </c>
      <c r="AS58" s="675">
        <f>'Cuenta Ahorro-Inversión-Financi'!T58+'Cuenta Ahorro-Inversión-Financi'!R58+(('Cuenta Ahorro-Inversión-Financi'!BB25-'Cuenta Ahorro-Inversión-Financi'!BK25-'Cuenta Ahorro-Inversión-Financi'!BU25-'Cuenta Ahorro-Inversión-Financi'!BV25)/1000/'PIB corriente base 2004'!X13)</f>
        <v>6.872378447930523E-2</v>
      </c>
      <c r="AT58" s="675">
        <f>'Cuenta Ahorro-Inversión-Financi'!T58+'Cuenta Ahorro-Inversión-Financi'!R58+(('Cuenta Ahorro-Inversión-Financi'!BB25-'Cuenta Ahorro-Inversión-Financi'!BK25-'Cuenta Ahorro-Inversión-Financi'!BU25-'Cuenta Ahorro-Inversión-Financi'!BV25-'Cuenta Ahorro-Inversión-Financi'!BO25-'Cuenta Ahorro-Inversión-Financi'!BP25)/1000/'PIB corriente base 2004'!X13)</f>
        <v>6.6441228085196688E-2</v>
      </c>
      <c r="AU58" s="675">
        <f>'Cuenta Ahorro-Inversión-Financi'!U58</f>
        <v>7.0993746545817346E-2</v>
      </c>
      <c r="AV58" s="675">
        <f>('Cuenta Ahorro-Inversión-Financi'!CG25)/'PIB corriente base 2004'!X13/1000+'Cuenta Ahorro-Inversión-Financi'!Y58</f>
        <v>1.1307691536937461E-2</v>
      </c>
      <c r="AW58" s="675">
        <f>'Cuenta Ahorro-Inversión-Financi'!AP58-'Cuenta Ahorro-Inversión-Financi'!AT58</f>
        <v>-1.567109090325778E-2</v>
      </c>
      <c r="AX58" s="675">
        <f>'Cuenta Ahorro-Inversión-Financi'!AO58-'Cuenta Ahorro-Inversión-Financi'!AU58</f>
        <v>6.9701353098423346E-3</v>
      </c>
      <c r="AY58" s="675">
        <f>'Cuenta Ahorro-Inversión-Financi'!AO58+'Cuenta Ahorro-Inversión-Financi'!AQ58+'Cuenta Ahorro-Inversión-Financi'!AR58-'Cuenta Ahorro-Inversión-Financi'!AU58-'Cuenta Ahorro-Inversión-Financi'!AV58</f>
        <v>1.027980357095927E-2</v>
      </c>
      <c r="AZ58" s="675">
        <f>'Cuenta Ahorro-Inversión-Financi'!AY58-'Cuenta Ahorro-Inversión-Financi'!H58</f>
        <v>3.4788465677864115E-3</v>
      </c>
      <c r="BA58" s="455">
        <f t="shared" si="14"/>
        <v>8.2301438082754808E-2</v>
      </c>
      <c r="BB58" s="455">
        <v>1.6841261592386001E-4</v>
      </c>
      <c r="BC58" s="455">
        <v>6.9385889005690003E-3</v>
      </c>
      <c r="BX58" s="1">
        <f>'Cuenta Ahorro-Inversión-Financi'!BE21+'Cuenta Ahorro-Inversión-Financi'!BR21</f>
        <v>20916082.580230001</v>
      </c>
      <c r="BY58" s="455">
        <f>'Cuenta Ahorro-Inversión-Financi'!BR21/'Cuenta Ahorro-Inversión-Financi'!BX58</f>
        <v>3.7724285416897763E-2</v>
      </c>
    </row>
    <row r="59" spans="1:107" ht="15.75" customHeight="1">
      <c r="A59" s="669"/>
      <c r="B59" s="669"/>
      <c r="C59" s="669"/>
      <c r="D59" s="669"/>
      <c r="E59" s="849">
        <v>2010</v>
      </c>
      <c r="F59" s="678">
        <f>'Cuenta Ahorro-Inversión-Financi'!S26/1000/'PIB corriente base 2004'!X14</f>
        <v>5.0487311577959881E-2</v>
      </c>
      <c r="G59" s="678">
        <f>('Cuenta Ahorro-Inversión-Financi'!G26+'Cuenta Ahorro-Inversión-Financi'!R26)/1000/'PIB corriente base 2004'!X14</f>
        <v>2.0640763106550608E-2</v>
      </c>
      <c r="H59" s="678">
        <f>'Cuenta Ahorro-Inversión-Financi'!W26/1000/'PIB corriente base 2004'!X14</f>
        <v>5.2443989926986359E-3</v>
      </c>
      <c r="I59" s="678">
        <f>'Cuenta Ahorro-Inversión-Financi'!J59</f>
        <v>7.6372991790916764E-2</v>
      </c>
      <c r="J59" s="678">
        <f>'Cuenta Ahorro-Inversión-Financi'!F26/1000/'PIB corriente base 2004'!X14</f>
        <v>7.6372991790916764E-2</v>
      </c>
      <c r="K59" s="678">
        <f>'Cuenta Ahorro-Inversión-Financi'!S26/1000/'PIB corriente base 2004'!X14</f>
        <v>5.0487311577959881E-2</v>
      </c>
      <c r="L59" s="678">
        <f>('Cuenta Ahorro-Inversión-Financi'!AH26+'Cuenta Ahorro-Inversión-Financi'!AJ26)/1000/'PIB corriente base 2004'!X14</f>
        <v>1.4792063862587343E-2</v>
      </c>
      <c r="M59" s="678">
        <f>'Cuenta Ahorro-Inversión-Financi'!AN26/1000/'PIB corriente base 2004'!X14</f>
        <v>4.8284730393156252E-3</v>
      </c>
      <c r="N59" s="683">
        <f>'Cuenta Ahorro-Inversión-Financi'!AF26/1000/'PIB corriente base 2004'!X14</f>
        <v>7.6373036938545844E-2</v>
      </c>
      <c r="O59" s="683">
        <f>'Cuenta Ahorro-Inversión-Financi'!M59+'Cuenta Ahorro-Inversión-Financi'!I59</f>
        <v>8.1201464830232384E-2</v>
      </c>
      <c r="P59" s="669"/>
      <c r="Q59" s="679">
        <v>2010</v>
      </c>
      <c r="R59" s="678">
        <f>'Cuenta Ahorro-Inversión-Financi'!BE26/1000/'PIB corriente base 2004'!X14</f>
        <v>5.3172325238802949E-2</v>
      </c>
      <c r="S59" s="678"/>
      <c r="T59" s="678">
        <f>'Cuenta Ahorro-Inversión-Financi'!BW26/1000/'PIB corriente base 2004'!X14</f>
        <v>1.5305291808047088E-2</v>
      </c>
      <c r="U59" s="678">
        <f>'Cuenta Ahorro-Inversión-Financi'!T59+'Cuenta Ahorro-Inversión-Financi'!R59+(('Cuenta Ahorro-Inversión-Financi'!AX26+'Cuenta Ahorro-Inversión-Financi'!BB26)/1000/'PIB corriente base 2004'!X14)</f>
        <v>7.041035092647209E-2</v>
      </c>
      <c r="V59" s="678">
        <f>'Cuenta Ahorro-Inversión-Financi'!BM26/1000/'PIB corriente base 2004'!X14</f>
        <v>1.5305291808047088E-2</v>
      </c>
      <c r="W59" s="678">
        <f>'Cuenta Ahorro-Inversión-Financi'!AW26/1000/'PIB corriente base 2004'!X14</f>
        <v>7.0410350926472076E-2</v>
      </c>
      <c r="X59" s="678">
        <f t="shared" si="13"/>
        <v>7.0410350926472076E-2</v>
      </c>
      <c r="Y59" s="678">
        <f>'Cuenta Ahorro-Inversión-Financi'!CL26/1000/'PIB corriente base 2004'!X14</f>
        <v>1.2916127891811728E-3</v>
      </c>
      <c r="Z59" s="678">
        <f>('Cuenta Ahorro-Inversión-Financi'!CF26)/1000/'PIB corriente base 2004'!X14+'Cuenta Ahorro-Inversión-Financi'!Y59</f>
        <v>7.1844709921599456E-2</v>
      </c>
      <c r="AA59" s="678">
        <f>('Cuenta Ahorro-Inversión-Financi'!CF26-'Cuenta Ahorro-Inversión-Financi'!AX26)/1000/'PIB corriente base 2004'!X14</f>
        <v>6.8624868675411496E-2</v>
      </c>
      <c r="AB59" s="669"/>
      <c r="AC59" s="680">
        <v>2010</v>
      </c>
      <c r="AD59" s="678">
        <f>'Cuenta Ahorro-Inversión-Financi'!J59-'Cuenta Ahorro-Inversión-Financi'!X59</f>
        <v>5.9626408644446877E-3</v>
      </c>
      <c r="AE59" s="678">
        <f>'Cuenta Ahorro-Inversión-Financi'!F59-'Cuenta Ahorro-Inversión-Financi'!R59</f>
        <v>-2.6850136608430678E-3</v>
      </c>
      <c r="AF59" s="678">
        <f>'Cuenta Ahorro-Inversión-Financi'!I59-'Cuenta Ahorro-Inversión-Financi'!U59-'Cuenta Ahorro-Inversión-Financi'!H59</f>
        <v>7.1824187174603787E-4</v>
      </c>
      <c r="AG59" s="678">
        <f>'Cuenta Ahorro-Inversión-Financi'!I59-'Cuenta Ahorro-Inversión-Financi'!U59</f>
        <v>5.9626408644446738E-3</v>
      </c>
      <c r="AH59" s="678">
        <f>'Cuenta Ahorro-Inversión-Financi'!O59-'Cuenta Ahorro-Inversión-Financi'!U59</f>
        <v>1.0791113903760294E-2</v>
      </c>
      <c r="AI59" s="678">
        <f>'Cuenta Ahorro-Inversión-Financi'!F59-('Cuenta Ahorro-Inversión-Financi'!BE26+'Cuenta Ahorro-Inversión-Financi'!BQ26)/'PIB corriente base 2004'!X14/1000</f>
        <v>-1.6086145834166066E-2</v>
      </c>
      <c r="AJ59" s="455">
        <f>'Cuenta Ahorro-Inversión-Financi'!AH59-'Cuenta Ahorro-Inversión-Financi'!H59</f>
        <v>5.5467149110616579E-3</v>
      </c>
      <c r="AN59" s="676">
        <v>2010</v>
      </c>
      <c r="AO59" s="678">
        <f>'Cuenta Ahorro-Inversión-Financi'!I59</f>
        <v>7.6372991790916764E-2</v>
      </c>
      <c r="AP59" s="678">
        <f>'Cuenta Ahorro-Inversión-Financi'!F59</f>
        <v>5.0487311577959881E-2</v>
      </c>
      <c r="AQ59" s="678">
        <v>0</v>
      </c>
      <c r="AR59" s="678">
        <f>'Cuenta Ahorro-Inversión-Financi'!L59</f>
        <v>1.4792063862587343E-2</v>
      </c>
      <c r="AS59" s="678">
        <f>'Cuenta Ahorro-Inversión-Financi'!T59+'Cuenta Ahorro-Inversión-Financi'!R59+(('Cuenta Ahorro-Inversión-Financi'!BB26-'Cuenta Ahorro-Inversión-Financi'!BK26-'Cuenta Ahorro-Inversión-Financi'!BU26-'Cuenta Ahorro-Inversión-Financi'!BV26)/1000/'PIB corriente base 2004'!X14)</f>
        <v>6.8032724675683831E-2</v>
      </c>
      <c r="AT59" s="678">
        <f>'Cuenta Ahorro-Inversión-Financi'!T59+'Cuenta Ahorro-Inversión-Financi'!R59+(('Cuenta Ahorro-Inversión-Financi'!BB26-'Cuenta Ahorro-Inversión-Financi'!BK26-'Cuenta Ahorro-Inversión-Financi'!BU26-'Cuenta Ahorro-Inversión-Financi'!BV26-'Cuenta Ahorro-Inversión-Financi'!BO26-'Cuenta Ahorro-Inversión-Financi'!BP26)/1000/'PIB corriente base 2004'!X14)</f>
        <v>6.6291307308321085E-2</v>
      </c>
      <c r="AU59" s="678">
        <f>'Cuenta Ahorro-Inversión-Financi'!U59</f>
        <v>7.041035092647209E-2</v>
      </c>
      <c r="AV59" s="678">
        <f>('Cuenta Ahorro-Inversión-Financi'!CG26+'Cuenta Ahorro-Inversión-Financi'!BY26)/'PIB corriente base 2004'!X14/1000+'Cuenta Ahorro-Inversión-Financi'!Y59</f>
        <v>1.1397949818399094E-2</v>
      </c>
      <c r="AW59" s="678">
        <f>'Cuenta Ahorro-Inversión-Financi'!AP59-'Cuenta Ahorro-Inversión-Financi'!AT59</f>
        <v>-1.5803995730361203E-2</v>
      </c>
      <c r="AX59" s="678">
        <f>'Cuenta Ahorro-Inversión-Financi'!AO59-'Cuenta Ahorro-Inversión-Financi'!AU59</f>
        <v>5.9626408644446738E-3</v>
      </c>
      <c r="AY59" s="678">
        <f>'Cuenta Ahorro-Inversión-Financi'!AO59+'Cuenta Ahorro-Inversión-Financi'!AQ59+'Cuenta Ahorro-Inversión-Financi'!AR59-'Cuenta Ahorro-Inversión-Financi'!AU59-'Cuenta Ahorro-Inversión-Financi'!AV59</f>
        <v>9.3567549086329225E-3</v>
      </c>
      <c r="AZ59" s="678">
        <f>'Cuenta Ahorro-Inversión-Financi'!AY59-'Cuenta Ahorro-Inversión-Financi'!H59</f>
        <v>4.1123559159342866E-3</v>
      </c>
      <c r="BA59" s="455">
        <f t="shared" si="14"/>
        <v>8.1808300744871179E-2</v>
      </c>
      <c r="BB59" s="455">
        <v>7.1438258031669699E-4</v>
      </c>
      <c r="BC59" s="455">
        <v>5.9306021185995001E-3</v>
      </c>
      <c r="BX59" s="1">
        <f>'Cuenta Ahorro-Inversión-Financi'!BE22+'Cuenta Ahorro-Inversión-Financi'!BR22</f>
        <v>27392491.767690003</v>
      </c>
      <c r="BY59" s="455">
        <f>'Cuenta Ahorro-Inversión-Financi'!BR22/'Cuenta Ahorro-Inversión-Financi'!BX59</f>
        <v>3.7135263599123912E-2</v>
      </c>
    </row>
    <row r="60" spans="1:107" ht="15.75" customHeight="1">
      <c r="A60" s="669"/>
      <c r="B60" s="669"/>
      <c r="C60" s="669"/>
      <c r="D60" s="669"/>
      <c r="E60" s="849">
        <v>2011</v>
      </c>
      <c r="F60" s="671">
        <f>'Cuenta Ahorro-Inversión-Financi'!S27/1000/'PIB corriente base 2004'!X15</f>
        <v>5.1623947009385961E-2</v>
      </c>
      <c r="G60" s="671">
        <f>('Cuenta Ahorro-Inversión-Financi'!G27+'Cuenta Ahorro-Inversión-Financi'!R27)/1000/'PIB corriente base 2004'!X15</f>
        <v>2.1055525547648633E-2</v>
      </c>
      <c r="H60" s="671">
        <f>'Cuenta Ahorro-Inversión-Financi'!W27/1000/'PIB corriente base 2004'!X15</f>
        <v>5.065882077998545E-3</v>
      </c>
      <c r="I60" s="671">
        <f>'Cuenta Ahorro-Inversión-Financi'!J60</f>
        <v>7.7745354635033154E-2</v>
      </c>
      <c r="J60" s="671">
        <f>'Cuenta Ahorro-Inversión-Financi'!F27/1000/'PIB corriente base 2004'!X15</f>
        <v>7.7745354635033154E-2</v>
      </c>
      <c r="K60" s="671">
        <f>'Cuenta Ahorro-Inversión-Financi'!S27/1000/'PIB corriente base 2004'!X15</f>
        <v>5.1623947009385961E-2</v>
      </c>
      <c r="L60" s="671">
        <f>'Cuenta Ahorro-Inversión-Financi'!AH27/1000/'PIB corriente base 2004'!X15</f>
        <v>1.4885606544660831E-2</v>
      </c>
      <c r="M60" s="671">
        <f>'Cuenta Ahorro-Inversión-Financi'!AN27/1000/'PIB corriente base 2004'!X15</f>
        <v>6.0129945065720758E-3</v>
      </c>
      <c r="N60" s="671">
        <f>'Cuenta Ahorro-Inversión-Financi'!AF27/1000/'PIB corriente base 2004'!X15</f>
        <v>7.7745789969818305E-2</v>
      </c>
      <c r="O60" s="671">
        <f>'Cuenta Ahorro-Inversión-Financi'!M60+'Cuenta Ahorro-Inversión-Financi'!I60</f>
        <v>8.3758349141605223E-2</v>
      </c>
      <c r="P60" s="669"/>
      <c r="Q60" s="679">
        <v>2011</v>
      </c>
      <c r="R60" s="687">
        <f>'Cuenta Ahorro-Inversión-Financi'!BE27/1000/'PIB corriente base 2004'!X15</f>
        <v>5.5992350405029589E-2</v>
      </c>
      <c r="S60" s="687"/>
      <c r="T60" s="687">
        <f>'Cuenta Ahorro-Inversión-Financi'!BW27/1000/'PIB corriente base 2004'!X15</f>
        <v>1.2986916922533072E-2</v>
      </c>
      <c r="U60" s="687">
        <f>'Cuenta Ahorro-Inversión-Financi'!T60+'Cuenta Ahorro-Inversión-Financi'!R60+(('Cuenta Ahorro-Inversión-Financi'!AX27+'Cuenta Ahorro-Inversión-Financi'!BB27)/1000/'PIB corriente base 2004'!X15)</f>
        <v>7.1171401665609146E-2</v>
      </c>
      <c r="V60" s="687">
        <f>'Cuenta Ahorro-Inversión-Financi'!BM27/1000/'PIB corriente base 2004'!X15</f>
        <v>1.2986916922533072E-2</v>
      </c>
      <c r="W60" s="673">
        <f>'Cuenta Ahorro-Inversión-Financi'!AW27/1000/'PIB corriente base 2004'!X15</f>
        <v>7.1171401665609146E-2</v>
      </c>
      <c r="X60" s="673">
        <f t="shared" si="13"/>
        <v>7.1171401665609146E-2</v>
      </c>
      <c r="Y60" s="673">
        <f>'Cuenta Ahorro-Inversión-Financi'!CL27/1000/'PIB corriente base 2004'!X15</f>
        <v>1.0313332451235664E-3</v>
      </c>
      <c r="Z60" s="673">
        <f>('Cuenta Ahorro-Inversión-Financi'!CF27)/1000/'PIB corriente base 2004'!X15+'Cuenta Ahorro-Inversión-Financi'!Y60</f>
        <v>7.3777547626343434E-2</v>
      </c>
      <c r="AA60" s="673">
        <f>('Cuenta Ahorro-Inversión-Financi'!CF27-'Cuenta Ahorro-Inversión-Financi'!AX27)/1000/'PIB corriente base 2004'!X15</f>
        <v>7.0557490329010791E-2</v>
      </c>
      <c r="AB60" s="669"/>
      <c r="AC60" s="680">
        <v>2011</v>
      </c>
      <c r="AD60" s="675">
        <f>'Cuenta Ahorro-Inversión-Financi'!J60-'Cuenta Ahorro-Inversión-Financi'!X60</f>
        <v>6.5739529694240073E-3</v>
      </c>
      <c r="AE60" s="675">
        <f>'Cuenta Ahorro-Inversión-Financi'!F60-'Cuenta Ahorro-Inversión-Financi'!R60</f>
        <v>-4.3684033956436288E-3</v>
      </c>
      <c r="AF60" s="675">
        <f>'Cuenta Ahorro-Inversión-Financi'!I60-'Cuenta Ahorro-Inversión-Financi'!U60-'Cuenta Ahorro-Inversión-Financi'!H60</f>
        <v>1.5080708914254623E-3</v>
      </c>
      <c r="AG60" s="675">
        <f>'Cuenta Ahorro-Inversión-Financi'!I60-'Cuenta Ahorro-Inversión-Financi'!U60</f>
        <v>6.5739529694240073E-3</v>
      </c>
      <c r="AH60" s="675">
        <f>'Cuenta Ahorro-Inversión-Financi'!O60-'Cuenta Ahorro-Inversión-Financi'!U60</f>
        <v>1.2586947475996077E-2</v>
      </c>
      <c r="AI60" s="675">
        <f>'Cuenta Ahorro-Inversión-Financi'!F60-('Cuenta Ahorro-Inversión-Financi'!BE27+'Cuenta Ahorro-Inversión-Financi'!BQ27)/'PIB corriente base 2004'!X15/1000</f>
        <v>-1.5348395800543639E-2</v>
      </c>
      <c r="AJ60" s="455">
        <f>'Cuenta Ahorro-Inversión-Financi'!AH60-'Cuenta Ahorro-Inversión-Financi'!H60</f>
        <v>7.521065397997532E-3</v>
      </c>
      <c r="AN60" s="676">
        <v>2011</v>
      </c>
      <c r="AO60" s="675">
        <f>'Cuenta Ahorro-Inversión-Financi'!I60</f>
        <v>7.7745354635033154E-2</v>
      </c>
      <c r="AP60" s="675">
        <f>'Cuenta Ahorro-Inversión-Financi'!F60</f>
        <v>5.1623947009385961E-2</v>
      </c>
      <c r="AQ60" s="675">
        <v>0</v>
      </c>
      <c r="AR60" s="675">
        <f>'Cuenta Ahorro-Inversión-Financi'!L60</f>
        <v>1.4885606544660831E-2</v>
      </c>
      <c r="AS60" s="675">
        <f>'Cuenta Ahorro-Inversión-Financi'!T60+'Cuenta Ahorro-Inversión-Financi'!R60+(('Cuenta Ahorro-Inversión-Financi'!BB27-'Cuenta Ahorro-Inversión-Financi'!BK27-'Cuenta Ahorro-Inversión-Financi'!BU27-'Cuenta Ahorro-Inversión-Financi'!BV27)/1000/'PIB corriente base 2004'!X15)</f>
        <v>6.851208280295655E-2</v>
      </c>
      <c r="AT60" s="675">
        <f>'Cuenta Ahorro-Inversión-Financi'!T60+'Cuenta Ahorro-Inversión-Financi'!R60+(('Cuenta Ahorro-Inversión-Financi'!BB27-'Cuenta Ahorro-Inversión-Financi'!BK27-'Cuenta Ahorro-Inversión-Financi'!BU27-'Cuenta Ahorro-Inversión-Financi'!BV27-'Cuenta Ahorro-Inversión-Financi'!BO27-'Cuenta Ahorro-Inversión-Financi'!BP27)/1000/'PIB corriente base 2004'!X15)</f>
        <v>6.7847182872842929E-2</v>
      </c>
      <c r="AU60" s="675">
        <f>'Cuenta Ahorro-Inversión-Financi'!U60</f>
        <v>7.1171401665609146E-2</v>
      </c>
      <c r="AV60" s="675">
        <f>('Cuenta Ahorro-Inversión-Financi'!CG27+'Cuenta Ahorro-Inversión-Financi'!BY27)/'PIB corriente base 2004'!X15/1000+'Cuenta Ahorro-Inversión-Financi'!Y60</f>
        <v>1.3130598377276193E-2</v>
      </c>
      <c r="AW60" s="675">
        <f>'Cuenta Ahorro-Inversión-Financi'!AP60-'Cuenta Ahorro-Inversión-Financi'!AT60</f>
        <v>-1.6223235863456968E-2</v>
      </c>
      <c r="AX60" s="675">
        <f>'Cuenta Ahorro-Inversión-Financi'!AO60-'Cuenta Ahorro-Inversión-Financi'!AU60</f>
        <v>6.5739529694240073E-3</v>
      </c>
      <c r="AY60" s="675">
        <f>'Cuenta Ahorro-Inversión-Financi'!AO60+'Cuenta Ahorro-Inversión-Financi'!AQ60+'Cuenta Ahorro-Inversión-Financi'!AR60-'Cuenta Ahorro-Inversión-Financi'!AU60-'Cuenta Ahorro-Inversión-Financi'!AV60</f>
        <v>8.3289611368086401E-3</v>
      </c>
      <c r="AZ60" s="675">
        <f>'Cuenta Ahorro-Inversión-Financi'!AY60-'Cuenta Ahorro-Inversión-Financi'!H60</f>
        <v>3.2630790588100951E-3</v>
      </c>
      <c r="BA60" s="455">
        <f t="shared" si="14"/>
        <v>8.4302000042885336E-2</v>
      </c>
      <c r="BB60" s="455">
        <v>1.4994808697394301E-3</v>
      </c>
      <c r="BC60" s="455">
        <v>6.5365075158373004E-3</v>
      </c>
      <c r="BX60" s="1">
        <f>'Cuenta Ahorro-Inversión-Financi'!BE23+'Cuenta Ahorro-Inversión-Financi'!BR23</f>
        <v>45556998.667380005</v>
      </c>
      <c r="BY60" s="455">
        <f>'Cuenta Ahorro-Inversión-Financi'!BR23/'Cuenta Ahorro-Inversión-Financi'!BX60</f>
        <v>3.5606868134434325E-2</v>
      </c>
    </row>
    <row r="61" spans="1:107" ht="14.45" customHeight="1">
      <c r="A61" s="669"/>
      <c r="B61" s="669"/>
      <c r="C61" s="669"/>
      <c r="D61" s="669"/>
      <c r="E61" s="849">
        <v>2012</v>
      </c>
      <c r="F61" s="678">
        <f>'Cuenta Ahorro-Inversión-Financi'!S28/1000/'PIB corriente base 2004'!X16</f>
        <v>5.5778278265297979E-2</v>
      </c>
      <c r="G61" s="678">
        <f>('Cuenta Ahorro-Inversión-Financi'!G28+'Cuenta Ahorro-Inversión-Financi'!R28)/1000/'PIB corriente base 2004'!X16</f>
        <v>2.2440098912537731E-2</v>
      </c>
      <c r="H61" s="678">
        <f>'Cuenta Ahorro-Inversión-Financi'!W28/1000/'PIB corriente base 2004'!X16</f>
        <v>6.5768966604751464E-3</v>
      </c>
      <c r="I61" s="678">
        <f>'Cuenta Ahorro-Inversión-Financi'!J61</f>
        <v>8.4795273838310856E-2</v>
      </c>
      <c r="J61" s="678">
        <f>'Cuenta Ahorro-Inversión-Financi'!F28/1000/'PIB corriente base 2004'!X16</f>
        <v>8.4795273838310856E-2</v>
      </c>
      <c r="K61" s="678">
        <f>'Cuenta Ahorro-Inversión-Financi'!S28/1000/'PIB corriente base 2004'!X16</f>
        <v>5.5778278265297979E-2</v>
      </c>
      <c r="L61" s="678">
        <f>'Cuenta Ahorro-Inversión-Financi'!AH28/1000/'PIB corriente base 2004'!X16</f>
        <v>1.5558304996599116E-2</v>
      </c>
      <c r="M61" s="678">
        <f>'Cuenta Ahorro-Inversión-Financi'!AN28/1000/'PIB corriente base 2004'!X16</f>
        <v>3.4152349543766624E-3</v>
      </c>
      <c r="N61" s="683">
        <f>'Cuenta Ahorro-Inversión-Financi'!AF28/1000/'PIB corriente base 2004'!X16</f>
        <v>8.4795744974622167E-2</v>
      </c>
      <c r="O61" s="683">
        <f>'Cuenta Ahorro-Inversión-Financi'!M61+'Cuenta Ahorro-Inversión-Financi'!I61</f>
        <v>8.821050879268752E-2</v>
      </c>
      <c r="P61" s="669"/>
      <c r="Q61" s="679">
        <v>2012</v>
      </c>
      <c r="R61" s="678">
        <f>'Cuenta Ahorro-Inversión-Financi'!BE28/1000/'PIB corriente base 2004'!X16</f>
        <v>6.3957687429560775E-2</v>
      </c>
      <c r="S61" s="678"/>
      <c r="T61" s="678">
        <f>'Cuenta Ahorro-Inversión-Financi'!BW28/1000/'PIB corriente base 2004'!X16</f>
        <v>1.224692325962958E-2</v>
      </c>
      <c r="U61" s="678">
        <f>'Cuenta Ahorro-Inversión-Financi'!T61+'Cuenta Ahorro-Inversión-Financi'!R61+(('Cuenta Ahorro-Inversión-Financi'!AX28+'Cuenta Ahorro-Inversión-Financi'!BB28)/1000/'PIB corriente base 2004'!X16)</f>
        <v>7.8571422890875195E-2</v>
      </c>
      <c r="V61" s="678">
        <f>'Cuenta Ahorro-Inversión-Financi'!BM28/1000/'PIB corriente base 2004'!X16</f>
        <v>1.224692325962958E-2</v>
      </c>
      <c r="W61" s="678">
        <f>'Cuenta Ahorro-Inversión-Financi'!AW28/1000/'PIB corriente base 2004'!X16</f>
        <v>7.8571422890875195E-2</v>
      </c>
      <c r="X61" s="678">
        <f t="shared" si="13"/>
        <v>7.8571422890875195E-2</v>
      </c>
      <c r="Y61" s="678">
        <f>'Cuenta Ahorro-Inversión-Financi'!CL28/1000/'PIB corriente base 2004'!X16</f>
        <v>1.2353701400083462E-3</v>
      </c>
      <c r="Z61" s="678">
        <f>('Cuenta Ahorro-Inversión-Financi'!CF28)/1000/'PIB corriente base 2004'!X16+'Cuenta Ahorro-Inversión-Financi'!Y61</f>
        <v>8.0105216352286748E-2</v>
      </c>
      <c r="AA61" s="678">
        <f>('Cuenta Ahorro-Inversión-Financi'!CF28-'Cuenta Ahorro-Inversión-Financi'!AX28)/1000/'PIB corriente base 2004'!X16</f>
        <v>7.6504982329396121E-2</v>
      </c>
      <c r="AB61" s="669"/>
      <c r="AC61" s="680">
        <v>2012</v>
      </c>
      <c r="AD61" s="678">
        <f>'Cuenta Ahorro-Inversión-Financi'!J61-'Cuenta Ahorro-Inversión-Financi'!X61</f>
        <v>6.2238509474356607E-3</v>
      </c>
      <c r="AE61" s="678">
        <f>'Cuenta Ahorro-Inversión-Financi'!F61-'Cuenta Ahorro-Inversión-Financi'!R61</f>
        <v>-8.1794091642627964E-3</v>
      </c>
      <c r="AF61" s="678">
        <f>'Cuenta Ahorro-Inversión-Financi'!I61-'Cuenta Ahorro-Inversión-Financi'!U61-'Cuenta Ahorro-Inversión-Financi'!H61</f>
        <v>-3.5304571303948571E-4</v>
      </c>
      <c r="AG61" s="678">
        <f>'Cuenta Ahorro-Inversión-Financi'!I61-'Cuenta Ahorro-Inversión-Financi'!U61</f>
        <v>6.2238509474356607E-3</v>
      </c>
      <c r="AH61" s="678">
        <f>'Cuenta Ahorro-Inversión-Financi'!O61-'Cuenta Ahorro-Inversión-Financi'!U61</f>
        <v>9.6390859018123248E-3</v>
      </c>
      <c r="AI61" s="678">
        <f>'Cuenta Ahorro-Inversión-Financi'!F61-('Cuenta Ahorro-Inversión-Financi'!BE28+'Cuenta Ahorro-Inversión-Financi'!BQ28)/'PIB corriente base 2004'!X16/1000</f>
        <v>-1.8134562253194958E-2</v>
      </c>
      <c r="AJ61" s="455">
        <f>'Cuenta Ahorro-Inversión-Financi'!AH61-'Cuenta Ahorro-Inversión-Financi'!H61</f>
        <v>3.0621892413371784E-3</v>
      </c>
      <c r="AN61" s="676">
        <v>2012</v>
      </c>
      <c r="AO61" s="678">
        <f>'Cuenta Ahorro-Inversión-Financi'!I61</f>
        <v>8.4795273838310856E-2</v>
      </c>
      <c r="AP61" s="678">
        <f>'Cuenta Ahorro-Inversión-Financi'!F61</f>
        <v>5.5778278265297979E-2</v>
      </c>
      <c r="AQ61" s="678">
        <v>0</v>
      </c>
      <c r="AR61" s="678">
        <f>'Cuenta Ahorro-Inversión-Financi'!L61</f>
        <v>1.5558304996599116E-2</v>
      </c>
      <c r="AS61" s="678">
        <f>'Cuenta Ahorro-Inversión-Financi'!T61+'Cuenta Ahorro-Inversión-Financi'!R61+(('Cuenta Ahorro-Inversión-Financi'!BB28-'Cuenta Ahorro-Inversión-Financi'!BK28-'Cuenta Ahorro-Inversión-Financi'!BU28-'Cuenta Ahorro-Inversión-Financi'!BV28)/1000/'PIB corriente base 2004'!X16)</f>
        <v>7.5674317690123574E-2</v>
      </c>
      <c r="AT61" s="678">
        <f>'Cuenta Ahorro-Inversión-Financi'!T61+'Cuenta Ahorro-Inversión-Financi'!R61+(('Cuenta Ahorro-Inversión-Financi'!BB28-'Cuenta Ahorro-Inversión-Financi'!BK28-'Cuenta Ahorro-Inversión-Financi'!BU28-'Cuenta Ahorro-Inversión-Financi'!BV28-'Cuenta Ahorro-Inversión-Financi'!BO28-'Cuenta Ahorro-Inversión-Financi'!BP28)/1000/'PIB corriente base 2004'!X16)</f>
        <v>7.5311864196778155E-2</v>
      </c>
      <c r="AU61" s="678">
        <f>'Cuenta Ahorro-Inversión-Financi'!U61</f>
        <v>7.8571422890875195E-2</v>
      </c>
      <c r="AV61" s="678">
        <f>('Cuenta Ahorro-Inversión-Financi'!CG28+'Cuenta Ahorro-Inversión-Financi'!BY28)/'PIB corriente base 2004'!X16/1000+'Cuenta Ahorro-Inversión-Financi'!Y61</f>
        <v>1.4153641773269608E-2</v>
      </c>
      <c r="AW61" s="678">
        <f>'Cuenta Ahorro-Inversión-Financi'!AP61-'Cuenta Ahorro-Inversión-Financi'!AT61</f>
        <v>-1.9533585931480177E-2</v>
      </c>
      <c r="AX61" s="678">
        <f>'Cuenta Ahorro-Inversión-Financi'!AO61-'Cuenta Ahorro-Inversión-Financi'!AU61</f>
        <v>6.2238509474356607E-3</v>
      </c>
      <c r="AY61" s="678">
        <f>'Cuenta Ahorro-Inversión-Financi'!AO61+'Cuenta Ahorro-Inversión-Financi'!AQ61+'Cuenta Ahorro-Inversión-Financi'!AR61-'Cuenta Ahorro-Inversión-Financi'!AU61-'Cuenta Ahorro-Inversión-Financi'!AV61</f>
        <v>7.6285141707651705E-3</v>
      </c>
      <c r="AZ61" s="678">
        <f>'Cuenta Ahorro-Inversión-Financi'!AY61-'Cuenta Ahorro-Inversión-Financi'!H61</f>
        <v>1.0516175102900241E-3</v>
      </c>
      <c r="BA61" s="455">
        <f t="shared" si="14"/>
        <v>9.2725064664144805E-2</v>
      </c>
      <c r="BB61" s="455">
        <v>-3.51145478501055E-4</v>
      </c>
      <c r="BC61" s="455">
        <v>6.1903516693078003E-3</v>
      </c>
      <c r="BX61" s="1">
        <f>'Cuenta Ahorro-Inversión-Financi'!BE24+'Cuenta Ahorro-Inversión-Financi'!BR24</f>
        <v>57637229.346810006</v>
      </c>
      <c r="BY61" s="455">
        <f>'Cuenta Ahorro-Inversión-Financi'!BR24/'Cuenta Ahorro-Inversión-Financi'!BX61</f>
        <v>3.5071222680863948E-2</v>
      </c>
    </row>
    <row r="62" spans="1:107" ht="14.45" customHeight="1">
      <c r="A62" s="669"/>
      <c r="B62" s="669"/>
      <c r="C62" s="669"/>
      <c r="D62" s="669"/>
      <c r="E62" s="849" t="s">
        <v>898</v>
      </c>
      <c r="F62" s="671">
        <f>'Cuenta Ahorro-Inversión-Financi'!S29/1000/'PIB corriente base 2004'!X17</f>
        <v>5.7671902775210067E-2</v>
      </c>
      <c r="G62" s="671">
        <f>('Cuenta Ahorro-Inversión-Financi'!G29+'Cuenta Ahorro-Inversión-Financi'!R29)/1000/'PIB corriente base 2004'!X17</f>
        <v>2.2331853031304708E-2</v>
      </c>
      <c r="H62" s="671">
        <f>'Cuenta Ahorro-Inversión-Financi'!W29/1000/'PIB corriente base 2004'!X17</f>
        <v>6.8312467518398812E-3</v>
      </c>
      <c r="I62" s="671">
        <f>'Cuenta Ahorro-Inversión-Financi'!J62</f>
        <v>8.6835002558354649E-2</v>
      </c>
      <c r="J62" s="671">
        <f>'Cuenta Ahorro-Inversión-Financi'!F29/1000/'PIB corriente base 2004'!X17</f>
        <v>8.6835002558354649E-2</v>
      </c>
      <c r="K62" s="671">
        <f>'Cuenta Ahorro-Inversión-Financi'!S29/1000/'PIB corriente base 2004'!X17</f>
        <v>5.7671902775210067E-2</v>
      </c>
      <c r="L62" s="671">
        <f>SUM('Cuenta Ahorro-Inversión-Financi'!AH29:AL29)/1000/'PIB corriente base 2004'!X17</f>
        <v>1.7136730682572175E-2</v>
      </c>
      <c r="M62" s="671">
        <f>'Cuenta Ahorro-Inversión-Financi'!AN29/1000/'PIB corriente base 2004'!X17</f>
        <v>3.7035597228723856E-3</v>
      </c>
      <c r="N62" s="671">
        <f>'Cuenta Ahorro-Inversión-Financi'!AF29/1000/'PIB corriente base 2004'!X17</f>
        <v>8.6835042336236665E-2</v>
      </c>
      <c r="O62" s="671">
        <f>'Cuenta Ahorro-Inversión-Financi'!M62+'Cuenta Ahorro-Inversión-Financi'!I62</f>
        <v>9.0538562281227031E-2</v>
      </c>
      <c r="P62" s="669"/>
      <c r="Q62" s="679">
        <v>2013</v>
      </c>
      <c r="R62" s="687">
        <f>'Cuenta Ahorro-Inversión-Financi'!BE29/1000/'PIB corriente base 2004'!X17</f>
        <v>6.6592294498734925E-2</v>
      </c>
      <c r="S62" s="687"/>
      <c r="T62" s="687">
        <f>'Cuenta Ahorro-Inversión-Financi'!BW29/1000/'PIB corriente base 2004'!X17</f>
        <v>1.3100292058057688E-2</v>
      </c>
      <c r="U62" s="687">
        <f>'Cuenta Ahorro-Inversión-Financi'!T62+'Cuenta Ahorro-Inversión-Financi'!R62+(('Cuenta Ahorro-Inversión-Financi'!AX29+'Cuenta Ahorro-Inversión-Financi'!BB29)/1000/'PIB corriente base 2004'!X17)</f>
        <v>8.1800656126489624E-2</v>
      </c>
      <c r="V62" s="687">
        <f>'Cuenta Ahorro-Inversión-Financi'!BM29/1000/'PIB corriente base 2004'!X17</f>
        <v>1.3100292058057688E-2</v>
      </c>
      <c r="W62" s="673">
        <f>'Cuenta Ahorro-Inversión-Financi'!AW29/1000/'PIB corriente base 2004'!X17</f>
        <v>8.1800656126489651E-2</v>
      </c>
      <c r="X62" s="673">
        <f t="shared" si="13"/>
        <v>8.1800656126489651E-2</v>
      </c>
      <c r="Y62" s="673">
        <f>'Cuenta Ahorro-Inversión-Financi'!CL29/1000/'PIB corriente base 2004'!X17</f>
        <v>1.6696788899997676E-3</v>
      </c>
      <c r="Z62" s="673">
        <f>('Cuenta Ahorro-Inversión-Financi'!CF29)/1000/'PIB corriente base 2004'!X17+'Cuenta Ahorro-Inversión-Financi'!Y62</f>
        <v>8.4658984087548336E-2</v>
      </c>
      <c r="AA62" s="673">
        <f>('Cuenta Ahorro-Inversión-Financi'!CF29-'Cuenta Ahorro-Inversión-Financi'!AX29)/1000/'PIB corriente base 2004'!X17</f>
        <v>8.0885914982198714E-2</v>
      </c>
      <c r="AB62" s="669"/>
      <c r="AC62" s="680">
        <v>2013</v>
      </c>
      <c r="AD62" s="675">
        <f>'Cuenta Ahorro-Inversión-Financi'!J62-'Cuenta Ahorro-Inversión-Financi'!X62</f>
        <v>5.0343464318649972E-3</v>
      </c>
      <c r="AE62" s="675">
        <f>'Cuenta Ahorro-Inversión-Financi'!F62-'Cuenta Ahorro-Inversión-Financi'!R62</f>
        <v>-8.9203917235248578E-3</v>
      </c>
      <c r="AF62" s="675">
        <f>'Cuenta Ahorro-Inversión-Financi'!I62-'Cuenta Ahorro-Inversión-Financi'!U62-'Cuenta Ahorro-Inversión-Financi'!H62</f>
        <v>-1.7969003199748562E-3</v>
      </c>
      <c r="AG62" s="675">
        <f>'Cuenta Ahorro-Inversión-Financi'!I62-'Cuenta Ahorro-Inversión-Financi'!U62</f>
        <v>5.034346431865025E-3</v>
      </c>
      <c r="AH62" s="675">
        <f>'Cuenta Ahorro-Inversión-Financi'!O62-'Cuenta Ahorro-Inversión-Financi'!U62</f>
        <v>8.7379061547374071E-3</v>
      </c>
      <c r="AI62" s="675">
        <f>'Cuenta Ahorro-Inversión-Financi'!F62-('Cuenta Ahorro-Inversión-Financi'!BE29+'Cuenta Ahorro-Inversión-Financi'!BQ29)/'PIB corriente base 2004'!X17/1000</f>
        <v>-1.9635063817670807E-2</v>
      </c>
      <c r="AJ62" s="455">
        <f>'Cuenta Ahorro-Inversión-Financi'!AH62-'Cuenta Ahorro-Inversión-Financi'!H62</f>
        <v>1.9066594028975259E-3</v>
      </c>
      <c r="AN62" s="676">
        <v>2013</v>
      </c>
      <c r="AO62" s="675">
        <f>'Cuenta Ahorro-Inversión-Financi'!I62</f>
        <v>8.6835002558354649E-2</v>
      </c>
      <c r="AP62" s="675">
        <f>'Cuenta Ahorro-Inversión-Financi'!F62</f>
        <v>5.7671902775210067E-2</v>
      </c>
      <c r="AQ62" s="675">
        <v>0</v>
      </c>
      <c r="AR62" s="675">
        <f>'Cuenta Ahorro-Inversión-Financi'!L62</f>
        <v>1.7136730682572175E-2</v>
      </c>
      <c r="AS62" s="675">
        <f>'Cuenta Ahorro-Inversión-Financi'!T62+'Cuenta Ahorro-Inversión-Financi'!R62+(('Cuenta Ahorro-Inversión-Financi'!BB29-'Cuenta Ahorro-Inversión-Financi'!BK29-'Cuenta Ahorro-Inversión-Financi'!BU29-'Cuenta Ahorro-Inversión-Financi'!BV29)/1000/'PIB corriente base 2004'!X17)</f>
        <v>7.9146381395723858E-2</v>
      </c>
      <c r="AT62" s="675">
        <f>'Cuenta Ahorro-Inversión-Financi'!T62+'Cuenta Ahorro-Inversión-Financi'!R62+(('Cuenta Ahorro-Inversión-Financi'!BB29-'Cuenta Ahorro-Inversión-Financi'!BK29-'Cuenta Ahorro-Inversión-Financi'!BU29-'Cuenta Ahorro-Inversión-Financi'!BV29-'Cuenta Ahorro-Inversión-Financi'!BO29-'Cuenta Ahorro-Inversión-Financi'!BP29)/1000/'PIB corriente base 2004'!X17)</f>
        <v>7.8771031269420103E-2</v>
      </c>
      <c r="AU62" s="675">
        <f>'Cuenta Ahorro-Inversión-Financi'!U62</f>
        <v>8.1800656126489624E-2</v>
      </c>
      <c r="AV62" s="675">
        <f>('Cuenta Ahorro-Inversión-Financi'!CG29+'Cuenta Ahorro-Inversión-Financi'!BY29)/'PIB corriente base 2004'!X17/1000+'Cuenta Ahorro-Inversión-Financi'!Y62</f>
        <v>1.6291498920758488E-2</v>
      </c>
      <c r="AW62" s="675">
        <f>'Cuenta Ahorro-Inversión-Financi'!AP62-'Cuenta Ahorro-Inversión-Financi'!AT62</f>
        <v>-2.1099128494210036E-2</v>
      </c>
      <c r="AX62" s="675">
        <f>'Cuenta Ahorro-Inversión-Financi'!AO62-'Cuenta Ahorro-Inversión-Financi'!AU62</f>
        <v>5.034346431865025E-3</v>
      </c>
      <c r="AY62" s="675">
        <f>'Cuenta Ahorro-Inversión-Financi'!AO62+'Cuenta Ahorro-Inversión-Financi'!AQ62+'Cuenta Ahorro-Inversión-Financi'!AR62-'Cuenta Ahorro-Inversión-Financi'!AU62-'Cuenta Ahorro-Inversión-Financi'!AV62</f>
        <v>5.8795781936787049E-3</v>
      </c>
      <c r="AZ62" s="675">
        <f>'Cuenta Ahorro-Inversión-Financi'!AY62-'Cuenta Ahorro-Inversión-Financi'!H62</f>
        <v>-9.5166855816117626E-4</v>
      </c>
      <c r="BA62" s="455">
        <f t="shared" si="14"/>
        <v>9.8092155047248109E-2</v>
      </c>
      <c r="BB62" s="455">
        <v>-1.78998773781633E-3</v>
      </c>
      <c r="BC62" s="455">
        <v>5.0149795627415896E-3</v>
      </c>
      <c r="BX62" s="1">
        <f>'Cuenta Ahorro-Inversión-Financi'!BE25+'Cuenta Ahorro-Inversión-Financi'!BR25</f>
        <v>73450181.241009995</v>
      </c>
      <c r="BY62" s="455">
        <f>'Cuenta Ahorro-Inversión-Financi'!BR25/'Cuenta Ahorro-Inversión-Financi'!BX62</f>
        <v>3.4683226466807424E-2</v>
      </c>
    </row>
    <row r="63" spans="1:107" ht="14.45" customHeight="1">
      <c r="A63" s="669"/>
      <c r="B63" s="669"/>
      <c r="C63" s="669"/>
      <c r="D63" s="669"/>
      <c r="E63" s="849" t="s">
        <v>900</v>
      </c>
      <c r="F63" s="678">
        <f>'Cuenta Ahorro-Inversión-Financi'!S30/1000/'PIB corriente base 2004'!X18</f>
        <v>5.4209806865289416E-2</v>
      </c>
      <c r="G63" s="678">
        <f>('Cuenta Ahorro-Inversión-Financi'!G30+'Cuenta Ahorro-Inversión-Financi'!R30)/1000/'PIB corriente base 2004'!X18</f>
        <v>2.2579375080733533E-2</v>
      </c>
      <c r="H63" s="678">
        <f>'Cuenta Ahorro-Inversión-Financi'!W30/1000/'PIB corriente base 2004'!X18</f>
        <v>8.38241527111434E-3</v>
      </c>
      <c r="I63" s="678">
        <f>'Cuenta Ahorro-Inversión-Financi'!J63</f>
        <v>8.5171597217137282E-2</v>
      </c>
      <c r="J63" s="678">
        <f>'Cuenta Ahorro-Inversión-Financi'!F30/1000/'PIB corriente base 2004'!X18</f>
        <v>8.5171597217137282E-2</v>
      </c>
      <c r="K63" s="678">
        <f>'Cuenta Ahorro-Inversión-Financi'!S30/1000/'PIB corriente base 2004'!X18</f>
        <v>5.4209806865289416E-2</v>
      </c>
      <c r="L63" s="678">
        <f>SUM('Cuenta Ahorro-Inversión-Financi'!AH30:AL30)/1000/'PIB corriente base 2004'!X18</f>
        <v>1.7504008796309541E-2</v>
      </c>
      <c r="M63" s="678">
        <f>'Cuenta Ahorro-Inversión-Financi'!AN30/1000/'PIB corriente base 2004'!X18</f>
        <v>4.2011211272076233E-3</v>
      </c>
      <c r="N63" s="683">
        <f>'Cuenta Ahorro-Inversión-Financi'!AF30/1000/'PIB corriente base 2004'!X18</f>
        <v>8.5171990274831064E-2</v>
      </c>
      <c r="O63" s="683">
        <f>'Cuenta Ahorro-Inversión-Financi'!M63+'Cuenta Ahorro-Inversión-Financi'!I63</f>
        <v>8.9372718344344904E-2</v>
      </c>
      <c r="P63" s="669"/>
      <c r="Q63" s="679">
        <v>2014</v>
      </c>
      <c r="R63" s="678">
        <f>'Cuenta Ahorro-Inversión-Financi'!BE30/1000/'PIB corriente base 2004'!X18</f>
        <v>6.4555922826502576E-2</v>
      </c>
      <c r="S63" s="678"/>
      <c r="T63" s="678">
        <f>'Cuenta Ahorro-Inversión-Financi'!BW30/1000/'PIB corriente base 2004'!X18</f>
        <v>1.3002358665708678E-2</v>
      </c>
      <c r="U63" s="678">
        <f>'Cuenta Ahorro-Inversión-Financi'!T63+'Cuenta Ahorro-Inversión-Financi'!R63+(('Cuenta Ahorro-Inversión-Financi'!AX30+'Cuenta Ahorro-Inversión-Financi'!BB30)/1000/'PIB corriente base 2004'!X18)</f>
        <v>7.963961530724542E-2</v>
      </c>
      <c r="V63" s="678">
        <f>'Cuenta Ahorro-Inversión-Financi'!BM30/1000/'PIB corriente base 2004'!X18</f>
        <v>1.3735278412183968E-2</v>
      </c>
      <c r="W63" s="678">
        <f>'Cuenta Ahorro-Inversión-Financi'!AW30/1000/'PIB corriente base 2004'!X18</f>
        <v>7.9639615307245434E-2</v>
      </c>
      <c r="X63" s="678">
        <f t="shared" si="13"/>
        <v>7.9639615307245434E-2</v>
      </c>
      <c r="Y63" s="678">
        <f>'Cuenta Ahorro-Inversión-Financi'!CL30/1000/'PIB corriente base 2004'!X18</f>
        <v>1.80520724704594E-3</v>
      </c>
      <c r="Z63" s="678">
        <f>('Cuenta Ahorro-Inversión-Financi'!CF30)/1000/'PIB corriente base 2004'!X18+'Cuenta Ahorro-Inversión-Financi'!Y63</f>
        <v>8.2283166829199048E-2</v>
      </c>
      <c r="AA63" s="678">
        <f>('Cuenta Ahorro-Inversión-Financi'!CF30-'Cuenta Ahorro-Inversión-Financi'!AX30)/1000/'PIB corriente base 2004'!X18</f>
        <v>7.8399639320583095E-2</v>
      </c>
      <c r="AB63" s="669"/>
      <c r="AC63" s="680">
        <v>2014</v>
      </c>
      <c r="AD63" s="678">
        <f>'Cuenta Ahorro-Inversión-Financi'!J63-'Cuenta Ahorro-Inversión-Financi'!X63</f>
        <v>5.5319819098918477E-3</v>
      </c>
      <c r="AE63" s="678">
        <f>'Cuenta Ahorro-Inversión-Financi'!F63-'Cuenta Ahorro-Inversión-Financi'!R63</f>
        <v>-1.0346115961213161E-2</v>
      </c>
      <c r="AF63" s="678">
        <f>'Cuenta Ahorro-Inversión-Financi'!I63-'Cuenta Ahorro-Inversión-Financi'!U63-'Cuenta Ahorro-Inversión-Financi'!H63</f>
        <v>-2.8504333612224785E-3</v>
      </c>
      <c r="AG63" s="678">
        <f>'Cuenta Ahorro-Inversión-Financi'!I63-'Cuenta Ahorro-Inversión-Financi'!U63</f>
        <v>5.5319819098918616E-3</v>
      </c>
      <c r="AH63" s="678">
        <f>'Cuenta Ahorro-Inversión-Financi'!O63-'Cuenta Ahorro-Inversión-Financi'!U63</f>
        <v>9.7331030370994831E-3</v>
      </c>
      <c r="AI63" s="678">
        <f>'Cuenta Ahorro-Inversión-Financi'!F63-('Cuenta Ahorro-Inversión-Financi'!BE30+'Cuenta Ahorro-Inversión-Financi'!BQ30)/'PIB corriente base 2004'!X18/1000</f>
        <v>-2.1754181101231028E-2</v>
      </c>
      <c r="AJ63" s="455">
        <f>'Cuenta Ahorro-Inversión-Financi'!AH63-'Cuenta Ahorro-Inversión-Financi'!H63</f>
        <v>1.3506877659851431E-3</v>
      </c>
      <c r="AN63" s="676">
        <v>2014</v>
      </c>
      <c r="AO63" s="678">
        <f>'Cuenta Ahorro-Inversión-Financi'!I63</f>
        <v>8.5171597217137282E-2</v>
      </c>
      <c r="AP63" s="678">
        <f>'Cuenta Ahorro-Inversión-Financi'!F63</f>
        <v>5.4209806865289416E-2</v>
      </c>
      <c r="AQ63" s="678">
        <v>0</v>
      </c>
      <c r="AR63" s="678">
        <f>'Cuenta Ahorro-Inversión-Financi'!L63</f>
        <v>1.7504008796309541E-2</v>
      </c>
      <c r="AS63" s="678">
        <f>'Cuenta Ahorro-Inversión-Financi'!T63+'Cuenta Ahorro-Inversión-Financi'!R63+(('Cuenta Ahorro-Inversión-Financi'!BB30-'Cuenta Ahorro-Inversión-Financi'!BK30-'Cuenta Ahorro-Inversión-Financi'!BU30-'Cuenta Ahorro-Inversión-Financi'!BV30)/1000/'PIB corriente base 2004'!X18)</f>
        <v>7.6303414374754436E-2</v>
      </c>
      <c r="AT63" s="678">
        <f>'Cuenta Ahorro-Inversión-Financi'!T63+'Cuenta Ahorro-Inversión-Financi'!R63+(('Cuenta Ahorro-Inversión-Financi'!BB30-'Cuenta Ahorro-Inversión-Financi'!BK30-'Cuenta Ahorro-Inversión-Financi'!BU30-'Cuenta Ahorro-Inversión-Financi'!BV30-'Cuenta Ahorro-Inversión-Financi'!BO30-'Cuenta Ahorro-Inversión-Financi'!BP30)/1000/'PIB corriente base 2004'!X18)</f>
        <v>7.5951666357070804E-2</v>
      </c>
      <c r="AU63" s="678">
        <f>'Cuenta Ahorro-Inversión-Financi'!U63</f>
        <v>7.963961530724542E-2</v>
      </c>
      <c r="AV63" s="678">
        <f>('Cuenta Ahorro-Inversión-Financi'!CG30+'Cuenta Ahorro-Inversión-Financi'!BY30)/'PIB corriente base 2004'!X18/1000+'Cuenta Ahorro-Inversión-Financi'!Y63</f>
        <v>1.5946439191055529E-2</v>
      </c>
      <c r="AW63" s="678">
        <f>'Cuenta Ahorro-Inversión-Financi'!AP63-'Cuenta Ahorro-Inversión-Financi'!AT63</f>
        <v>-2.1741859491781389E-2</v>
      </c>
      <c r="AX63" s="678">
        <f>'Cuenta Ahorro-Inversión-Financi'!AO63-'Cuenta Ahorro-Inversión-Financi'!AU63</f>
        <v>5.5319819098918616E-3</v>
      </c>
      <c r="AY63" s="678">
        <f>'Cuenta Ahorro-Inversión-Financi'!AO63+'Cuenta Ahorro-Inversión-Financi'!AQ63+'Cuenta Ahorro-Inversión-Financi'!AR63-'Cuenta Ahorro-Inversión-Financi'!AU63-'Cuenta Ahorro-Inversión-Financi'!AV63</f>
        <v>7.0895515151458803E-3</v>
      </c>
      <c r="AZ63" s="678">
        <f>'Cuenta Ahorro-Inversión-Financi'!AY63-'Cuenta Ahorro-Inversión-Financi'!H63</f>
        <v>-1.2928637559684597E-3</v>
      </c>
      <c r="BA63" s="455">
        <f t="shared" si="14"/>
        <v>9.5586054498300946E-2</v>
      </c>
      <c r="BB63" s="455">
        <v>-3.5602932192841902E-3</v>
      </c>
      <c r="BC63" s="455">
        <v>4.7681788441755997E-3</v>
      </c>
      <c r="BX63" s="1">
        <f>'Cuenta Ahorro-Inversión-Financi'!BE26+'Cuenta Ahorro-Inversión-Financi'!BR26</f>
        <v>91521747.441809997</v>
      </c>
      <c r="BY63" s="455">
        <f>'Cuenta Ahorro-Inversión-Financi'!BR26/'Cuenta Ahorro-Inversión-Financi'!BX63</f>
        <v>3.4573005868051232E-2</v>
      </c>
    </row>
    <row r="64" spans="1:107" ht="14.45" customHeight="1">
      <c r="A64" s="669"/>
      <c r="B64" s="669"/>
      <c r="C64" s="669"/>
      <c r="D64" s="669"/>
      <c r="E64" s="850" t="s">
        <v>901</v>
      </c>
      <c r="F64" s="671">
        <f>'Cuenta Ahorro-Inversión-Financi'!S31/1000/'PIB corriente base 2004'!X19</f>
        <v>5.6429715829916419E-2</v>
      </c>
      <c r="G64" s="671">
        <f>('Cuenta Ahorro-Inversión-Financi'!G31+'Cuenta Ahorro-Inversión-Financi'!R31)/1000/'PIB corriente base 2004'!X19</f>
        <v>2.3642605265148511E-2</v>
      </c>
      <c r="H64" s="671">
        <f>'Cuenta Ahorro-Inversión-Financi'!W31/1000/'PIB corriente base 2004'!X19</f>
        <v>8.9312093248872185E-3</v>
      </c>
      <c r="I64" s="671">
        <f>'Cuenta Ahorro-Inversión-Financi'!J64</f>
        <v>8.9003530419952154E-2</v>
      </c>
      <c r="J64" s="671">
        <f>'Cuenta Ahorro-Inversión-Financi'!F31/1000/'PIB corriente base 2004'!X19</f>
        <v>8.9003530419952154E-2</v>
      </c>
      <c r="K64" s="671">
        <f>'Cuenta Ahorro-Inversión-Financi'!S31/1000/'PIB corriente base 2004'!X19</f>
        <v>5.6429715829916419E-2</v>
      </c>
      <c r="L64" s="671">
        <f>SUM('Cuenta Ahorro-Inversión-Financi'!AH31:AL31)/1000/'PIB corriente base 2004'!X19</f>
        <v>1.7803191685092059E-2</v>
      </c>
      <c r="M64" s="671">
        <f>'Cuenta Ahorro-Inversión-Financi'!AN31/1000/'PIB corriente base 2004'!X19</f>
        <v>3.6290407612223287E-3</v>
      </c>
      <c r="N64" s="671">
        <f>'Cuenta Ahorro-Inversión-Financi'!AF31/1000/'PIB corriente base 2004'!X19</f>
        <v>8.9003562529976529E-2</v>
      </c>
      <c r="O64" s="671">
        <f>'Cuenta Ahorro-Inversión-Financi'!M64+'Cuenta Ahorro-Inversión-Financi'!I64</f>
        <v>9.2632571181174489E-2</v>
      </c>
      <c r="P64" s="669"/>
      <c r="Q64" s="679">
        <v>2015</v>
      </c>
      <c r="R64" s="687">
        <f>'Cuenta Ahorro-Inversión-Financi'!BE31/1000/'PIB corriente base 2004'!X19</f>
        <v>7.2790476203542828E-2</v>
      </c>
      <c r="S64" s="687"/>
      <c r="T64" s="687">
        <f>'Cuenta Ahorro-Inversión-Financi'!BW31/1000/'PIB corriente base 2004'!X19</f>
        <v>1.4239737428298253E-2</v>
      </c>
      <c r="U64" s="687">
        <f>'Cuenta Ahorro-Inversión-Financi'!T64+'Cuenta Ahorro-Inversión-Financi'!R64+(('Cuenta Ahorro-Inversión-Financi'!AX31+'Cuenta Ahorro-Inversión-Financi'!BB31)/1000/'PIB corriente base 2004'!X19)</f>
        <v>8.9129467435928131E-2</v>
      </c>
      <c r="V64" s="687">
        <f>'Cuenta Ahorro-Inversión-Financi'!BM31/1000/'PIB corriente base 2004'!X19</f>
        <v>1.558201394554874E-2</v>
      </c>
      <c r="W64" s="673">
        <f>'Cuenta Ahorro-Inversión-Financi'!AW31/1000/'PIB corriente base 2004'!X19</f>
        <v>8.9129467435928145E-2</v>
      </c>
      <c r="X64" s="673">
        <f t="shared" si="13"/>
        <v>8.9129467435928145E-2</v>
      </c>
      <c r="Y64" s="673">
        <f>'Cuenta Ahorro-Inversión-Financi'!CL31/1000/'PIB corriente base 2004'!X19</f>
        <v>1.7142465903260647E-3</v>
      </c>
      <c r="Z64" s="673">
        <f>('Cuenta Ahorro-Inversión-Financi'!CF31)/1000/'PIB corriente base 2004'!X19+'Cuenta Ahorro-Inversión-Financi'!Y64</f>
        <v>9.1208694918060482E-2</v>
      </c>
      <c r="AA64" s="673">
        <f>('Cuenta Ahorro-Inversión-Financi'!CF31-'Cuenta Ahorro-Inversión-Financi'!AX31)/1000/'PIB corriente base 2004'!X19</f>
        <v>8.739763741237068E-2</v>
      </c>
      <c r="AB64" s="675"/>
      <c r="AC64" s="680">
        <v>2015</v>
      </c>
      <c r="AD64" s="675">
        <f>'Cuenta Ahorro-Inversión-Financi'!J64-'Cuenta Ahorro-Inversión-Financi'!X64</f>
        <v>-1.2593701597599094E-4</v>
      </c>
      <c r="AE64" s="675">
        <f>'Cuenta Ahorro-Inversión-Financi'!F64-'Cuenta Ahorro-Inversión-Financi'!R64</f>
        <v>-1.636076037362641E-2</v>
      </c>
      <c r="AF64" s="675">
        <f>'Cuenta Ahorro-Inversión-Financi'!I64-'Cuenta Ahorro-Inversión-Financi'!U64-'Cuenta Ahorro-Inversión-Financi'!H64</f>
        <v>-9.0571463408631956E-3</v>
      </c>
      <c r="AG64" s="675">
        <f>'Cuenta Ahorro-Inversión-Financi'!I64-'Cuenta Ahorro-Inversión-Financi'!U64</f>
        <v>-1.2593701597597706E-4</v>
      </c>
      <c r="AH64" s="675">
        <f>'Cuenta Ahorro-Inversión-Financi'!O64-'Cuenta Ahorro-Inversión-Financi'!U64</f>
        <v>3.5031037452463581E-3</v>
      </c>
      <c r="AI64" s="675">
        <f>'Cuenta Ahorro-Inversión-Financi'!F64-('Cuenta Ahorro-Inversión-Financi'!BE31+'Cuenta Ahorro-Inversión-Financi'!BQ31-'Cuenta Ahorro-Inversión-Financi'!BU31)/'PIB corriente base 2004'!X19/1000</f>
        <v>-2.8199234323326647E-2</v>
      </c>
      <c r="AJ64" s="455">
        <f>'Cuenta Ahorro-Inversión-Financi'!AH64-'Cuenta Ahorro-Inversión-Financi'!H64</f>
        <v>-5.4281055796408604E-3</v>
      </c>
      <c r="AN64" s="676">
        <v>2015</v>
      </c>
      <c r="AO64" s="675">
        <f>'Cuenta Ahorro-Inversión-Financi'!I64</f>
        <v>8.9003530419952154E-2</v>
      </c>
      <c r="AP64" s="675">
        <f>'Cuenta Ahorro-Inversión-Financi'!F64</f>
        <v>5.6429715829916419E-2</v>
      </c>
      <c r="AQ64" s="675">
        <v>0</v>
      </c>
      <c r="AR64" s="675">
        <f>'Cuenta Ahorro-Inversión-Financi'!L64</f>
        <v>1.7803191685092059E-2</v>
      </c>
      <c r="AS64" s="675">
        <f>'Cuenta Ahorro-Inversión-Financi'!T64+'Cuenta Ahorro-Inversión-Financi'!R64+(('Cuenta Ahorro-Inversión-Financi'!BB31-'Cuenta Ahorro-Inversión-Financi'!BK31-'Cuenta Ahorro-Inversión-Financi'!BU31-'Cuenta Ahorro-Inversión-Financi'!BV31)/1000/'PIB corriente base 2004'!X19)</f>
        <v>8.5109360456519095E-2</v>
      </c>
      <c r="AT64" s="675">
        <f>'Cuenta Ahorro-Inversión-Financi'!T64+'Cuenta Ahorro-Inversión-Financi'!R64+(('Cuenta Ahorro-Inversión-Financi'!BB31-'Cuenta Ahorro-Inversión-Financi'!BK31-'Cuenta Ahorro-Inversión-Financi'!BU31-'Cuenta Ahorro-Inversión-Financi'!BV31-'Cuenta Ahorro-Inversión-Financi'!BO31-'Cuenta Ahorro-Inversión-Financi'!BP31)/1000/'PIB corriente base 2004'!X19)</f>
        <v>8.4738775147736409E-2</v>
      </c>
      <c r="AU64" s="675">
        <f>'Cuenta Ahorro-Inversión-Financi'!U64</f>
        <v>8.9129467435928131E-2</v>
      </c>
      <c r="AV64" s="675">
        <f>('Cuenta Ahorro-Inversión-Financi'!CG31+'Cuenta Ahorro-Inversión-Financi'!BY31)/'PIB corriente base 2004'!X19/1000+'Cuenta Ahorro-Inversión-Financi'!Y64</f>
        <v>1.6253378406002075E-2</v>
      </c>
      <c r="AW64" s="675">
        <f>'Cuenta Ahorro-Inversión-Financi'!AP64-'Cuenta Ahorro-Inversión-Financi'!AT64</f>
        <v>-2.830905931781999E-2</v>
      </c>
      <c r="AX64" s="675">
        <f>'Cuenta Ahorro-Inversión-Financi'!AO64-'Cuenta Ahorro-Inversión-Financi'!AU64</f>
        <v>-1.2593701597597706E-4</v>
      </c>
      <c r="AY64" s="675">
        <f>'Cuenta Ahorro-Inversión-Financi'!AO64+'Cuenta Ahorro-Inversión-Financi'!AQ64+'Cuenta Ahorro-Inversión-Financi'!AR64-'Cuenta Ahorro-Inversión-Financi'!AU64-'Cuenta Ahorro-Inversión-Financi'!AV64</f>
        <v>1.4238762631140107E-3</v>
      </c>
      <c r="AZ64" s="675">
        <f>'Cuenta Ahorro-Inversión-Financi'!AY64-'Cuenta Ahorro-Inversión-Financi'!H64</f>
        <v>-7.5073330617732078E-3</v>
      </c>
      <c r="BA64" s="455">
        <f t="shared" si="14"/>
        <v>0.10538284584193021</v>
      </c>
      <c r="BB64" s="455">
        <v>-9.2125986089133804E-3</v>
      </c>
      <c r="BC64" s="455">
        <v>-1.28066327956403E-4</v>
      </c>
      <c r="BX64" s="1">
        <f>'Cuenta Ahorro-Inversión-Financi'!BE27+'Cuenta Ahorro-Inversión-Financi'!BR27</f>
        <v>126381818.04959001</v>
      </c>
      <c r="BY64" s="455">
        <f>'Cuenta Ahorro-Inversión-Financi'!BR27/'Cuenta Ahorro-Inversión-Financi'!BX64</f>
        <v>3.4602579434124439E-2</v>
      </c>
    </row>
    <row r="65" spans="1:68" ht="14.45" customHeight="1">
      <c r="A65" s="669"/>
      <c r="B65" s="669"/>
      <c r="C65" s="669"/>
      <c r="D65" s="669"/>
      <c r="E65" s="850" t="s">
        <v>902</v>
      </c>
      <c r="F65" s="678">
        <f>'Cuenta Ahorro-Inversión-Financi'!S32/1000/'PIB corriente base 2004'!X20</f>
        <v>5.4687527495474855E-2</v>
      </c>
      <c r="G65" s="678">
        <f>('Cuenta Ahorro-Inversión-Financi'!G32+'Cuenta Ahorro-Inversión-Financi'!R32)/1000/'PIB corriente base 2004'!X20</f>
        <v>3.3811860211652223E-2</v>
      </c>
      <c r="H65" s="678">
        <f>'Cuenta Ahorro-Inversión-Financi'!W32/1000/'PIB corriente base 2004'!X20</f>
        <v>8.8075849695962542E-3</v>
      </c>
      <c r="I65" s="678">
        <f>'Cuenta Ahorro-Inversión-Financi'!J65</f>
        <v>9.7306972676723336E-2</v>
      </c>
      <c r="J65" s="678">
        <f>'Cuenta Ahorro-Inversión-Financi'!F32/1000/'PIB corriente base 2004'!X20</f>
        <v>9.7306972676723336E-2</v>
      </c>
      <c r="K65" s="678">
        <f>'Cuenta Ahorro-Inversión-Financi'!S32/1000/'PIB corriente base 2004'!X20</f>
        <v>5.4687527495474855E-2</v>
      </c>
      <c r="L65" s="678">
        <f>SUM('Cuenta Ahorro-Inversión-Financi'!AH32:AL32)/1000/'PIB corriente base 2004'!X20</f>
        <v>1.7050276561329212E-2</v>
      </c>
      <c r="M65" s="678">
        <f>'Cuenta Ahorro-Inversión-Financi'!AN32/1000/'PIB corriente base 2004'!X20</f>
        <v>3.5799967651732778E-3</v>
      </c>
      <c r="N65" s="678">
        <f>'Cuenta Ahorro-Inversión-Financi'!AF32/1000/'PIB corriente base 2004'!X20</f>
        <v>9.7307531760122051E-2</v>
      </c>
      <c r="O65" s="678">
        <f>'Cuenta Ahorro-Inversión-Financi'!M65+'Cuenta Ahorro-Inversión-Financi'!I65</f>
        <v>0.10088696944189661</v>
      </c>
      <c r="P65" s="669"/>
      <c r="Q65" s="679">
        <v>2016</v>
      </c>
      <c r="R65" s="690">
        <f>'Cuenta Ahorro-Inversión-Financi'!BE32/1000/'PIB corriente base 2004'!X20</f>
        <v>7.3405249592181504E-2</v>
      </c>
      <c r="S65" s="690">
        <f>('Cuenta Ahorro-Inversión-Financi'!BE32-V75/1000)/1000/'PIB corriente base 2004'!X20</f>
        <v>7.304107438047823E-2</v>
      </c>
      <c r="T65" s="690">
        <f>'Cuenta Ahorro-Inversión-Financi'!BW32/1000/'PIB corriente base 2004'!X20</f>
        <v>1.8982337466295646E-2</v>
      </c>
      <c r="U65" s="690">
        <f>'Cuenta Ahorro-Inversión-Financi'!T65+'Cuenta Ahorro-Inversión-Financi'!R65+(('Cuenta Ahorro-Inversión-Financi'!AX32+'Cuenta Ahorro-Inversión-Financi'!BB32)/1000/'PIB corriente base 2004'!X20)</f>
        <v>9.4158312549912929E-2</v>
      </c>
      <c r="V65" s="690">
        <f>'Cuenta Ahorro-Inversión-Financi'!BM32/1000/'PIB corriente base 2004'!X20</f>
        <v>2.0416927819034113E-2</v>
      </c>
      <c r="W65" s="678">
        <f>'Cuenta Ahorro-Inversión-Financi'!AW32/1000/'PIB corriente base 2004'!X20</f>
        <v>9.4158312549912929E-2</v>
      </c>
      <c r="X65" s="678">
        <f>('Cuenta Ahorro-Inversión-Financi'!AW32-V75/1000)/1000/'PIB corriente base 2004'!X20</f>
        <v>9.3794137338209668E-2</v>
      </c>
      <c r="Y65" s="678">
        <f>'Cuenta Ahorro-Inversión-Financi'!CL32/1000/'PIB corriente base 2004'!X20</f>
        <v>1.9710726181915404E-3</v>
      </c>
      <c r="Z65" s="678">
        <f>('Cuenta Ahorro-Inversión-Financi'!CF32)/1000/'PIB corriente base 2004'!X20+'Cuenta Ahorro-Inversión-Financi'!Y65</f>
        <v>9.6403785115247748E-2</v>
      </c>
      <c r="AA65" s="678">
        <f>('Cuenta Ahorro-Inversión-Financi'!CF32-'Cuenta Ahorro-Inversión-Financi'!AX32)/1000/'PIB corriente base 2004'!X20</f>
        <v>9.2663850422206442E-2</v>
      </c>
      <c r="AB65" s="669"/>
      <c r="AC65" s="680">
        <v>2016</v>
      </c>
      <c r="AD65" s="678">
        <f>'Cuenta Ahorro-Inversión-Financi'!J65-'Cuenta Ahorro-Inversión-Financi'!X65</f>
        <v>3.5128353385136674E-3</v>
      </c>
      <c r="AE65" s="678">
        <f>'Cuenta Ahorro-Inversión-Financi'!F65-'Cuenta Ahorro-Inversión-Financi'!S65</f>
        <v>-1.8353546885003375E-2</v>
      </c>
      <c r="AF65" s="678">
        <f>'Cuenta Ahorro-Inversión-Financi'!I65-'Cuenta Ahorro-Inversión-Financi'!X65-'Cuenta Ahorro-Inversión-Financi'!H65</f>
        <v>-5.2947496310825869E-3</v>
      </c>
      <c r="AG65" s="678">
        <f>'Cuenta Ahorro-Inversión-Financi'!I65-'Cuenta Ahorro-Inversión-Financi'!X65</f>
        <v>3.5128353385136674E-3</v>
      </c>
      <c r="AH65" s="678">
        <f>'Cuenta Ahorro-Inversión-Financi'!O65-'Cuenta Ahorro-Inversión-Financi'!X65</f>
        <v>7.0928321036869413E-3</v>
      </c>
      <c r="AI65" s="678">
        <f>'Cuenta Ahorro-Inversión-Financi'!F65-('Cuenta Ahorro-Inversión-Financi'!BE32+'Cuenta Ahorro-Inversión-Financi'!BQ32-'Cuenta Ahorro-Inversión-Financi'!BU32-7076808)/'PIB corriente base 2004'!X20/1000</f>
        <v>-3.3439474366707578E-2</v>
      </c>
      <c r="AJ65" s="455">
        <f>'Cuenta Ahorro-Inversión-Financi'!AH65-'Cuenta Ahorro-Inversión-Financi'!H65</f>
        <v>-1.7147528659093129E-3</v>
      </c>
      <c r="AN65" s="676">
        <v>2016</v>
      </c>
      <c r="AO65" s="678">
        <f>'Cuenta Ahorro-Inversión-Financi'!I65</f>
        <v>9.7306972676723336E-2</v>
      </c>
      <c r="AP65" s="678">
        <f>'Cuenta Ahorro-Inversión-Financi'!F65</f>
        <v>5.4687527495474855E-2</v>
      </c>
      <c r="AQ65" s="678">
        <f>'Cuenta Ahorro-Inversión-Financi'!I32/'PIB corriente base 2004'!X20/1000</f>
        <v>1.2582496643220224E-2</v>
      </c>
      <c r="AR65" s="678">
        <f>'Cuenta Ahorro-Inversión-Financi'!L65</f>
        <v>1.7050276561329212E-2</v>
      </c>
      <c r="AS65" s="678">
        <f>'Cuenta Ahorro-Inversión-Financi'!T65+'Cuenta Ahorro-Inversión-Financi'!R65+(('Cuenta Ahorro-Inversión-Financi'!BB32-'Cuenta Ahorro-Inversión-Financi'!BK32-'Cuenta Ahorro-Inversión-Financi'!BU32-'Cuenta Ahorro-Inversión-Financi'!BV32)/1000/'PIB corriente base 2004'!X20)-DI31</f>
        <v>9.0005962648256194E-2</v>
      </c>
      <c r="AT65" s="678">
        <f>'Cuenta Ahorro-Inversión-Financi'!T65+'Cuenta Ahorro-Inversión-Financi'!R65+(('Cuenta Ahorro-Inversión-Financi'!BB32-'Cuenta Ahorro-Inversión-Financi'!BK32-'Cuenta Ahorro-Inversión-Financi'!BU32-'Cuenta Ahorro-Inversión-Financi'!BV32-'Cuenta Ahorro-Inversión-Financi'!BO32-'Cuenta Ahorro-Inversión-Financi'!BP32)/1000/'PIB corriente base 2004'!X20)-DI31</f>
        <v>8.73212412258694E-2</v>
      </c>
      <c r="AU65" s="678">
        <f>'Cuenta Ahorro-Inversión-Financi'!X65</f>
        <v>9.3794137338209668E-2</v>
      </c>
      <c r="AV65" s="678">
        <f>('Cuenta Ahorro-Inversión-Financi'!CG32+'Cuenta Ahorro-Inversión-Financi'!BY32)/'PIB corriente base 2004'!X20/1000+'Cuenta Ahorro-Inversión-Financi'!Y65</f>
        <v>1.5713543239807445E-2</v>
      </c>
      <c r="AW65" s="678">
        <f>'Cuenta Ahorro-Inversión-Financi'!AP65-'Cuenta Ahorro-Inversión-Financi'!AT65</f>
        <v>-3.2633713730394545E-2</v>
      </c>
      <c r="AX65" s="678">
        <f>'Cuenta Ahorro-Inversión-Financi'!AO65-'Cuenta Ahorro-Inversión-Financi'!AU65</f>
        <v>3.5128353385136674E-3</v>
      </c>
      <c r="AY65" s="678">
        <f>'Cuenta Ahorro-Inversión-Financi'!AO65-'Cuenta Ahorro-Inversión-Financi'!AQ65+'Cuenta Ahorro-Inversión-Financi'!AR65-'Cuenta Ahorro-Inversión-Financi'!AU65-'Cuenta Ahorro-Inversión-Financi'!AV65</f>
        <v>-7.7329279831847945E-3</v>
      </c>
      <c r="AZ65" s="678">
        <f>'Cuenta Ahorro-Inversión-Financi'!AY65-'Cuenta Ahorro-Inversión-Financi'!H65</f>
        <v>-1.6540512952781049E-2</v>
      </c>
      <c r="BA65" s="455">
        <f t="shared" si="14"/>
        <v>0.10950768057801712</v>
      </c>
      <c r="BO65" s="1">
        <f>'Cuenta Ahorro-Inversión-Financi'!BE28+'Cuenta Ahorro-Inversión-Financi'!BR28</f>
        <v>174760361.64049</v>
      </c>
      <c r="BP65" s="455">
        <f>'Cuenta Ahorro-Inversión-Financi'!BR28/'Cuenta Ahorro-Inversión-Financi'!BO65</f>
        <v>3.4593040512507889E-2</v>
      </c>
    </row>
    <row r="66" spans="1:68" ht="14.45" customHeight="1">
      <c r="A66" s="669"/>
      <c r="B66" s="669"/>
      <c r="C66" s="669"/>
      <c r="D66" s="669"/>
      <c r="E66" s="850" t="s">
        <v>906</v>
      </c>
      <c r="F66" s="671">
        <f>'Cuenta Ahorro-Inversión-Financi'!S33/1000/'PIB corriente base 2004'!X21</f>
        <v>5.5590096056665005E-2</v>
      </c>
      <c r="G66" s="671">
        <f>('Cuenta Ahorro-Inversión-Financi'!G33+'Cuenta Ahorro-Inversión-Financi'!R33)/1000/'PIB corriente base 2004'!X21</f>
        <v>2.5574835654020366E-2</v>
      </c>
      <c r="H66" s="671">
        <f>'Cuenta Ahorro-Inversión-Financi'!W33/1000/'PIB corriente base 2004'!X21</f>
        <v>1.0359687540638353E-2</v>
      </c>
      <c r="I66" s="671">
        <f>'Cuenta Ahorro-Inversión-Financi'!J66</f>
        <v>9.1524619251323727E-2</v>
      </c>
      <c r="J66" s="671">
        <f>'Cuenta Ahorro-Inversión-Financi'!F33/1000/'PIB corriente base 2004'!X21</f>
        <v>9.1524619251323727E-2</v>
      </c>
      <c r="K66" s="671">
        <f>'Cuenta Ahorro-Inversión-Financi'!S33/1000/'PIB corriente base 2004'!X21</f>
        <v>5.5590096056665005E-2</v>
      </c>
      <c r="L66" s="671">
        <f>SUM('Cuenta Ahorro-Inversión-Financi'!AH33:AL33)/1000/'PIB corriente base 2004'!X21</f>
        <v>1.702228653264776E-2</v>
      </c>
      <c r="M66" s="671">
        <f>'Cuenta Ahorro-Inversión-Financi'!AN33/1000/'PIB corriente base 2004'!X21</f>
        <v>4.2888824621736708E-3</v>
      </c>
      <c r="N66" s="671">
        <f>'Cuenta Ahorro-Inversión-Financi'!AF33/1000/'PIB corriente base 2004'!X21</f>
        <v>9.1524754927043914E-2</v>
      </c>
      <c r="O66" s="671">
        <f>'Cuenta Ahorro-Inversión-Financi'!M66+'Cuenta Ahorro-Inversión-Financi'!I66</f>
        <v>9.5813501713497395E-2</v>
      </c>
      <c r="P66" s="669"/>
      <c r="Q66" s="679">
        <v>2017</v>
      </c>
      <c r="R66" s="687">
        <f>'Cuenta Ahorro-Inversión-Financi'!BE33/1000/'PIB corriente base 2004'!X21</f>
        <v>8.0281228582058897E-2</v>
      </c>
      <c r="S66" s="687">
        <f>('Cuenta Ahorro-Inversión-Financi'!BE33-V76/1000)/1000/'PIB corriente base 2004'!X21</f>
        <v>7.6386424051846549E-2</v>
      </c>
      <c r="T66" s="687">
        <f>'Cuenta Ahorro-Inversión-Financi'!BW33/1000/'PIB corriente base 2004'!X21</f>
        <v>1.7884422392262723E-2</v>
      </c>
      <c r="U66" s="687">
        <f>'Cuenta Ahorro-Inversión-Financi'!T66+'Cuenta Ahorro-Inversión-Financi'!R66+(('Cuenta Ahorro-Inversión-Financi'!AX33+'Cuenta Ahorro-Inversión-Financi'!BB33)/1000/'PIB corriente base 2004'!X21)</f>
        <v>9.9892701912135423E-2</v>
      </c>
      <c r="V66" s="687">
        <f>'Cuenta Ahorro-Inversión-Financi'!BM33/1000/'PIB corriente base 2004'!X21</f>
        <v>1.8989777038983649E-2</v>
      </c>
      <c r="W66" s="673">
        <f>'Cuenta Ahorro-Inversión-Financi'!AW33/1000/'PIB corriente base 2004'!X21</f>
        <v>9.9892701912135437E-2</v>
      </c>
      <c r="X66" s="673">
        <f>('Cuenta Ahorro-Inversión-Financi'!AW33-V76/1000)/1000/'PIB corriente base 2004'!X21</f>
        <v>9.5997897381923075E-2</v>
      </c>
      <c r="Y66" s="673">
        <f>'Cuenta Ahorro-Inversión-Financi'!CL33/1000/'PIB corriente base 2004'!X21</f>
        <v>1.6931827770299091E-3</v>
      </c>
      <c r="Z66" s="673">
        <f>('Cuenta Ahorro-Inversión-Financi'!CF33)/1000/'PIB corriente base 2004'!X21+'Cuenta Ahorro-Inversión-Financi'!Y66</f>
        <v>0.10163915276191977</v>
      </c>
      <c r="AA66" s="673">
        <f>('Cuenta Ahorro-Inversión-Financi'!CF33-'Cuenta Ahorro-Inversión-Financi'!AX33)/1000/'PIB corriente base 2004'!X21</f>
        <v>9.8224670456284732E-2</v>
      </c>
      <c r="AB66" s="669"/>
      <c r="AC66" s="680">
        <v>2017</v>
      </c>
      <c r="AD66" s="675">
        <f>'Cuenta Ahorro-Inversión-Financi'!J66-'Cuenta Ahorro-Inversión-Financi'!X66</f>
        <v>-4.473278130599348E-3</v>
      </c>
      <c r="AE66" s="675">
        <f>'Cuenta Ahorro-Inversión-Financi'!F66-'Cuenta Ahorro-Inversión-Financi'!S66</f>
        <v>-2.0796327995181545E-2</v>
      </c>
      <c r="AF66" s="675">
        <f>'Cuenta Ahorro-Inversión-Financi'!I66-'Cuenta Ahorro-Inversión-Financi'!X66-'Cuenta Ahorro-Inversión-Financi'!H66</f>
        <v>-1.4832965671237701E-2</v>
      </c>
      <c r="AG66" s="675">
        <f>'Cuenta Ahorro-Inversión-Financi'!I66-'Cuenta Ahorro-Inversión-Financi'!X66</f>
        <v>-4.473278130599348E-3</v>
      </c>
      <c r="AH66" s="675">
        <f>'Cuenta Ahorro-Inversión-Financi'!O66-'Cuenta Ahorro-Inversión-Financi'!X66</f>
        <v>-1.8439566842567978E-4</v>
      </c>
      <c r="AI66" s="675">
        <f>'Cuenta Ahorro-Inversión-Financi'!F66-('Cuenta Ahorro-Inversión-Financi'!BE33+'Cuenta Ahorro-Inversión-Financi'!BQ33-'Cuenta Ahorro-Inversión-Financi'!BU33-65807027)/'PIB corriente base 2004'!X21/1000</f>
        <v>-3.2995458584196023E-2</v>
      </c>
      <c r="AJ66" s="455">
        <f>'Cuenta Ahorro-Inversión-Financi'!AH66-'Cuenta Ahorro-Inversión-Financi'!H66</f>
        <v>-1.0544083209064033E-2</v>
      </c>
      <c r="AN66" s="676">
        <v>2017</v>
      </c>
      <c r="AO66" s="675">
        <f>'Cuenta Ahorro-Inversión-Financi'!I66</f>
        <v>9.1524619251323727E-2</v>
      </c>
      <c r="AP66" s="675">
        <f>'Cuenta Ahorro-Inversión-Financi'!F66</f>
        <v>5.5590096056665005E-2</v>
      </c>
      <c r="AQ66" s="675">
        <f>'Cuenta Ahorro-Inversión-Financi'!I33/'PIB corriente base 2004'!X21/1000</f>
        <v>4.2096363400800614E-3</v>
      </c>
      <c r="AR66" s="675">
        <f>'Cuenta Ahorro-Inversión-Financi'!L66</f>
        <v>1.702228653264776E-2</v>
      </c>
      <c r="AS66" s="675">
        <f>'Cuenta Ahorro-Inversión-Financi'!T66+'Cuenta Ahorro-Inversión-Financi'!R66+(('Cuenta Ahorro-Inversión-Financi'!BB33-'Cuenta Ahorro-Inversión-Financi'!BK33-'Cuenta Ahorro-Inversión-Financi'!BU33-'Cuenta Ahorro-Inversión-Financi'!BV33)/1000/'PIB corriente base 2004'!X21)-DI32</f>
        <v>9.2381517512248101E-2</v>
      </c>
      <c r="AT66" s="675">
        <f>'Cuenta Ahorro-Inversión-Financi'!T66+'Cuenta Ahorro-Inversión-Financi'!R66+(('Cuenta Ahorro-Inversión-Financi'!BB33-'Cuenta Ahorro-Inversión-Financi'!BK33-'Cuenta Ahorro-Inversión-Financi'!BU33-'Cuenta Ahorro-Inversión-Financi'!BV33-'Cuenta Ahorro-Inversión-Financi'!BO33-'Cuenta Ahorro-Inversión-Financi'!BP33)/1000/'PIB corriente base 2004'!X21)-DI32</f>
        <v>8.7920057908541918E-2</v>
      </c>
      <c r="AU66" s="675">
        <f>'Cuenta Ahorro-Inversión-Financi'!X66</f>
        <v>9.5997897381923075E-2</v>
      </c>
      <c r="AV66" s="675">
        <f>('Cuenta Ahorro-Inversión-Financi'!CG33+'Cuenta Ahorro-Inversión-Financi'!BY33)/'PIB corriente base 2004'!X21/1000+'Cuenta Ahorro-Inversión-Financi'!Y66</f>
        <v>1.4479854920258424E-2</v>
      </c>
      <c r="AW66" s="675">
        <f>'Cuenta Ahorro-Inversión-Financi'!AP66-'Cuenta Ahorro-Inversión-Financi'!AT66</f>
        <v>-3.2329961851876914E-2</v>
      </c>
      <c r="AX66" s="675">
        <f>'Cuenta Ahorro-Inversión-Financi'!AO66-'Cuenta Ahorro-Inversión-Financi'!AU66</f>
        <v>-4.473278130599348E-3</v>
      </c>
      <c r="AY66" s="675">
        <f>'Cuenta Ahorro-Inversión-Financi'!AO66-'Cuenta Ahorro-Inversión-Financi'!AQ66+'Cuenta Ahorro-Inversión-Financi'!AR66-'Cuenta Ahorro-Inversión-Financi'!AU66-'Cuenta Ahorro-Inversión-Financi'!AV66</f>
        <v>-6.1404828582900788E-3</v>
      </c>
      <c r="AZ66" s="675">
        <f>'Cuenta Ahorro-Inversión-Financi'!AY66-'Cuenta Ahorro-Inversión-Financi'!H66</f>
        <v>-1.6500170398928433E-2</v>
      </c>
      <c r="BA66" s="455">
        <f t="shared" si="14"/>
        <v>0.1104777523021815</v>
      </c>
      <c r="BO66" s="1">
        <f>'Cuenta Ahorro-Inversión-Financi'!BE29+'Cuenta Ahorro-Inversión-Financi'!BR29</f>
        <v>230959336.49548998</v>
      </c>
      <c r="BP66" s="455">
        <f>'Cuenta Ahorro-Inversión-Financi'!BR29/'Cuenta Ahorro-Inversión-Financi'!BO66</f>
        <v>3.4585272438232784E-2</v>
      </c>
    </row>
    <row r="67" spans="1:68" ht="14.45" customHeight="1">
      <c r="A67" s="669"/>
      <c r="B67" s="669"/>
      <c r="C67" s="669"/>
      <c r="D67" s="669"/>
      <c r="E67" s="850" t="s">
        <v>908</v>
      </c>
      <c r="F67" s="678">
        <f>'Cuenta Ahorro-Inversión-Financi'!S34/1000/'PIB corriente base 2004'!X22</f>
        <v>5.0704846491994214E-2</v>
      </c>
      <c r="G67" s="678">
        <f>('Cuenta Ahorro-Inversión-Financi'!G34+'Cuenta Ahorro-Inversión-Financi'!R34)/1000/'PIB corriente base 2004'!X22</f>
        <v>2.6720252660672565E-2</v>
      </c>
      <c r="H67" s="678">
        <f>'Cuenta Ahorro-Inversión-Financi'!W34/1000/'PIB corriente base 2004'!X22</f>
        <v>1.2578886934714758E-2</v>
      </c>
      <c r="I67" s="678">
        <f>'Cuenta Ahorro-Inversión-Financi'!J67</f>
        <v>9.0003986087381554E-2</v>
      </c>
      <c r="J67" s="678">
        <f>'Cuenta Ahorro-Inversión-Financi'!F34/1000/'PIB corriente base 2004'!X22</f>
        <v>9.0003986087381554E-2</v>
      </c>
      <c r="K67" s="678">
        <f>'Cuenta Ahorro-Inversión-Financi'!S34/1000/'PIB corriente base 2004'!X22</f>
        <v>5.0704846491994214E-2</v>
      </c>
      <c r="L67" s="678">
        <f>SUM('Cuenta Ahorro-Inversión-Financi'!AH34:AL34)/1000/'PIB corriente base 2004'!X22</f>
        <v>1.8791959158708661E-2</v>
      </c>
      <c r="M67" s="678">
        <f>'Cuenta Ahorro-Inversión-Financi'!AN34/1000/'PIB corriente base 2004'!X22</f>
        <v>9.1419719829722648E-3</v>
      </c>
      <c r="N67" s="678">
        <f>'Cuenta Ahorro-Inversión-Financi'!AF34/1000/'PIB corriente base 2004'!X22</f>
        <v>9.0005861844089929E-2</v>
      </c>
      <c r="O67" s="678">
        <f>'Cuenta Ahorro-Inversión-Financi'!M67+'Cuenta Ahorro-Inversión-Financi'!I67</f>
        <v>9.9145958070353812E-2</v>
      </c>
      <c r="P67" s="669"/>
      <c r="Q67" s="679">
        <v>2018</v>
      </c>
      <c r="R67" s="690">
        <f>'Cuenta Ahorro-Inversión-Financi'!BE34/1000/'PIB corriente base 2004'!X22</f>
        <v>7.7068407677986797E-2</v>
      </c>
      <c r="S67" s="690">
        <f>('Cuenta Ahorro-Inversión-Financi'!BE34-V77/1000)/1000/'PIB corriente base 2004'!X22</f>
        <v>7.1977106562574236E-2</v>
      </c>
      <c r="T67" s="690">
        <f>'Cuenta Ahorro-Inversión-Financi'!BW34/1000/'PIB corriente base 2004'!X22</f>
        <v>1.7689596159909698E-2</v>
      </c>
      <c r="U67" s="690">
        <f>'Cuenta Ahorro-Inversión-Financi'!T67+'Cuenta Ahorro-Inversión-Financi'!R67+(('Cuenta Ahorro-Inversión-Financi'!AX34+'Cuenta Ahorro-Inversión-Financi'!BB34)/1000/'PIB corriente base 2004'!X22)</f>
        <v>9.6240258528413836E-2</v>
      </c>
      <c r="V67" s="690">
        <f>'Cuenta Ahorro-Inversión-Financi'!BM34/1000/'PIB corriente base 2004'!X22</f>
        <v>1.8012246123954145E-2</v>
      </c>
      <c r="W67" s="678">
        <f>'Cuenta Ahorro-Inversión-Financi'!AW34/1000/'PIB corriente base 2004'!X22</f>
        <v>9.6240258528413836E-2</v>
      </c>
      <c r="X67" s="678">
        <f>('Cuenta Ahorro-Inversión-Financi'!AW34-V77/1000)/1000/'PIB corriente base 2004'!X22</f>
        <v>9.1148957413001275E-2</v>
      </c>
      <c r="Y67" s="678">
        <f>'Cuenta Ahorro-Inversión-Financi'!CL34/1000/'PIB corriente base 2004'!X22</f>
        <v>1.5558204318447749E-3</v>
      </c>
      <c r="Z67" s="678">
        <f>('Cuenta Ahorro-Inversión-Financi'!CF34)/1000/'PIB corriente base 2004'!X22+'Cuenta Ahorro-Inversión-Financi'!Y67</f>
        <v>9.7796509562898301E-2</v>
      </c>
      <c r="AA67" s="678">
        <f>('Cuenta Ahorro-Inversión-Financi'!CF34-'Cuenta Ahorro-Inversión-Financi'!AX34)/1000/'PIB corriente base 2004'!X22</f>
        <v>9.4762957643923326E-2</v>
      </c>
      <c r="AB67" s="669"/>
      <c r="AC67" s="691">
        <v>2018</v>
      </c>
      <c r="AD67" s="692">
        <f>'Cuenta Ahorro-Inversión-Financi'!J67-'Cuenta Ahorro-Inversión-Financi'!X67</f>
        <v>-1.1449713256197203E-3</v>
      </c>
      <c r="AE67" s="692">
        <f>'Cuenta Ahorro-Inversión-Financi'!F67-'Cuenta Ahorro-Inversión-Financi'!S67</f>
        <v>-2.1272260070580022E-2</v>
      </c>
      <c r="AF67" s="692">
        <f>'Cuenta Ahorro-Inversión-Financi'!I67-'Cuenta Ahorro-Inversión-Financi'!X67-'Cuenta Ahorro-Inversión-Financi'!H67</f>
        <v>-1.3723858260334478E-2</v>
      </c>
      <c r="AG67" s="692">
        <f>'Cuenta Ahorro-Inversión-Financi'!I67-'Cuenta Ahorro-Inversión-Financi'!X67</f>
        <v>-1.1449713256197203E-3</v>
      </c>
      <c r="AH67" s="692">
        <f>'Cuenta Ahorro-Inversión-Financi'!O67-'Cuenta Ahorro-Inversión-Financi'!X67</f>
        <v>7.9970006573525376E-3</v>
      </c>
      <c r="AI67" s="692">
        <f>'Cuenta Ahorro-Inversión-Financi'!F67-('Cuenta Ahorro-Inversión-Financi'!BE34+'Cuenta Ahorro-Inversión-Financi'!BQ34-'Cuenta Ahorro-Inversión-Financi'!BU34)/'PIB corriente base 2004'!X22/1000</f>
        <v>-4.1465150970760083E-2</v>
      </c>
      <c r="AJ67" s="455">
        <f>'Cuenta Ahorro-Inversión-Financi'!AH67-'Cuenta Ahorro-Inversión-Financi'!H67</f>
        <v>-4.5818862773622203E-3</v>
      </c>
      <c r="AN67" s="693">
        <v>2018</v>
      </c>
      <c r="AO67" s="692">
        <f>'Cuenta Ahorro-Inversión-Financi'!I67</f>
        <v>9.0003986087381554E-2</v>
      </c>
      <c r="AP67" s="692">
        <f>'Cuenta Ahorro-Inversión-Financi'!F67</f>
        <v>5.0704846491994214E-2</v>
      </c>
      <c r="AQ67" s="692">
        <f>'Cuenta Ahorro-Inversión-Financi'!I34/'PIB corriente base 2004'!X22/1000</f>
        <v>0</v>
      </c>
      <c r="AR67" s="692">
        <f>'Cuenta Ahorro-Inversión-Financi'!L67</f>
        <v>1.8791959158708661E-2</v>
      </c>
      <c r="AS67" s="678">
        <f>'Cuenta Ahorro-Inversión-Financi'!T67+'Cuenta Ahorro-Inversión-Financi'!R67+(('Cuenta Ahorro-Inversión-Financi'!BB34-'Cuenta Ahorro-Inversión-Financi'!BK34-'Cuenta Ahorro-Inversión-Financi'!BU34-'Cuenta Ahorro-Inversión-Financi'!BV34)/1000/'PIB corriente base 2004'!X22)-V77/1000/1000/'PIB corriente base 2004'!X22</f>
        <v>8.8782893401517432E-2</v>
      </c>
      <c r="AT67" s="692">
        <f>'Cuenta Ahorro-Inversión-Financi'!T67+'Cuenta Ahorro-Inversión-Financi'!R67+(('Cuenta Ahorro-Inversión-Financi'!BB34-'Cuenta Ahorro-Inversión-Financi'!BK34-'Cuenta Ahorro-Inversión-Financi'!BU34-'Cuenta Ahorro-Inversión-Financi'!BV34-'Cuenta Ahorro-Inversión-Financi'!BO34-'Cuenta Ahorro-Inversión-Financi'!BP34)/1000/'PIB corriente base 2004'!X22)-V77/1000/1000/'PIB corriente base 2004'!X22</f>
        <v>8.4194255648105301E-2</v>
      </c>
      <c r="AU67" s="692">
        <f>'Cuenta Ahorro-Inversión-Financi'!X67</f>
        <v>9.1148957413001275E-2</v>
      </c>
      <c r="AV67" s="692">
        <f>('Cuenta Ahorro-Inversión-Financi'!CG34+'Cuenta Ahorro-Inversión-Financi'!BY34)/'PIB corriente base 2004'!X22/1000+'Cuenta Ahorro-Inversión-Financi'!Y67</f>
        <v>1.1206238210220846E-2</v>
      </c>
      <c r="AW67" s="692">
        <f>'Cuenta Ahorro-Inversión-Financi'!AP67-'Cuenta Ahorro-Inversión-Financi'!AT67</f>
        <v>-3.3489409156111087E-2</v>
      </c>
      <c r="AX67" s="692">
        <f>'Cuenta Ahorro-Inversión-Financi'!AO67-'Cuenta Ahorro-Inversión-Financi'!AU67</f>
        <v>-1.1449713256197203E-3</v>
      </c>
      <c r="AY67" s="692">
        <f>'Cuenta Ahorro-Inversión-Financi'!AO67-'Cuenta Ahorro-Inversión-Financi'!AQ67+'Cuenta Ahorro-Inversión-Financi'!AR67-'Cuenta Ahorro-Inversión-Financi'!AU67-'Cuenta Ahorro-Inversión-Financi'!AV67</f>
        <v>6.4407496228680878E-3</v>
      </c>
      <c r="AZ67" s="692">
        <f>'Cuenta Ahorro-Inversión-Financi'!AY67-'Cuenta Ahorro-Inversión-Financi'!H67</f>
        <v>-6.1381373118466701E-3</v>
      </c>
      <c r="BA67" s="455">
        <f t="shared" si="14"/>
        <v>0.10235519562322212</v>
      </c>
      <c r="BK67" s="1">
        <f>'Cuenta Ahorro-Inversión-Financi'!BE30+'Cuenta Ahorro-Inversión-Financi'!BR30</f>
        <v>306263660.59827</v>
      </c>
      <c r="BL67" s="455">
        <f>'Cuenta Ahorro-Inversión-Financi'!BR30/'Cuenta Ahorro-Inversión-Financi'!BK67</f>
        <v>3.4795217567742329E-2</v>
      </c>
    </row>
    <row r="68" spans="1:68" ht="14.45" customHeight="1">
      <c r="E68" s="850" t="s">
        <v>1137</v>
      </c>
      <c r="F68" s="671">
        <f>'Cuenta Ahorro-Inversión-Financi'!S35/1000/'PIB corriente base 2004'!X23</f>
        <v>4.6850129163395204E-2</v>
      </c>
      <c r="G68" s="671">
        <f>('Cuenta Ahorro-Inversión-Financi'!G35+'Cuenta Ahorro-Inversión-Financi'!R35)/1000/'PIB corriente base 2004'!X23</f>
        <v>2.5522197711850856E-2</v>
      </c>
      <c r="H68" s="671">
        <f>'Cuenta Ahorro-Inversión-Financi'!W35/1000/'PIB corriente base 2004'!X23</f>
        <v>1.4060819021224245E-2</v>
      </c>
      <c r="I68" s="671">
        <f>'Cuenta Ahorro-Inversión-Financi'!J68</f>
        <v>8.6433145896470318E-2</v>
      </c>
      <c r="J68" s="671">
        <f>'Cuenta Ahorro-Inversión-Financi'!F35/1000/'PIB corriente base 2004'!X23</f>
        <v>8.6433145896470318E-2</v>
      </c>
      <c r="K68" s="671">
        <f>'Cuenta Ahorro-Inversión-Financi'!S35/1000/'PIB corriente base 2004'!X23</f>
        <v>4.6850129163395204E-2</v>
      </c>
      <c r="L68" s="671">
        <f>SUM('Cuenta Ahorro-Inversión-Financi'!AH35:AL35)/1000/'PIB corriente base 2004'!X23</f>
        <v>1.78137571246344E-2</v>
      </c>
      <c r="M68" s="671">
        <f>'Cuenta Ahorro-Inversión-Financi'!AN35/1000/'PIB corriente base 2004'!X23</f>
        <v>5.4692524977094648E-3</v>
      </c>
      <c r="N68" s="671">
        <f>'Cuenta Ahorro-Inversión-Financi'!AF35/1000/'PIB corriente base 2004'!X23</f>
        <v>8.9353820058464054E-2</v>
      </c>
      <c r="O68" s="671">
        <f>'Cuenta Ahorro-Inversión-Financi'!M68+'Cuenta Ahorro-Inversión-Financi'!I68</f>
        <v>9.1902398394179782E-2</v>
      </c>
      <c r="Q68" s="679">
        <v>2019</v>
      </c>
      <c r="R68" s="687">
        <f>'Cuenta Ahorro-Inversión-Financi'!BE35/1000/'PIB corriente base 2004'!X23</f>
        <v>7.8989083667096088E-2</v>
      </c>
      <c r="S68" s="687">
        <f>('Cuenta Ahorro-Inversión-Financi'!BE35-V78/1000)/1000/'PIB corriente base 2004'!X23-0.005</f>
        <v>7.3989083667096084E-2</v>
      </c>
      <c r="T68" s="687">
        <f>'Cuenta Ahorro-Inversión-Financi'!BW35/1000/'PIB corriente base 2004'!X23</f>
        <v>1.4290716004569234E-2</v>
      </c>
      <c r="U68" s="687">
        <f>'Cuenta Ahorro-Inversión-Financi'!T68+'Cuenta Ahorro-Inversión-Financi'!R68+(('Cuenta Ahorro-Inversión-Financi'!AX35+'Cuenta Ahorro-Inversión-Financi'!BB35)/1000/'PIB corriente base 2004'!X23)</f>
        <v>9.4479235705838618E-2</v>
      </c>
      <c r="V68" s="687">
        <f>'Cuenta Ahorro-Inversión-Financi'!BM35/1000/'PIB corriente base 2004'!X23</f>
        <v>1.4290716004569234E-2</v>
      </c>
      <c r="W68" s="673">
        <f>'Cuenta Ahorro-Inversión-Financi'!AW35/1000/'PIB corriente base 2004'!X23</f>
        <v>9.4479235705838618E-2</v>
      </c>
      <c r="X68" s="673">
        <f>('Cuenta Ahorro-Inversión-Financi'!AW35)/1000/'PIB corriente base 2004'!X23-0.005</f>
        <v>8.9479235705838614E-2</v>
      </c>
      <c r="Y68" s="673">
        <f>'Cuenta Ahorro-Inversión-Financi'!CL35/1000/'PIB corriente base 2004'!X23</f>
        <v>2.6298965548432517E-3</v>
      </c>
      <c r="Z68" s="673">
        <f>('Cuenta Ahorro-Inversión-Financi'!CF35)/1000/'PIB corriente base 2004'!X23+'Cuenta Ahorro-Inversión-Financi'!Y68</f>
        <v>9.7117138442335341E-2</v>
      </c>
      <c r="AA68" s="673">
        <f>('Cuenta Ahorro-Inversión-Financi'!CF35-'Cuenta Ahorro-Inversión-Financi'!AX35)/1000/'PIB corriente base 2004'!X23</f>
        <v>9.3287805853318778E-2</v>
      </c>
      <c r="AB68" s="455"/>
      <c r="AC68" s="691">
        <v>2019</v>
      </c>
      <c r="AD68" s="692">
        <f>'Cuenta Ahorro-Inversión-Financi'!J68-'Cuenta Ahorro-Inversión-Financi'!X68</f>
        <v>-3.0460898093682964E-3</v>
      </c>
      <c r="AE68" s="692">
        <f>'Cuenta Ahorro-Inversión-Financi'!F68-'Cuenta Ahorro-Inversión-Financi'!S68</f>
        <v>-2.7138954503700879E-2</v>
      </c>
      <c r="AF68" s="692">
        <f>'Cuenta Ahorro-Inversión-Financi'!I68-'Cuenta Ahorro-Inversión-Financi'!X68-'Cuenta Ahorro-Inversión-Financi'!H68</f>
        <v>-1.7106908830592543E-2</v>
      </c>
      <c r="AG68" s="692">
        <f>'Cuenta Ahorro-Inversión-Financi'!I68-'Cuenta Ahorro-Inversión-Financi'!X68</f>
        <v>-3.0460898093682964E-3</v>
      </c>
      <c r="AH68" s="692">
        <f>'Cuenta Ahorro-Inversión-Financi'!O68-'Cuenta Ahorro-Inversión-Financi'!X68</f>
        <v>2.4231626883411683E-3</v>
      </c>
      <c r="AI68" s="692">
        <f>'Cuenta Ahorro-Inversión-Financi'!F68-('Cuenta Ahorro-Inversión-Financi'!BE35+'Cuenta Ahorro-Inversión-Financi'!BQ35-'Cuenta Ahorro-Inversión-Financi'!BU35)/'PIB corriente base 2004'!X23/1000</f>
        <v>-3.2138954503700884E-2</v>
      </c>
      <c r="AJ68" s="455">
        <f>'Cuenta Ahorro-Inversión-Financi'!AH68-'Cuenta Ahorro-Inversión-Financi'!H68</f>
        <v>-1.1637656332883077E-2</v>
      </c>
      <c r="AN68" s="693">
        <v>2019</v>
      </c>
      <c r="AO68" s="692">
        <f>'Cuenta Ahorro-Inversión-Financi'!I68</f>
        <v>8.6433145896470318E-2</v>
      </c>
      <c r="AP68" s="692">
        <f>'Cuenta Ahorro-Inversión-Financi'!F68</f>
        <v>4.6850129163395204E-2</v>
      </c>
      <c r="AQ68" s="692">
        <f>'Cuenta Ahorro-Inversión-Financi'!I35/'PIB corriente base 2004'!X23/1000</f>
        <v>0</v>
      </c>
      <c r="AR68" s="692">
        <f>'Cuenta Ahorro-Inversión-Financi'!L68</f>
        <v>1.78137571246344E-2</v>
      </c>
      <c r="AS68" s="678">
        <f>'Cuenta Ahorro-Inversión-Financi'!T68+'Cuenta Ahorro-Inversión-Financi'!R68+(('Cuenta Ahorro-Inversión-Financi'!BB35-'Cuenta Ahorro-Inversión-Financi'!BK35-'Cuenta Ahorro-Inversión-Financi'!BU35-'Cuenta Ahorro-Inversión-Financi'!BV35)/1000/'PIB corriente base 2004'!X23)-0.005</f>
        <v>8.7809892295037703E-2</v>
      </c>
      <c r="AT68" s="692">
        <f>'Cuenta Ahorro-Inversión-Financi'!T68+'Cuenta Ahorro-Inversión-Financi'!R68+(('Cuenta Ahorro-Inversión-Financi'!BB35-'Cuenta Ahorro-Inversión-Financi'!BK35-'Cuenta Ahorro-Inversión-Financi'!BU35-'Cuenta Ahorro-Inversión-Financi'!BV35-'Cuenta Ahorro-Inversión-Financi'!BO35-'Cuenta Ahorro-Inversión-Financi'!BP35)/1000/'PIB corriente base 2004'!X23)-0.005</f>
        <v>8.6814929866693105E-2</v>
      </c>
      <c r="AU68" s="692">
        <f>'Cuenta Ahorro-Inversión-Financi'!X68</f>
        <v>8.9479235705838614E-2</v>
      </c>
      <c r="AV68" s="692">
        <f>('Cuenta Ahorro-Inversión-Financi'!CG35+'Cuenta Ahorro-Inversión-Financi'!BY35)/'PIB corriente base 2004'!X23/1000+'Cuenta Ahorro-Inversión-Financi'!Y68</f>
        <v>1.4982407363421647E-2</v>
      </c>
      <c r="AW68" s="692">
        <f>'Cuenta Ahorro-Inversión-Financi'!AP68-'Cuenta Ahorro-Inversión-Financi'!AT68</f>
        <v>-3.9964800703297901E-2</v>
      </c>
      <c r="AX68" s="692">
        <f>'Cuenta Ahorro-Inversión-Financi'!AO68-'Cuenta Ahorro-Inversión-Financi'!AU68</f>
        <v>-3.0460898093682964E-3</v>
      </c>
      <c r="AY68" s="692">
        <f>'Cuenta Ahorro-Inversión-Financi'!AO68-'Cuenta Ahorro-Inversión-Financi'!AQ68+'Cuenta Ahorro-Inversión-Financi'!AR68-'Cuenta Ahorro-Inversión-Financi'!AU68-'Cuenta Ahorro-Inversión-Financi'!AV68</f>
        <v>-2.1474004815554351E-4</v>
      </c>
      <c r="AZ68" s="692">
        <f>'Cuenta Ahorro-Inversión-Financi'!AY68-'Cuenta Ahorro-Inversión-Financi'!H68</f>
        <v>-1.4275559069379789E-2</v>
      </c>
      <c r="BA68" s="455">
        <f t="shared" ref="BA68" si="15">AU68+AV68</f>
        <v>0.10446164306926026</v>
      </c>
    </row>
    <row r="69" spans="1:68" ht="14.45" customHeight="1">
      <c r="O69" s="455"/>
      <c r="S69" s="1">
        <v>1993</v>
      </c>
      <c r="T69" s="694">
        <v>3015865.8194956598</v>
      </c>
      <c r="U69" s="455">
        <f>T69/'PIB corriente base 1993'!V8/1000</f>
        <v>1.2751806797278666E-2</v>
      </c>
      <c r="V69" s="689"/>
      <c r="AT69" s="657">
        <f>'Cuenta Ahorro-Inversión-Financi'!R62+((-'Cuenta Ahorro-Inversión-Financi'!BK29)/1000/'PIB corriente base 2004'!X17)</f>
        <v>6.6041409983319019E-2</v>
      </c>
      <c r="AU69" s="657">
        <f>'Cuenta Ahorro-Inversión-Financi'!T62+(('Cuenta Ahorro-Inversión-Financi'!BB29-'Cuenta Ahorro-Inversión-Financi'!BU29-'Cuenta Ahorro-Inversión-Financi'!BV29-'Cuenta Ahorro-Inversión-Financi'!BO29-'Cuenta Ahorro-Inversión-Financi'!BP29)/1000/'PIB corriente base 2004'!X17)</f>
        <v>1.2729621286101092E-2</v>
      </c>
      <c r="AV69" s="455">
        <f>('Cuenta Ahorro-Inversión-Financi'!BR29)/1000/'PIB corriente base 2004'!X17</f>
        <v>2.3856199639117528E-3</v>
      </c>
      <c r="AX69" s="455">
        <f>'Cuenta Ahorro-Inversión-Financi'!AZ63-'Cuenta Ahorro-Inversión-Financi'!AW63</f>
        <v>2.0448995735812929E-2</v>
      </c>
    </row>
    <row r="70" spans="1:68" ht="14.45" customHeight="1">
      <c r="S70" s="1">
        <f t="shared" ref="S70:S93" si="16">S69+1</f>
        <v>1994</v>
      </c>
      <c r="T70" s="688">
        <v>3226509.5249815402</v>
      </c>
      <c r="U70" s="455">
        <f>T70/'PIB corriente base 1993'!V9/1000</f>
        <v>1.2533056379588438E-2</v>
      </c>
      <c r="AT70" s="657">
        <f>'Cuenta Ahorro-Inversión-Financi'!R63+((-'Cuenta Ahorro-Inversión-Financi'!BK30)/1000/'PIB corriente base 2004'!X18)</f>
        <v>6.4030961902056885E-2</v>
      </c>
      <c r="AU70" s="657">
        <f>'Cuenta Ahorro-Inversión-Financi'!T63+(('Cuenta Ahorro-Inversión-Financi'!BB30-'Cuenta Ahorro-Inversión-Financi'!BU30-'Cuenta Ahorro-Inversión-Financi'!BV30-'Cuenta Ahorro-Inversión-Financi'!BO30-'Cuenta Ahorro-Inversión-Financi'!BP30)/1000/'PIB corriente base 2004'!X18)</f>
        <v>1.192070445501393E-2</v>
      </c>
      <c r="AV70" s="455">
        <f>('Cuenta Ahorro-Inversión-Financi'!BR30)/1000/'PIB corriente base 2004'!X18</f>
        <v>2.3272132721660977E-3</v>
      </c>
      <c r="AX70" s="455">
        <f>'Cuenta Ahorro-Inversión-Financi'!AZ64-'Cuenta Ahorro-Inversión-Financi'!AW64</f>
        <v>2.0801726256046781E-2</v>
      </c>
    </row>
    <row r="71" spans="1:68" ht="14.45" customHeight="1">
      <c r="R71" s="625">
        <f>41598953.80094/1000/'PIB corriente base 2004'!X21</f>
        <v>3.9079209240223158E-3</v>
      </c>
      <c r="S71" s="1">
        <f t="shared" si="16"/>
        <v>1995</v>
      </c>
      <c r="T71" s="694">
        <v>2990988.4814176699</v>
      </c>
      <c r="U71" s="455">
        <f>T71/'PIB corriente base 1993'!V10/1000</f>
        <v>1.1591546064282969E-2</v>
      </c>
      <c r="AT71" s="657">
        <f>'Cuenta Ahorro-Inversión-Financi'!R64+((-'Cuenta Ahorro-Inversión-Financi'!BK31)/1000/'PIB corriente base 2004'!X19)</f>
        <v>7.2209456656748008E-2</v>
      </c>
      <c r="AU71" s="657">
        <f>'Cuenta Ahorro-Inversión-Financi'!T64+(('Cuenta Ahorro-Inversión-Financi'!BB31-'Cuenta Ahorro-Inversión-Financi'!BU31-'Cuenta Ahorro-Inversión-Financi'!BV31-'Cuenta Ahorro-Inversión-Financi'!BO31-'Cuenta Ahorro-Inversión-Financi'!BP31)/1000/'PIB corriente base 2004'!X19)</f>
        <v>1.2529318490988407E-2</v>
      </c>
      <c r="AV71" s="455">
        <f>('Cuenta Ahorro-Inversión-Financi'!BR31)/1000/'PIB corriente base 2004'!X19</f>
        <v>2.6068870526325806E-3</v>
      </c>
      <c r="AX71" s="455">
        <f>'Cuenta Ahorro-Inversión-Financi'!AZ65-'Cuenta Ahorro-Inversión-Financi'!AW65</f>
        <v>1.6093200777613496E-2</v>
      </c>
    </row>
    <row r="72" spans="1:68" ht="14.45" customHeight="1">
      <c r="S72" s="1">
        <f t="shared" si="16"/>
        <v>1996</v>
      </c>
      <c r="T72" s="688">
        <v>3231346.7142505501</v>
      </c>
      <c r="U72" s="455">
        <f>T72/'PIB corriente base 1993'!V11/1000</f>
        <v>1.1873413888874347E-2</v>
      </c>
      <c r="W72" s="1">
        <f>12/15</f>
        <v>0.8</v>
      </c>
      <c r="AT72" s="657">
        <f>'Cuenta Ahorro-Inversión-Financi'!R65+((-'Cuenta Ahorro-Inversión-Financi'!BK32)/1000/'PIB corriente base 2004'!X20)</f>
        <v>7.2820527329816281E-2</v>
      </c>
      <c r="AU72" s="657">
        <f>'Cuenta Ahorro-Inversión-Financi'!T65+(('Cuenta Ahorro-Inversión-Financi'!BB32-'Cuenta Ahorro-Inversión-Financi'!BU32-'Cuenta Ahorro-Inversión-Financi'!BV32-'Cuenta Ahorro-Inversión-Financi'!BO32-'Cuenta Ahorro-Inversión-Financi'!BP32)/1000/'PIB corriente base 2004'!X20)</f>
        <v>1.486488910775639E-2</v>
      </c>
      <c r="AV72" s="455">
        <f>('Cuenta Ahorro-Inversión-Financi'!BR32)/1000/'PIB corriente base 2004'!X20</f>
        <v>2.6363088474017208E-3</v>
      </c>
      <c r="AX72" s="455">
        <f>'Cuenta Ahorro-Inversión-Financi'!AZ66-'Cuenta Ahorro-Inversión-Financi'!AW66</f>
        <v>1.582979145294848E-2</v>
      </c>
    </row>
    <row r="73" spans="1:68" ht="14.45" customHeight="1">
      <c r="S73" s="1">
        <f t="shared" si="16"/>
        <v>1997</v>
      </c>
      <c r="T73" s="694">
        <v>3598188.0876199799</v>
      </c>
      <c r="U73" s="455">
        <f>T73/'PIB corriente base 1993'!V12/1000</f>
        <v>1.2286423141515615E-2</v>
      </c>
      <c r="AT73" s="657">
        <f>'Cuenta Ahorro-Inversión-Financi'!R66+((-'Cuenta Ahorro-Inversión-Financi'!BK33)/1000/'PIB corriente base 2004'!X21)</f>
        <v>7.9680536263360163E-2</v>
      </c>
      <c r="AU73" s="657">
        <f>'Cuenta Ahorro-Inversión-Financi'!T66+(('Cuenta Ahorro-Inversión-Financi'!BB33-'Cuenta Ahorro-Inversión-Financi'!BU33-'Cuenta Ahorro-Inversión-Financi'!BV33-'Cuenta Ahorro-Inversión-Financi'!BO33-'Cuenta Ahorro-Inversión-Financi'!BP33)/1000/'PIB corriente base 2004'!X21)</f>
        <v>1.2323359551044286E-2</v>
      </c>
      <c r="AV73" s="455">
        <f>('Cuenta Ahorro-Inversión-Financi'!BR33)/1000/'PIB corriente base 2004'!X21</f>
        <v>2.9707973317415659E-3</v>
      </c>
      <c r="AX73" s="455"/>
    </row>
    <row r="74" spans="1:68" ht="14.45" customHeight="1">
      <c r="S74" s="1">
        <f t="shared" si="16"/>
        <v>1998</v>
      </c>
      <c r="T74" s="688">
        <v>3797640.46271228</v>
      </c>
      <c r="U74" s="455">
        <f>T74/'PIB corriente base 1993'!V13/1000</f>
        <v>1.2703332712976436E-2</v>
      </c>
      <c r="V74" s="1" t="s">
        <v>986</v>
      </c>
      <c r="AT74" s="657"/>
      <c r="AU74" s="657"/>
      <c r="AV74" s="319"/>
    </row>
    <row r="75" spans="1:68" ht="14.45" customHeight="1">
      <c r="S75" s="1">
        <f t="shared" si="16"/>
        <v>1999</v>
      </c>
      <c r="T75" s="694">
        <v>3702544.4745262102</v>
      </c>
      <c r="U75" s="455">
        <f>T75/'PIB corriente base 1993'!V14/1000</f>
        <v>1.3059061033359241E-2</v>
      </c>
      <c r="V75" s="695">
        <v>2996491748.4299998</v>
      </c>
      <c r="W75" s="695">
        <v>2996491748.4299998</v>
      </c>
      <c r="X75" s="1" t="s">
        <v>987</v>
      </c>
      <c r="AV75" s="319"/>
    </row>
    <row r="76" spans="1:68" ht="52.5" customHeight="1">
      <c r="S76" s="1">
        <f t="shared" si="16"/>
        <v>2000</v>
      </c>
      <c r="T76" s="688">
        <v>3765213.6844696002</v>
      </c>
      <c r="U76" s="455">
        <f>T76/'PIB corriente base 1993'!V15/1000</f>
        <v>1.3248290446669305E-2</v>
      </c>
      <c r="V76" s="695">
        <f>W76-CM33*1000</f>
        <v>41459332690.190002</v>
      </c>
      <c r="W76" s="695">
        <v>43471551159.650002</v>
      </c>
      <c r="X76" s="1" t="s">
        <v>988</v>
      </c>
      <c r="AV76" s="319"/>
      <c r="BC76" s="1" t="s">
        <v>989</v>
      </c>
    </row>
    <row r="77" spans="1:68" ht="14.45" customHeight="1">
      <c r="S77" s="1">
        <f t="shared" si="16"/>
        <v>2001</v>
      </c>
      <c r="T77" s="694">
        <v>3343942.4563130699</v>
      </c>
      <c r="U77" s="455">
        <f>T77/'PIB corriente base 1993'!V16/1000</f>
        <v>1.2445044343194069E-2</v>
      </c>
      <c r="V77" s="695">
        <f>W77-CM34*1000</f>
        <v>74162737535.269989</v>
      </c>
      <c r="W77" s="804">
        <v>79630981548.319992</v>
      </c>
      <c r="X77" s="319" t="s">
        <v>1134</v>
      </c>
      <c r="AV77" s="319"/>
    </row>
    <row r="78" spans="1:68" ht="14.45" customHeight="1">
      <c r="S78" s="1">
        <f t="shared" si="16"/>
        <v>2002</v>
      </c>
      <c r="T78" s="688">
        <v>3012321.7327098199</v>
      </c>
      <c r="U78" s="455">
        <f>T78/'PIB corriente base 1993'!V17/1000</f>
        <v>9.6369580470071613E-3</v>
      </c>
      <c r="AV78" s="319"/>
    </row>
    <row r="79" spans="1:68" ht="14.45" customHeight="1">
      <c r="S79" s="1">
        <f t="shared" si="16"/>
        <v>2003</v>
      </c>
      <c r="T79" s="694">
        <v>4436735.1619749302</v>
      </c>
      <c r="U79" s="455">
        <f>T79/'PIB corriente base 1993'!V18/1000</f>
        <v>1.1802672712088732E-2</v>
      </c>
      <c r="V79" s="1" t="s">
        <v>1135</v>
      </c>
      <c r="AV79" s="669"/>
      <c r="AW79" s="669"/>
      <c r="AX79" s="669"/>
      <c r="AY79" s="669"/>
      <c r="AZ79" s="669"/>
      <c r="BA79" s="669"/>
      <c r="BB79" s="669"/>
      <c r="BC79" s="669"/>
      <c r="BD79" s="669"/>
      <c r="BE79" s="669"/>
      <c r="BF79" s="669"/>
      <c r="BG79" s="669"/>
    </row>
    <row r="80" spans="1:68" ht="14.45" customHeight="1">
      <c r="S80" s="1">
        <f t="shared" si="16"/>
        <v>2004</v>
      </c>
      <c r="T80" s="688">
        <v>6613425.9880671101</v>
      </c>
      <c r="U80" s="455">
        <f>T80/1000/'PIB corriente base 2004'!X8</f>
        <v>1.3632691904897862E-2</v>
      </c>
      <c r="AV80" s="669"/>
      <c r="AW80" s="696" t="s">
        <v>990</v>
      </c>
      <c r="AX80" s="697" t="s">
        <v>991</v>
      </c>
      <c r="AY80" s="697" t="s">
        <v>992</v>
      </c>
      <c r="AZ80" s="697" t="s">
        <v>993</v>
      </c>
      <c r="BA80" s="669"/>
      <c r="BB80" s="669"/>
      <c r="BC80" s="669"/>
      <c r="BD80" s="669"/>
      <c r="BE80" s="669"/>
      <c r="BF80" s="669"/>
      <c r="BG80" s="669"/>
    </row>
    <row r="81" spans="5:59" ht="14.45" customHeight="1">
      <c r="S81" s="1">
        <f t="shared" si="16"/>
        <v>2005</v>
      </c>
      <c r="T81" s="694">
        <v>8146311.5044247797</v>
      </c>
      <c r="U81" s="455">
        <f>T81/1000/'PIB corriente base 2004'!X9</f>
        <v>1.3984167704151371E-2</v>
      </c>
      <c r="AV81" s="674">
        <v>1993</v>
      </c>
      <c r="AW81" s="675">
        <f>'Cuenta Ahorro-Inversión-Financi'!AX42</f>
        <v>-7.6345564120698442E-3</v>
      </c>
      <c r="AX81" s="675">
        <f>'Cuenta Ahorro-Inversión-Financi'!AY42</f>
        <v>-4.4606927546389334E-4</v>
      </c>
      <c r="AY81" s="675"/>
      <c r="AZ81" s="669"/>
      <c r="BA81" s="669"/>
      <c r="BB81" s="669"/>
      <c r="BC81" s="669"/>
      <c r="BD81" s="669"/>
      <c r="BE81" s="669"/>
      <c r="BF81" s="669"/>
      <c r="BG81" s="669"/>
    </row>
    <row r="82" spans="5:59" ht="14.45" customHeight="1">
      <c r="S82" s="1">
        <f t="shared" si="16"/>
        <v>2006</v>
      </c>
      <c r="T82" s="688">
        <v>10103645.425059101</v>
      </c>
      <c r="U82" s="455">
        <f>T82/1000/'PIB corriente base 2004'!X10</f>
        <v>1.4113123533386781E-2</v>
      </c>
      <c r="AV82" s="680">
        <v>1994</v>
      </c>
      <c r="AW82" s="678">
        <f>'Cuenta Ahorro-Inversión-Financi'!AX43</f>
        <v>-1.6623826172002941E-2</v>
      </c>
      <c r="AX82" s="678">
        <f>'Cuenta Ahorro-Inversión-Financi'!AY43</f>
        <v>-1.3085329461061546E-2</v>
      </c>
      <c r="AY82" s="678"/>
      <c r="AZ82" s="669"/>
      <c r="BA82" s="669"/>
      <c r="BB82" s="669"/>
      <c r="BC82" s="669"/>
      <c r="BD82" s="669"/>
      <c r="BE82" s="669"/>
      <c r="BF82" s="669"/>
      <c r="BG82" s="669"/>
    </row>
    <row r="83" spans="5:59" ht="14.45" customHeight="1">
      <c r="S83" s="1">
        <f t="shared" si="16"/>
        <v>2007</v>
      </c>
      <c r="T83" s="694">
        <v>13371549.19129</v>
      </c>
      <c r="U83" s="455">
        <f>T83/1000/'PIB corriente base 2004'!X11</f>
        <v>1.4907296256715387E-2</v>
      </c>
      <c r="AV83" s="680">
        <v>1995</v>
      </c>
      <c r="AW83" s="675">
        <f>'Cuenta Ahorro-Inversión-Financi'!AX44</f>
        <v>-1.1332537754519097E-2</v>
      </c>
      <c r="AX83" s="675">
        <f>'Cuenta Ahorro-Inversión-Financi'!AY44</f>
        <v>-6.3793495975881928E-3</v>
      </c>
      <c r="AY83" s="675"/>
      <c r="AZ83" s="669"/>
      <c r="BA83" s="669"/>
      <c r="BB83" s="669"/>
      <c r="BC83" s="669"/>
      <c r="BD83" s="669"/>
      <c r="BE83" s="669"/>
      <c r="BF83" s="669"/>
      <c r="BG83" s="669"/>
    </row>
    <row r="84" spans="5:59" ht="14.45" customHeight="1">
      <c r="S84" s="1">
        <f t="shared" si="16"/>
        <v>2008</v>
      </c>
      <c r="T84" s="688">
        <v>16753835.759500001</v>
      </c>
      <c r="U84" s="455">
        <f>T84/1000/'PIB corriente base 2004'!X12</f>
        <v>1.4573037647607418E-2</v>
      </c>
      <c r="AV84" s="680">
        <v>1996</v>
      </c>
      <c r="AW84" s="678">
        <f>'Cuenta Ahorro-Inversión-Financi'!AX45</f>
        <v>-9.6999596370404492E-3</v>
      </c>
      <c r="AX84" s="678">
        <f>'Cuenta Ahorro-Inversión-Financi'!AY45</f>
        <v>-5.2873047307913854E-3</v>
      </c>
      <c r="AY84" s="678"/>
      <c r="AZ84" s="669"/>
      <c r="BA84" s="669"/>
      <c r="BB84" s="669"/>
      <c r="BC84" s="669"/>
      <c r="BD84" s="669"/>
      <c r="BE84" s="669"/>
      <c r="BF84" s="669"/>
      <c r="BG84" s="669"/>
    </row>
    <row r="85" spans="5:59" ht="14.45" customHeight="1">
      <c r="S85" s="1">
        <f t="shared" si="16"/>
        <v>2009</v>
      </c>
      <c r="T85" s="694">
        <v>18241431.126400001</v>
      </c>
      <c r="U85" s="455">
        <f>T85/1000/'PIB corriente base 2004'!X13</f>
        <v>1.4617359798054399E-2</v>
      </c>
      <c r="AV85" s="680">
        <v>1997</v>
      </c>
      <c r="AW85" s="675">
        <f>'Cuenta Ahorro-Inversión-Financi'!AX46</f>
        <v>-8.2249083147974272E-3</v>
      </c>
      <c r="AX85" s="675">
        <f>'Cuenta Ahorro-Inversión-Financi'!AY46</f>
        <v>-3.155945288112247E-3</v>
      </c>
      <c r="AY85" s="675"/>
      <c r="AZ85" s="669"/>
      <c r="BA85" s="669"/>
      <c r="BB85" s="669"/>
      <c r="BC85" s="669"/>
      <c r="BD85" s="669"/>
      <c r="BE85" s="669"/>
      <c r="BF85" s="669"/>
      <c r="BG85" s="669"/>
    </row>
    <row r="86" spans="5:59" ht="14.45" customHeight="1">
      <c r="S86" s="1">
        <f t="shared" si="16"/>
        <v>2010</v>
      </c>
      <c r="T86" s="688">
        <v>24500782.058370002</v>
      </c>
      <c r="U86" s="455">
        <f>T86/1000/'PIB corriente base 2004'!X14</f>
        <v>1.4744221894204591E-2</v>
      </c>
      <c r="AV86" s="680">
        <v>1998</v>
      </c>
      <c r="AW86" s="678">
        <f>'Cuenta Ahorro-Inversión-Financi'!AX47</f>
        <v>-7.1826600590303644E-3</v>
      </c>
      <c r="AX86" s="678">
        <f>'Cuenta Ahorro-Inversión-Financi'!AY47</f>
        <v>-2.6600621239856077E-3</v>
      </c>
      <c r="AY86" s="678"/>
      <c r="AZ86" s="669"/>
      <c r="BA86" s="669"/>
      <c r="BB86" s="669"/>
      <c r="BC86" s="669"/>
      <c r="BD86" s="669"/>
      <c r="BE86" s="669"/>
      <c r="BF86" s="669"/>
      <c r="BG86" s="669"/>
    </row>
    <row r="87" spans="5:59" ht="14.45" customHeight="1">
      <c r="S87" s="1">
        <f t="shared" si="16"/>
        <v>2011</v>
      </c>
      <c r="T87" s="694">
        <v>32436095.457979999</v>
      </c>
      <c r="U87" s="455">
        <f>T87/1000/'PIB corriente base 2004'!X15</f>
        <v>1.4885606544660829E-2</v>
      </c>
      <c r="AV87" s="680">
        <v>1999</v>
      </c>
      <c r="AW87" s="675">
        <f>'Cuenta Ahorro-Inversión-Financi'!AX48</f>
        <v>-1.2137170742734994E-2</v>
      </c>
      <c r="AX87" s="675">
        <f>'Cuenta Ahorro-Inversión-Financi'!AY48</f>
        <v>-7.7596880146274961E-3</v>
      </c>
      <c r="AY87" s="675"/>
      <c r="AZ87" s="669"/>
      <c r="BA87" s="669"/>
      <c r="BB87" s="669"/>
      <c r="BC87" s="669"/>
      <c r="BD87" s="669"/>
      <c r="BE87" s="669"/>
      <c r="BF87" s="669"/>
      <c r="BG87" s="669"/>
    </row>
    <row r="88" spans="5:59" ht="14.45" customHeight="1">
      <c r="S88" s="1">
        <f t="shared" si="16"/>
        <v>2012</v>
      </c>
      <c r="T88" s="688">
        <v>41041468.205289997</v>
      </c>
      <c r="U88" s="455">
        <f>T88/1000/'PIB corriente base 2004'!X16</f>
        <v>1.5558304996599112E-2</v>
      </c>
      <c r="AV88" s="680">
        <v>2000</v>
      </c>
      <c r="AW88" s="678">
        <f>'Cuenta Ahorro-Inversión-Financi'!AX49</f>
        <v>-1.1563041471358039E-2</v>
      </c>
      <c r="AX88" s="678">
        <f>'Cuenta Ahorro-Inversión-Financi'!AY49</f>
        <v>-6.7385444537740782E-3</v>
      </c>
      <c r="AY88" s="678"/>
      <c r="AZ88" s="669"/>
      <c r="BA88" s="669"/>
      <c r="BB88" s="669"/>
      <c r="BC88" s="669"/>
      <c r="BD88" s="669"/>
      <c r="BE88" s="669"/>
      <c r="BF88" s="669"/>
      <c r="BG88" s="669"/>
    </row>
    <row r="89" spans="5:59" ht="14.45" customHeight="1">
      <c r="S89" s="1">
        <f t="shared" si="16"/>
        <v>2013</v>
      </c>
      <c r="T89" s="694">
        <v>53287660.804920003</v>
      </c>
      <c r="U89" s="455">
        <f>T89/1000/'PIB corriente base 2004'!X17</f>
        <v>1.5914800261768496E-2</v>
      </c>
      <c r="V89" s="455">
        <f>AVERAGE(U84:U93)</f>
        <v>1.5319511879088126E-2</v>
      </c>
      <c r="AV89" s="680">
        <v>2001</v>
      </c>
      <c r="AW89" s="675">
        <f>'Cuenta Ahorro-Inversión-Financi'!AX50</f>
        <v>-1.4103799621331098E-2</v>
      </c>
      <c r="AX89" s="675">
        <f>'Cuenta Ahorro-Inversión-Financi'!AY50</f>
        <v>-1.0164928737260199E-2</v>
      </c>
      <c r="AY89" s="675"/>
      <c r="AZ89" s="669"/>
      <c r="BA89" s="669"/>
      <c r="BB89" s="669"/>
      <c r="BC89" s="669"/>
      <c r="BD89" s="669"/>
      <c r="BE89" s="669"/>
      <c r="BF89" s="669"/>
      <c r="BG89" s="669"/>
    </row>
    <row r="90" spans="5:59" ht="14.45" customHeight="1">
      <c r="S90" s="1">
        <f t="shared" si="16"/>
        <v>2014</v>
      </c>
      <c r="T90" s="688">
        <v>72676066.207440004</v>
      </c>
      <c r="U90" s="455">
        <f>T90/1000/'PIB corriente base 2004'!X18</f>
        <v>1.5871302582137044E-2</v>
      </c>
      <c r="AV90" s="680">
        <v>2002</v>
      </c>
      <c r="AW90" s="678">
        <f>'Cuenta Ahorro-Inversión-Financi'!AX51</f>
        <v>-1.4278091906323044E-2</v>
      </c>
      <c r="AX90" s="678">
        <f>'Cuenta Ahorro-Inversión-Financi'!AY51</f>
        <v>-1.1439861798283517E-2</v>
      </c>
      <c r="AY90" s="678"/>
      <c r="AZ90" s="669"/>
      <c r="BA90" s="627"/>
      <c r="BB90" s="669"/>
      <c r="BC90" s="669"/>
      <c r="BD90" s="669"/>
      <c r="BE90" s="669"/>
      <c r="BF90" s="669"/>
      <c r="BG90" s="669"/>
    </row>
    <row r="91" spans="5:59" ht="39.200000000000003" customHeight="1">
      <c r="S91" s="1">
        <f t="shared" si="16"/>
        <v>2015</v>
      </c>
      <c r="T91" s="694">
        <v>95600316.127979994</v>
      </c>
      <c r="U91" s="455">
        <f>T91/1000/'PIB corriente base 2004'!X19</f>
        <v>1.6055108102521049E-2</v>
      </c>
      <c r="AV91" s="680">
        <v>2003</v>
      </c>
      <c r="AW91" s="675">
        <f>'Cuenta Ahorro-Inversión-Financi'!AX52</f>
        <v>-9.9335712453030856E-3</v>
      </c>
      <c r="AX91" s="675">
        <f>'Cuenta Ahorro-Inversión-Financi'!AY52</f>
        <v>-4.9270739941502687E-3</v>
      </c>
      <c r="AY91" s="675"/>
      <c r="AZ91" s="669"/>
      <c r="BA91" s="669"/>
      <c r="BB91" s="669"/>
      <c r="BC91" s="669"/>
      <c r="BD91" s="669"/>
      <c r="BE91" s="669"/>
      <c r="BF91" s="669"/>
      <c r="BG91" s="669"/>
    </row>
    <row r="92" spans="5:59" ht="14.45" customHeight="1">
      <c r="S92" s="1">
        <f t="shared" si="16"/>
        <v>2016</v>
      </c>
      <c r="T92" s="688">
        <v>126199197.124</v>
      </c>
      <c r="U92" s="455">
        <f>T92/1000/'PIB corriente base 2004'!X20</f>
        <v>1.5337475684188417E-2</v>
      </c>
      <c r="V92" s="455">
        <f>U92*12/15</f>
        <v>1.2269980547350734E-2</v>
      </c>
      <c r="W92" s="455">
        <f>V92-V89</f>
        <v>-3.0495313317373922E-3</v>
      </c>
      <c r="AV92" s="680">
        <v>2004</v>
      </c>
      <c r="AW92" s="678">
        <f>'Cuenta Ahorro-Inversión-Financi'!AX53</f>
        <v>-3.2607252366677608E-3</v>
      </c>
      <c r="AX92" s="678">
        <f>'Cuenta Ahorro-Inversión-Financi'!AY53</f>
        <v>3.821332457194633E-3</v>
      </c>
      <c r="AY92" s="678"/>
      <c r="AZ92" s="669"/>
      <c r="BA92" s="669"/>
      <c r="BB92" s="669"/>
      <c r="BC92" s="669"/>
      <c r="BD92" s="669"/>
      <c r="BE92" s="669"/>
      <c r="BF92" s="669"/>
      <c r="BG92" s="669"/>
    </row>
    <row r="93" spans="5:59" ht="14.45" customHeight="1">
      <c r="S93" s="1">
        <f t="shared" si="16"/>
        <v>2017</v>
      </c>
      <c r="T93" s="694">
        <v>166462000</v>
      </c>
      <c r="U93" s="455">
        <f>T93/1000/'PIB corriente base 2004'!X21</f>
        <v>1.5637901279139936E-2</v>
      </c>
      <c r="V93" s="455">
        <f>U93*9/15</f>
        <v>9.3827407674839623E-3</v>
      </c>
      <c r="W93" s="455">
        <f>V93-V89</f>
        <v>-5.9367711116041638E-3</v>
      </c>
      <c r="AV93" s="680">
        <v>2005</v>
      </c>
      <c r="AW93" s="675">
        <f>'Cuenta Ahorro-Inversión-Financi'!AX54</f>
        <v>-4.1302541031230239E-4</v>
      </c>
      <c r="AX93" s="675">
        <f>'Cuenta Ahorro-Inversión-Financi'!AY54</f>
        <v>7.5776910275119763E-3</v>
      </c>
      <c r="AY93" s="675"/>
      <c r="AZ93" s="669"/>
      <c r="BA93" s="669"/>
      <c r="BB93" s="669"/>
      <c r="BC93" s="669"/>
      <c r="BD93" s="669"/>
      <c r="BE93" s="669"/>
      <c r="BF93" s="669"/>
      <c r="BG93" s="669"/>
    </row>
    <row r="94" spans="5:59" ht="14.45" customHeight="1">
      <c r="E94" s="810" t="s">
        <v>775</v>
      </c>
      <c r="F94" s="811" t="s">
        <v>939</v>
      </c>
      <c r="G94" s="811" t="s">
        <v>941</v>
      </c>
      <c r="H94" s="811" t="s">
        <v>942</v>
      </c>
      <c r="I94" s="812" t="s">
        <v>949</v>
      </c>
      <c r="J94" s="812" t="s">
        <v>951</v>
      </c>
      <c r="K94" s="812" t="s">
        <v>952</v>
      </c>
      <c r="L94" s="808" t="s">
        <v>966</v>
      </c>
      <c r="M94" s="808" t="s">
        <v>967</v>
      </c>
      <c r="V94" s="455">
        <f>V89*6/15</f>
        <v>6.1278047516352503E-3</v>
      </c>
      <c r="W94" s="455">
        <f>V94-V89</f>
        <v>-9.191707127452875E-3</v>
      </c>
      <c r="Z94" s="810" t="s">
        <v>994</v>
      </c>
      <c r="AA94" s="808" t="s">
        <v>995</v>
      </c>
      <c r="AB94" s="808" t="s">
        <v>996</v>
      </c>
      <c r="AV94" s="680">
        <v>2006</v>
      </c>
      <c r="AW94" s="678">
        <f>'Cuenta Ahorro-Inversión-Financi'!AX55</f>
        <v>1.328519025911877E-3</v>
      </c>
      <c r="AX94" s="678">
        <f>'Cuenta Ahorro-Inversión-Financi'!AY55</f>
        <v>9.177918317369374E-3</v>
      </c>
      <c r="AY94" s="678"/>
      <c r="AZ94" s="669"/>
      <c r="BA94" s="669"/>
      <c r="BB94" s="669"/>
      <c r="BC94" s="669"/>
      <c r="BD94" s="669"/>
      <c r="BE94" s="669"/>
      <c r="BF94" s="669"/>
      <c r="BG94" s="669"/>
    </row>
    <row r="95" spans="5:59" ht="14.45" customHeight="1">
      <c r="E95" s="810"/>
      <c r="F95" s="811"/>
      <c r="G95" s="811"/>
      <c r="H95" s="811"/>
      <c r="I95" s="812"/>
      <c r="J95" s="812"/>
      <c r="K95" s="812"/>
      <c r="L95" s="808"/>
      <c r="M95" s="808"/>
      <c r="V95" s="455">
        <f>V89*3/15</f>
        <v>3.0639023758176251E-3</v>
      </c>
      <c r="W95" s="455">
        <f>V95-V89</f>
        <v>-1.2255609503270501E-2</v>
      </c>
      <c r="Z95" s="810"/>
      <c r="AA95" s="808"/>
      <c r="AB95" s="808"/>
      <c r="AV95" s="680">
        <v>2007</v>
      </c>
      <c r="AW95" s="675">
        <f>'Cuenta Ahorro-Inversión-Financi'!AX56</f>
        <v>2.8839654610723145E-3</v>
      </c>
      <c r="AX95" s="675">
        <f>'Cuenta Ahorro-Inversión-Financi'!AY56</f>
        <v>1.0847029369291347E-2</v>
      </c>
      <c r="AY95" s="675"/>
      <c r="AZ95" s="669"/>
      <c r="BA95" s="669"/>
      <c r="BB95" s="669"/>
      <c r="BC95" s="669"/>
      <c r="BD95" s="669"/>
      <c r="BE95" s="669"/>
      <c r="BF95" s="669"/>
      <c r="BG95" s="669"/>
    </row>
    <row r="96" spans="5:59" ht="14.45" customHeight="1">
      <c r="E96" s="698">
        <v>1993</v>
      </c>
      <c r="F96" s="699">
        <v>4.5352832912548997E-2</v>
      </c>
      <c r="G96" s="699">
        <v>1.3557588672157301E-3</v>
      </c>
      <c r="H96" s="699">
        <v>5.8134750471197698E-2</v>
      </c>
      <c r="I96" s="700">
        <v>5.26370931910582E-2</v>
      </c>
      <c r="J96" s="700">
        <v>1.1642303700453001E-2</v>
      </c>
      <c r="K96" s="700">
        <v>6.57693068832675E-2</v>
      </c>
      <c r="L96" s="701">
        <f>'Cuenta Ahorro-Inversión-Financi'!H96-'Cuenta Ahorro-Inversión-Financi'!G96-'Cuenta Ahorro-Inversión-Financi'!K96</f>
        <v>-8.9903152792855309E-3</v>
      </c>
      <c r="M96" s="701">
        <f>'Cuenta Ahorro-Inversión-Financi'!L96+'Cuenta Ahorro-Inversión-Financi'!G96</f>
        <v>-7.6345564120698008E-3</v>
      </c>
      <c r="V96" s="1">
        <v>0</v>
      </c>
      <c r="W96" s="455">
        <f>V96-V89</f>
        <v>-1.5319511879088126E-2</v>
      </c>
      <c r="Z96" s="698">
        <v>1993</v>
      </c>
      <c r="AA96" s="701"/>
      <c r="AB96" s="701">
        <f>'Cuenta Ahorro-Inversión-Financi'!M96</f>
        <v>-7.6345564120698008E-3</v>
      </c>
      <c r="AV96" s="680">
        <v>2008</v>
      </c>
      <c r="AW96" s="678">
        <f>'Cuenta Ahorro-Inversión-Financi'!AX57</f>
        <v>-1.4896904491108753E-4</v>
      </c>
      <c r="AX96" s="678">
        <f>'Cuenta Ahorro-Inversión-Financi'!AY57</f>
        <v>5.7024545724605E-3</v>
      </c>
      <c r="AY96" s="678">
        <f>'Cuenta Ahorro-Inversión-Financi'!AZ57</f>
        <v>4.730474022095893E-3</v>
      </c>
      <c r="AZ96" s="669"/>
      <c r="BA96" s="669"/>
      <c r="BB96" s="669"/>
      <c r="BC96" s="669"/>
      <c r="BD96" s="669"/>
      <c r="BE96" s="669"/>
      <c r="BF96" s="669"/>
      <c r="BG96" s="669"/>
    </row>
    <row r="97" spans="5:70" ht="14.45" customHeight="1">
      <c r="E97" s="698">
        <v>1994</v>
      </c>
      <c r="F97" s="702">
        <v>4.1240641070148701E-2</v>
      </c>
      <c r="G97" s="702">
        <v>9.5319509687930804E-5</v>
      </c>
      <c r="H97" s="702">
        <v>5.3422879159922797E-2</v>
      </c>
      <c r="I97" s="702">
        <v>5.6464426220353497E-2</v>
      </c>
      <c r="J97" s="702">
        <v>1.2436021103775299E-2</v>
      </c>
      <c r="K97" s="702">
        <v>7.0046705331925696E-2</v>
      </c>
      <c r="L97" s="702">
        <f>'Cuenta Ahorro-Inversión-Financi'!H97-'Cuenta Ahorro-Inversión-Financi'!G97-'Cuenta Ahorro-Inversión-Financi'!K97</f>
        <v>-1.6719145681690833E-2</v>
      </c>
      <c r="M97" s="702">
        <f>'Cuenta Ahorro-Inversión-Financi'!L97+'Cuenta Ahorro-Inversión-Financi'!G97</f>
        <v>-1.6623826172002903E-2</v>
      </c>
      <c r="Z97" s="698">
        <v>1994</v>
      </c>
      <c r="AA97" s="702"/>
      <c r="AB97" s="702">
        <f>'Cuenta Ahorro-Inversión-Financi'!M97</f>
        <v>-1.6623826172002903E-2</v>
      </c>
      <c r="AV97" s="680">
        <v>2009</v>
      </c>
      <c r="AW97" s="675">
        <f>'Cuenta Ahorro-Inversión-Financi'!AX58</f>
        <v>6.9701353098423346E-3</v>
      </c>
      <c r="AX97" s="675">
        <f>'Cuenta Ahorro-Inversión-Financi'!AY58</f>
        <v>1.027980357095927E-2</v>
      </c>
      <c r="AY97" s="675">
        <f>'Cuenta Ahorro-Inversión-Financi'!AZ58</f>
        <v>3.4788465677864115E-3</v>
      </c>
      <c r="AZ97" s="669"/>
      <c r="BA97" s="669"/>
      <c r="BB97" s="669"/>
      <c r="BC97" s="669"/>
      <c r="BD97" s="669"/>
      <c r="BE97" s="669"/>
      <c r="BF97" s="669"/>
      <c r="BG97" s="669"/>
    </row>
    <row r="98" spans="5:70" ht="14.45" customHeight="1">
      <c r="E98" s="698">
        <v>1995</v>
      </c>
      <c r="F98" s="699">
        <v>3.6716284226292702E-2</v>
      </c>
      <c r="G98" s="699">
        <v>3.1697520672467901E-5</v>
      </c>
      <c r="H98" s="699">
        <v>4.8860165800483302E-2</v>
      </c>
      <c r="I98" s="700">
        <v>5.3644670399752202E-2</v>
      </c>
      <c r="J98" s="700">
        <v>5.3558798829898904E-3</v>
      </c>
      <c r="K98" s="700">
        <v>6.0192703555002398E-2</v>
      </c>
      <c r="L98" s="701">
        <f>'Cuenta Ahorro-Inversión-Financi'!H98-'Cuenta Ahorro-Inversión-Financi'!G98-'Cuenta Ahorro-Inversión-Financi'!K98</f>
        <v>-1.1364235275191564E-2</v>
      </c>
      <c r="M98" s="701">
        <f>'Cuenta Ahorro-Inversión-Financi'!L98+'Cuenta Ahorro-Inversión-Financi'!G98</f>
        <v>-1.1332537754519097E-2</v>
      </c>
      <c r="Z98" s="698">
        <v>1995</v>
      </c>
      <c r="AA98" s="701"/>
      <c r="AB98" s="701">
        <f>'Cuenta Ahorro-Inversión-Financi'!M98</f>
        <v>-1.1332537754519097E-2</v>
      </c>
      <c r="AV98" s="680">
        <v>2010</v>
      </c>
      <c r="AW98" s="678">
        <f>'Cuenta Ahorro-Inversión-Financi'!AX59</f>
        <v>5.9626408644446738E-3</v>
      </c>
      <c r="AX98" s="678">
        <f>'Cuenta Ahorro-Inversión-Financi'!AY59</f>
        <v>9.3567549086329225E-3</v>
      </c>
      <c r="AY98" s="678">
        <f>'Cuenta Ahorro-Inversión-Financi'!AZ59</f>
        <v>4.1123559159342866E-3</v>
      </c>
      <c r="AZ98" s="669"/>
      <c r="BA98" s="669"/>
      <c r="BB98" s="669"/>
      <c r="BC98" s="669"/>
      <c r="BD98" s="669"/>
      <c r="BE98" s="669"/>
      <c r="BF98" s="669"/>
      <c r="BG98" s="669"/>
    </row>
    <row r="99" spans="5:70" ht="14.45" customHeight="1">
      <c r="E99" s="698">
        <v>1996</v>
      </c>
      <c r="F99" s="703">
        <v>3.6384675884464902E-2</v>
      </c>
      <c r="G99" s="703">
        <v>1.16523274740473E-4</v>
      </c>
      <c r="H99" s="703">
        <v>5.1175331166954302E-2</v>
      </c>
      <c r="I99" s="702">
        <v>5.3162252663224503E-2</v>
      </c>
      <c r="J99" s="702">
        <v>6.00272468782676E-3</v>
      </c>
      <c r="K99" s="702">
        <v>6.08752908039948E-2</v>
      </c>
      <c r="L99" s="702">
        <f>'Cuenta Ahorro-Inversión-Financi'!H99-'Cuenta Ahorro-Inversión-Financi'!G99-'Cuenta Ahorro-Inversión-Financi'!K99</f>
        <v>-9.8164829117809715E-3</v>
      </c>
      <c r="M99" s="702">
        <f>'Cuenta Ahorro-Inversión-Financi'!L99+'Cuenta Ahorro-Inversión-Financi'!G99</f>
        <v>-9.6999596370404978E-3</v>
      </c>
      <c r="Z99" s="698">
        <v>1996</v>
      </c>
      <c r="AA99" s="702"/>
      <c r="AB99" s="702">
        <f>'Cuenta Ahorro-Inversión-Financi'!M99</f>
        <v>-9.6999596370404978E-3</v>
      </c>
      <c r="AV99" s="680">
        <v>2011</v>
      </c>
      <c r="AW99" s="675">
        <f>'Cuenta Ahorro-Inversión-Financi'!AX60</f>
        <v>6.5739529694240073E-3</v>
      </c>
      <c r="AX99" s="675">
        <f>'Cuenta Ahorro-Inversión-Financi'!AY60</f>
        <v>8.3289611368086401E-3</v>
      </c>
      <c r="AY99" s="675">
        <f>'Cuenta Ahorro-Inversión-Financi'!AZ60</f>
        <v>3.2630790588100951E-3</v>
      </c>
      <c r="AZ99" s="669"/>
      <c r="BA99" s="669"/>
      <c r="BB99" s="669"/>
      <c r="BC99" s="669"/>
      <c r="BD99" s="669"/>
      <c r="BE99" s="669"/>
      <c r="BF99" s="669"/>
      <c r="BG99" s="669"/>
    </row>
    <row r="100" spans="5:70" ht="14.45" customHeight="1">
      <c r="E100" s="698">
        <v>1997</v>
      </c>
      <c r="F100" s="699">
        <v>3.4958159978124202E-2</v>
      </c>
      <c r="G100" s="699">
        <v>1.08303900462984E-4</v>
      </c>
      <c r="H100" s="699">
        <v>4.8375687457096E-2</v>
      </c>
      <c r="I100" s="704">
        <v>5.0065966686067401E-2</v>
      </c>
      <c r="J100" s="704">
        <v>5.3990300658729503E-3</v>
      </c>
      <c r="K100" s="704">
        <v>5.6600595771893497E-2</v>
      </c>
      <c r="L100" s="701">
        <f>'Cuenta Ahorro-Inversión-Financi'!H100-'Cuenta Ahorro-Inversión-Financi'!G100-'Cuenta Ahorro-Inversión-Financi'!K100</f>
        <v>-8.3332122152604826E-3</v>
      </c>
      <c r="M100" s="701">
        <f>'Cuenta Ahorro-Inversión-Financi'!L100+'Cuenta Ahorro-Inversión-Financi'!G100</f>
        <v>-8.2249083147974984E-3</v>
      </c>
      <c r="Z100" s="698">
        <v>1997</v>
      </c>
      <c r="AA100" s="701"/>
      <c r="AB100" s="701">
        <f>'Cuenta Ahorro-Inversión-Financi'!M100</f>
        <v>-8.2249083147974984E-3</v>
      </c>
      <c r="AV100" s="680">
        <v>2012</v>
      </c>
      <c r="AW100" s="678">
        <f>'Cuenta Ahorro-Inversión-Financi'!AX61</f>
        <v>6.2238509474356607E-3</v>
      </c>
      <c r="AX100" s="678">
        <f>'Cuenta Ahorro-Inversión-Financi'!AY61</f>
        <v>7.6285141707651705E-3</v>
      </c>
      <c r="AY100" s="678">
        <f>'Cuenta Ahorro-Inversión-Financi'!AZ61</f>
        <v>1.0516175102900241E-3</v>
      </c>
      <c r="AZ100" s="669"/>
      <c r="BA100" s="669"/>
      <c r="BB100" s="669"/>
      <c r="BC100" s="669"/>
      <c r="BD100" s="669"/>
      <c r="BE100" s="669"/>
      <c r="BF100" s="669"/>
      <c r="BG100" s="669"/>
    </row>
    <row r="101" spans="5:70" ht="14.45" customHeight="1">
      <c r="E101" s="698">
        <v>1998</v>
      </c>
      <c r="F101" s="702">
        <v>2.6496521923346401E-2</v>
      </c>
      <c r="G101" s="702">
        <v>4.8496305148205401E-5</v>
      </c>
      <c r="H101" s="702">
        <v>4.7802858576253701E-2</v>
      </c>
      <c r="I101" s="702">
        <v>4.9190355547857903E-2</v>
      </c>
      <c r="J101" s="702">
        <v>4.7703499305596902E-3</v>
      </c>
      <c r="K101" s="702">
        <v>5.49855186352841E-2</v>
      </c>
      <c r="L101" s="702">
        <f>'Cuenta Ahorro-Inversión-Financi'!H101-'Cuenta Ahorro-Inversión-Financi'!G101-'Cuenta Ahorro-Inversión-Financi'!K101</f>
        <v>-7.2311563641786064E-3</v>
      </c>
      <c r="M101" s="702">
        <f>'Cuenta Ahorro-Inversión-Financi'!L101+'Cuenta Ahorro-Inversión-Financi'!G101</f>
        <v>-7.1826600590304008E-3</v>
      </c>
      <c r="Z101" s="698">
        <v>1998</v>
      </c>
      <c r="AA101" s="702"/>
      <c r="AB101" s="702">
        <f>'Cuenta Ahorro-Inversión-Financi'!M101</f>
        <v>-7.1826600590304008E-3</v>
      </c>
      <c r="AV101" s="680">
        <v>2013</v>
      </c>
      <c r="AW101" s="675">
        <f>'Cuenta Ahorro-Inversión-Financi'!AX62</f>
        <v>5.034346431865025E-3</v>
      </c>
      <c r="AX101" s="675">
        <f>'Cuenta Ahorro-Inversión-Financi'!AY62</f>
        <v>5.8795781936787049E-3</v>
      </c>
      <c r="AY101" s="675">
        <f>'Cuenta Ahorro-Inversión-Financi'!AZ62</f>
        <v>-9.5166855816117626E-4</v>
      </c>
      <c r="AZ101" s="669"/>
      <c r="BA101" s="669"/>
      <c r="BB101" s="669"/>
      <c r="BC101" s="669"/>
      <c r="BD101" s="669"/>
      <c r="BE101" s="669"/>
      <c r="BF101" s="669"/>
      <c r="BG101" s="669"/>
    </row>
    <row r="102" spans="5:70" ht="14.45" customHeight="1">
      <c r="E102" s="698">
        <v>1999</v>
      </c>
      <c r="F102" s="699">
        <v>2.4905564668713801E-2</v>
      </c>
      <c r="G102" s="699">
        <v>8.9008900038115101E-6</v>
      </c>
      <c r="H102" s="699">
        <v>4.6344795790255203E-2</v>
      </c>
      <c r="I102" s="704">
        <v>5.1749690321129103E-2</v>
      </c>
      <c r="J102" s="704">
        <v>5.8732282382241404E-3</v>
      </c>
      <c r="K102" s="704">
        <v>5.8481966532990197E-2</v>
      </c>
      <c r="L102" s="701">
        <f>'Cuenta Ahorro-Inversión-Financi'!H102-'Cuenta Ahorro-Inversión-Financi'!G102-'Cuenta Ahorro-Inversión-Financi'!K102</f>
        <v>-1.2146071632738807E-2</v>
      </c>
      <c r="M102" s="701">
        <f>'Cuenta Ahorro-Inversión-Financi'!L102+'Cuenta Ahorro-Inversión-Financi'!G102</f>
        <v>-1.2137170742734996E-2</v>
      </c>
      <c r="Z102" s="698">
        <v>1999</v>
      </c>
      <c r="AA102" s="701"/>
      <c r="AB102" s="701">
        <f>'Cuenta Ahorro-Inversión-Financi'!M102</f>
        <v>-1.2137170742734996E-2</v>
      </c>
      <c r="AV102" s="680">
        <v>2014</v>
      </c>
      <c r="AW102" s="678">
        <f>'Cuenta Ahorro-Inversión-Financi'!AX63</f>
        <v>5.5319819098918616E-3</v>
      </c>
      <c r="AX102" s="678">
        <f>'Cuenta Ahorro-Inversión-Financi'!AY63</f>
        <v>7.0895515151458803E-3</v>
      </c>
      <c r="AY102" s="678">
        <f>'Cuenta Ahorro-Inversión-Financi'!AZ63</f>
        <v>-1.2928637559684597E-3</v>
      </c>
      <c r="AZ102" s="669"/>
      <c r="BA102" s="669"/>
      <c r="BB102" s="669"/>
      <c r="BC102" s="669"/>
      <c r="BD102" s="669"/>
      <c r="BE102" s="669"/>
      <c r="BF102" s="669"/>
      <c r="BG102" s="669"/>
    </row>
    <row r="103" spans="5:70" ht="14.45" customHeight="1">
      <c r="E103" s="698">
        <v>2000</v>
      </c>
      <c r="F103" s="702">
        <v>2.36198765665383E-2</v>
      </c>
      <c r="G103" s="702">
        <v>5.0805813937639202E-6</v>
      </c>
      <c r="H103" s="702">
        <v>4.7181827918230002E-2</v>
      </c>
      <c r="I103" s="702">
        <v>5.1850130065835699E-2</v>
      </c>
      <c r="J103" s="702">
        <v>6.1308401763183803E-3</v>
      </c>
      <c r="K103" s="702">
        <v>5.8744869389588103E-2</v>
      </c>
      <c r="L103" s="702">
        <f>'Cuenta Ahorro-Inversión-Financi'!H103-'Cuenta Ahorro-Inversión-Financi'!G103-'Cuenta Ahorro-Inversión-Financi'!K103</f>
        <v>-1.1568122052751866E-2</v>
      </c>
      <c r="M103" s="702">
        <f>'Cuenta Ahorro-Inversión-Financi'!L103+'Cuenta Ahorro-Inversión-Financi'!G103</f>
        <v>-1.1563041471358101E-2</v>
      </c>
      <c r="Z103" s="698">
        <v>2000</v>
      </c>
      <c r="AA103" s="702"/>
      <c r="AB103" s="702">
        <f>'Cuenta Ahorro-Inversión-Financi'!M103</f>
        <v>-1.1563041471358101E-2</v>
      </c>
      <c r="AV103" s="680">
        <v>2015</v>
      </c>
      <c r="AW103" s="675">
        <f>'Cuenta Ahorro-Inversión-Financi'!AX64</f>
        <v>-1.2593701597597706E-4</v>
      </c>
      <c r="AX103" s="675">
        <f>'Cuenta Ahorro-Inversión-Financi'!AY64</f>
        <v>1.4238762631140107E-3</v>
      </c>
      <c r="AY103" s="675">
        <f>'Cuenta Ahorro-Inversión-Financi'!AZ64</f>
        <v>-7.5073330617732078E-3</v>
      </c>
      <c r="AZ103" s="669"/>
      <c r="BA103" s="669"/>
      <c r="BB103" s="669"/>
      <c r="BC103" s="669"/>
      <c r="BD103" s="669"/>
      <c r="BE103" s="669"/>
      <c r="BF103" s="669"/>
      <c r="BG103" s="669"/>
    </row>
    <row r="104" spans="5:70" ht="14.45" customHeight="1">
      <c r="E104" s="698">
        <v>2001</v>
      </c>
      <c r="F104" s="699">
        <v>2.3875869633804898E-2</v>
      </c>
      <c r="G104" s="699">
        <v>1.27950379999639E-6</v>
      </c>
      <c r="H104" s="699">
        <v>4.5322922770782301E-2</v>
      </c>
      <c r="I104" s="704">
        <v>5.25215308255347E-2</v>
      </c>
      <c r="J104" s="704">
        <v>6.2166992059071204E-3</v>
      </c>
      <c r="K104" s="704">
        <v>5.9426722392113399E-2</v>
      </c>
      <c r="L104" s="701">
        <f>'Cuenta Ahorro-Inversión-Financi'!H104-'Cuenta Ahorro-Inversión-Financi'!G104-'Cuenta Ahorro-Inversión-Financi'!K104</f>
        <v>-1.4105079125131093E-2</v>
      </c>
      <c r="M104" s="701">
        <f>'Cuenta Ahorro-Inversión-Financi'!L104+'Cuenta Ahorro-Inversión-Financi'!G104</f>
        <v>-1.4103799621331096E-2</v>
      </c>
      <c r="Z104" s="698">
        <v>2001</v>
      </c>
      <c r="AA104" s="701"/>
      <c r="AB104" s="701">
        <f>'Cuenta Ahorro-Inversión-Financi'!M104</f>
        <v>-1.4103799621331096E-2</v>
      </c>
      <c r="AV104" s="680">
        <v>2016</v>
      </c>
      <c r="AW104" s="678">
        <f>'Cuenta Ahorro-Inversión-Financi'!AX65-'Cuenta Ahorro-Inversión-Financi'!AQ65</f>
        <v>-9.0696613047065566E-3</v>
      </c>
      <c r="AX104" s="678">
        <f>'Cuenta Ahorro-Inversión-Financi'!AY65</f>
        <v>-7.7329279831847945E-3</v>
      </c>
      <c r="AY104" s="678">
        <f>'Cuenta Ahorro-Inversión-Financi'!AZ65</f>
        <v>-1.6540512952781049E-2</v>
      </c>
      <c r="AZ104" s="678">
        <f>AY104-(AI32+CR32)/'PIB corriente base 2004'!X20/1000</f>
        <v>-2.0346799695848929E-2</v>
      </c>
      <c r="BA104" s="669"/>
      <c r="BB104" s="669"/>
      <c r="BC104" s="669"/>
      <c r="BD104" s="669"/>
      <c r="BE104" s="669"/>
      <c r="BF104" s="669"/>
      <c r="BG104" s="669"/>
      <c r="BM104" s="705"/>
    </row>
    <row r="105" spans="5:70" ht="14.45" customHeight="1">
      <c r="E105" s="698">
        <v>2002</v>
      </c>
      <c r="F105" s="702">
        <v>2.04511996433966E-2</v>
      </c>
      <c r="G105" s="702">
        <v>1.7183089538788301E-5</v>
      </c>
      <c r="H105" s="702">
        <v>3.7524103976065697E-2</v>
      </c>
      <c r="I105" s="702">
        <v>4.4342162747713201E-2</v>
      </c>
      <c r="J105" s="702">
        <v>6.7859175547552901E-3</v>
      </c>
      <c r="K105" s="702">
        <v>5.1802195882388803E-2</v>
      </c>
      <c r="L105" s="702">
        <f>'Cuenta Ahorro-Inversión-Financi'!H105-'Cuenta Ahorro-Inversión-Financi'!G105-'Cuenta Ahorro-Inversión-Financi'!K105</f>
        <v>-1.4295274995861897E-2</v>
      </c>
      <c r="M105" s="702">
        <f>'Cuenta Ahorro-Inversión-Financi'!L105+'Cuenta Ahorro-Inversión-Financi'!G105</f>
        <v>-1.4278091906323108E-2</v>
      </c>
      <c r="Z105" s="698">
        <v>2002</v>
      </c>
      <c r="AA105" s="702"/>
      <c r="AB105" s="702">
        <f>'Cuenta Ahorro-Inversión-Financi'!M105</f>
        <v>-1.4278091906323108E-2</v>
      </c>
      <c r="AV105" s="680">
        <v>2017</v>
      </c>
      <c r="AW105" s="675">
        <f>'Cuenta Ahorro-Inversión-Financi'!AX66-'Cuenta Ahorro-Inversión-Financi'!AQ66</f>
        <v>-8.6829144706794086E-3</v>
      </c>
      <c r="AX105" s="675">
        <f>'Cuenta Ahorro-Inversión-Financi'!AY66</f>
        <v>-6.1404828582900788E-3</v>
      </c>
      <c r="AY105" s="675">
        <f>'Cuenta Ahorro-Inversión-Financi'!AZ66</f>
        <v>-1.6500170398928433E-2</v>
      </c>
      <c r="AZ105" s="678">
        <f>AY105-(AI33+CR33)/'PIB corriente base 2004'!X21/1000</f>
        <v>-2.4104702008189635E-2</v>
      </c>
      <c r="BA105" s="669"/>
      <c r="BB105" s="669"/>
      <c r="BC105" s="669"/>
      <c r="BD105" s="669"/>
      <c r="BE105" s="669"/>
      <c r="BF105" s="669"/>
      <c r="BG105" s="669"/>
    </row>
    <row r="106" spans="5:70" ht="14.45" customHeight="1">
      <c r="E106" s="698">
        <v>2003</v>
      </c>
      <c r="F106" s="699">
        <v>2.0472673983102901E-2</v>
      </c>
      <c r="G106" s="699">
        <v>5.4597090170212897E-6</v>
      </c>
      <c r="H106" s="699">
        <v>4.0333721101485601E-2</v>
      </c>
      <c r="I106" s="704">
        <v>4.1415509916904097E-2</v>
      </c>
      <c r="J106" s="704">
        <v>8.1561711866091607E-3</v>
      </c>
      <c r="K106" s="704">
        <v>5.02672923467887E-2</v>
      </c>
      <c r="L106" s="701">
        <f>'Cuenta Ahorro-Inversión-Financi'!H106-'Cuenta Ahorro-Inversión-Financi'!G106-'Cuenta Ahorro-Inversión-Financi'!K106</f>
        <v>-9.9390309543201175E-3</v>
      </c>
      <c r="M106" s="701">
        <f>'Cuenta Ahorro-Inversión-Financi'!L106+'Cuenta Ahorro-Inversión-Financi'!G106</f>
        <v>-9.933571245303096E-3</v>
      </c>
      <c r="Z106" s="698">
        <v>2003</v>
      </c>
      <c r="AA106" s="701"/>
      <c r="AB106" s="701">
        <f>'Cuenta Ahorro-Inversión-Financi'!M106</f>
        <v>-9.933571245303096E-3</v>
      </c>
      <c r="AV106" s="691">
        <v>2018</v>
      </c>
      <c r="AW106" s="706">
        <f>'Cuenta Ahorro-Inversión-Financi'!AX67-'Cuenta Ahorro-Inversión-Financi'!AQ67</f>
        <v>-1.1449713256197203E-3</v>
      </c>
      <c r="AX106" s="706">
        <f>'Cuenta Ahorro-Inversión-Financi'!AY67</f>
        <v>6.4407496228680878E-3</v>
      </c>
      <c r="AY106" s="706">
        <f>'Cuenta Ahorro-Inversión-Financi'!AZ67</f>
        <v>-6.1381373118466701E-3</v>
      </c>
      <c r="AZ106" s="678">
        <f>AY106-(AI34+CR34)/'PIB corriente base 2004'!X22/1000</f>
        <v>-1.8271797800212458E-2</v>
      </c>
      <c r="BA106" s="707"/>
      <c r="BB106" s="707"/>
      <c r="BC106" s="669"/>
      <c r="BD106" s="669"/>
      <c r="BE106" s="669"/>
      <c r="BF106" s="669"/>
      <c r="BG106" s="669"/>
      <c r="BJ106" s="705"/>
      <c r="BK106" s="705"/>
      <c r="BL106" s="705"/>
    </row>
    <row r="107" spans="5:70" ht="14.45" customHeight="1">
      <c r="E107" s="698">
        <v>2004</v>
      </c>
      <c r="F107" s="702">
        <v>1.9858391039753499E-2</v>
      </c>
      <c r="G107" s="702">
        <v>2.30881062634633E-5</v>
      </c>
      <c r="H107" s="702">
        <v>4.15558561932119E-2</v>
      </c>
      <c r="I107" s="702">
        <v>3.6705450829803199E-2</v>
      </c>
      <c r="J107" s="702">
        <v>7.4909568257835804E-3</v>
      </c>
      <c r="K107" s="702">
        <v>4.4816582738732097E-2</v>
      </c>
      <c r="L107" s="702">
        <f>'Cuenta Ahorro-Inversión-Financi'!H107-'Cuenta Ahorro-Inversión-Financi'!G107-'Cuenta Ahorro-Inversión-Financi'!K107</f>
        <v>-3.2838146517836578E-3</v>
      </c>
      <c r="M107" s="702">
        <f>'Cuenta Ahorro-Inversión-Financi'!L107+'Cuenta Ahorro-Inversión-Financi'!G107</f>
        <v>-3.2607265455201944E-3</v>
      </c>
      <c r="Z107" s="698">
        <v>2004</v>
      </c>
      <c r="AA107" s="702"/>
      <c r="AB107" s="702">
        <f>'Cuenta Ahorro-Inversión-Financi'!M107</f>
        <v>-3.2607265455201944E-3</v>
      </c>
      <c r="AT107" s="454" t="s">
        <v>997</v>
      </c>
      <c r="AV107" s="691">
        <v>2019</v>
      </c>
      <c r="AW107" s="706">
        <f>'Cuenta Ahorro-Inversión-Financi'!AX68-'Cuenta Ahorro-Inversión-Financi'!AQ68</f>
        <v>-3.0460898093682964E-3</v>
      </c>
      <c r="AX107" s="706">
        <f>'Cuenta Ahorro-Inversión-Financi'!AY68</f>
        <v>-2.1474004815554351E-4</v>
      </c>
      <c r="AY107" s="706">
        <f>'Cuenta Ahorro-Inversión-Financi'!AZ68</f>
        <v>-1.4275559069379789E-2</v>
      </c>
      <c r="AZ107" s="678">
        <f>AY107-(AI35+CR35)/'PIB corriente base 2004'!X23/1000</f>
        <v>-2.8895731756698712E-2</v>
      </c>
      <c r="BJ107" s="1">
        <v>1000</v>
      </c>
    </row>
    <row r="108" spans="5:70" ht="14.45" customHeight="1">
      <c r="E108" s="698">
        <v>2005</v>
      </c>
      <c r="F108" s="699">
        <v>2.1343535905626401E-2</v>
      </c>
      <c r="G108" s="699">
        <v>6.6223158897395695E-5</v>
      </c>
      <c r="H108" s="699">
        <v>4.32736271369158E-2</v>
      </c>
      <c r="I108" s="704">
        <v>3.44192555782106E-2</v>
      </c>
      <c r="J108" s="704">
        <v>8.4934977481398392E-3</v>
      </c>
      <c r="K108" s="704">
        <v>4.3685082531341901E-2</v>
      </c>
      <c r="L108" s="701">
        <f>'Cuenta Ahorro-Inversión-Financi'!H108-'Cuenta Ahorro-Inversión-Financi'!G108-'Cuenta Ahorro-Inversión-Financi'!K108</f>
        <v>-4.776785533234934E-4</v>
      </c>
      <c r="M108" s="701">
        <f>'Cuenta Ahorro-Inversión-Financi'!L108+'Cuenta Ahorro-Inversión-Financi'!G108</f>
        <v>-4.1145539442609771E-4</v>
      </c>
      <c r="Z108" s="698">
        <v>2005</v>
      </c>
      <c r="AA108" s="701"/>
      <c r="AB108" s="701">
        <f>'Cuenta Ahorro-Inversión-Financi'!M108</f>
        <v>-4.1145539442609771E-4</v>
      </c>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row>
    <row r="109" spans="5:70" ht="14.45" customHeight="1">
      <c r="E109" s="698">
        <v>2006</v>
      </c>
      <c r="F109" s="702">
        <v>2.5146810076433299E-2</v>
      </c>
      <c r="G109" s="702">
        <v>3.9966816628144E-4</v>
      </c>
      <c r="H109" s="702">
        <v>4.6673213074731101E-2</v>
      </c>
      <c r="I109" s="702">
        <v>3.6680301679781001E-2</v>
      </c>
      <c r="J109" s="702">
        <v>7.8365075761482397E-3</v>
      </c>
      <c r="K109" s="702">
        <v>4.5350520822186803E-2</v>
      </c>
      <c r="L109" s="702">
        <f>'Cuenta Ahorro-Inversión-Financi'!H109-'Cuenta Ahorro-Inversión-Financi'!G109-'Cuenta Ahorro-Inversión-Financi'!K109</f>
        <v>9.2302408626285942E-4</v>
      </c>
      <c r="M109" s="702">
        <f>'Cuenta Ahorro-Inversión-Financi'!L109+'Cuenta Ahorro-Inversión-Financi'!G109</f>
        <v>1.3226922525442994E-3</v>
      </c>
      <c r="Z109" s="698">
        <v>2006</v>
      </c>
      <c r="AA109" s="702"/>
      <c r="AB109" s="702">
        <f>'Cuenta Ahorro-Inversión-Financi'!M109</f>
        <v>1.3226922525442994E-3</v>
      </c>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row>
    <row r="110" spans="5:70" ht="14.45" customHeight="1">
      <c r="E110" s="698">
        <v>2007</v>
      </c>
      <c r="F110" s="699">
        <v>3.8331134984628902E-2</v>
      </c>
      <c r="G110" s="699">
        <v>7.34600661998748E-4</v>
      </c>
      <c r="H110" s="699">
        <v>5.9926545830636502E-2</v>
      </c>
      <c r="I110" s="704">
        <v>4.8759945821990898E-2</v>
      </c>
      <c r="J110" s="704">
        <v>7.3654223592077598E-3</v>
      </c>
      <c r="K110" s="704">
        <v>5.70555874298369E-2</v>
      </c>
      <c r="L110" s="701">
        <f>'Cuenta Ahorro-Inversión-Financi'!H110-'Cuenta Ahorro-Inversión-Financi'!G110-'Cuenta Ahorro-Inversión-Financi'!K110</f>
        <v>2.1363577388008523E-3</v>
      </c>
      <c r="M110" s="701">
        <f>'Cuenta Ahorro-Inversión-Financi'!L110+'Cuenta Ahorro-Inversión-Financi'!G110</f>
        <v>2.8709584007996004E-3</v>
      </c>
      <c r="Z110" s="698">
        <v>2007</v>
      </c>
      <c r="AA110" s="701"/>
      <c r="AB110" s="701">
        <f>'Cuenta Ahorro-Inversión-Financi'!M110</f>
        <v>2.8709584007996004E-3</v>
      </c>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row>
    <row r="111" spans="5:70" ht="14.45" customHeight="1">
      <c r="E111" s="698">
        <v>2008</v>
      </c>
      <c r="F111" s="702">
        <v>3.6690529294169397E-2</v>
      </c>
      <c r="G111" s="702">
        <v>9.6775318953153599E-4</v>
      </c>
      <c r="H111" s="702">
        <v>5.8010247743039603E-2</v>
      </c>
      <c r="I111" s="702">
        <v>4.8166071322388801E-2</v>
      </c>
      <c r="J111" s="702">
        <v>8.8961574851905492E-3</v>
      </c>
      <c r="K111" s="702">
        <v>5.8158568888251903E-2</v>
      </c>
      <c r="L111" s="702">
        <f>'Cuenta Ahorro-Inversión-Financi'!H111-'Cuenta Ahorro-Inversión-Financi'!G111-'Cuenta Ahorro-Inversión-Financi'!K111</f>
        <v>-1.1160743347438384E-3</v>
      </c>
      <c r="M111" s="702">
        <f>'Cuenta Ahorro-Inversión-Financi'!L111+'Cuenta Ahorro-Inversión-Financi'!G111</f>
        <v>-1.4832114521230245E-4</v>
      </c>
      <c r="Z111" s="698">
        <v>2008</v>
      </c>
      <c r="AA111" s="702">
        <f>'Cuenta Ahorro-Inversión-Financi'!L111</f>
        <v>-1.1160743347438384E-3</v>
      </c>
      <c r="AB111" s="702">
        <f>'Cuenta Ahorro-Inversión-Financi'!M111</f>
        <v>-1.4832114521230245E-4</v>
      </c>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row>
    <row r="112" spans="5:70" ht="14.45" customHeight="1">
      <c r="E112" s="698">
        <v>2009</v>
      </c>
      <c r="F112" s="699">
        <v>5.0540354623178199E-2</v>
      </c>
      <c r="G112" s="699">
        <v>6.7701762846451401E-3</v>
      </c>
      <c r="H112" s="699">
        <v>7.7611022059368096E-2</v>
      </c>
      <c r="I112" s="704">
        <v>5.6559127547556903E-2</v>
      </c>
      <c r="J112" s="704">
        <v>1.23401428713317E-2</v>
      </c>
      <c r="K112" s="704">
        <v>7.0672433158799106E-2</v>
      </c>
      <c r="L112" s="701">
        <f>'Cuenta Ahorro-Inversión-Financi'!H112-'Cuenta Ahorro-Inversión-Financi'!G112-'Cuenta Ahorro-Inversión-Financi'!K112</f>
        <v>1.6841261592384638E-4</v>
      </c>
      <c r="M112" s="701">
        <f>'Cuenta Ahorro-Inversión-Financi'!L112+'Cuenta Ahorro-Inversión-Financi'!G112</f>
        <v>6.9385889005689864E-3</v>
      </c>
      <c r="Z112" s="698">
        <v>2009</v>
      </c>
      <c r="AA112" s="701">
        <f>'Cuenta Ahorro-Inversión-Financi'!L112</f>
        <v>1.6841261592384638E-4</v>
      </c>
      <c r="AB112" s="701">
        <f>'Cuenta Ahorro-Inversión-Financi'!M112</f>
        <v>6.9385889005689864E-3</v>
      </c>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row>
    <row r="113" spans="5:70" ht="14.45" customHeight="1">
      <c r="E113" s="698">
        <v>2010</v>
      </c>
      <c r="F113" s="702">
        <v>5.0216030751087298E-2</v>
      </c>
      <c r="G113" s="702">
        <v>5.2162195382827996E-3</v>
      </c>
      <c r="H113" s="702">
        <v>7.59626207943985E-2</v>
      </c>
      <c r="I113" s="702">
        <v>5.28866171686624E-2</v>
      </c>
      <c r="J113" s="702">
        <v>1.5223052685236899E-2</v>
      </c>
      <c r="K113" s="702">
        <v>7.0032018675799002E-2</v>
      </c>
      <c r="L113" s="702">
        <f>'Cuenta Ahorro-Inversión-Financi'!H113-'Cuenta Ahorro-Inversión-Financi'!G113-'Cuenta Ahorro-Inversión-Financi'!K113</f>
        <v>7.1438258031669699E-4</v>
      </c>
      <c r="M113" s="702">
        <f>'Cuenta Ahorro-Inversión-Financi'!L113+'Cuenta Ahorro-Inversión-Financi'!G113</f>
        <v>5.9306021185994966E-3</v>
      </c>
      <c r="Z113" s="698">
        <v>2010</v>
      </c>
      <c r="AA113" s="702">
        <f>'Cuenta Ahorro-Inversión-Financi'!L113</f>
        <v>7.1438258031669699E-4</v>
      </c>
      <c r="AB113" s="702">
        <f>'Cuenta Ahorro-Inversión-Financi'!M113</f>
        <v>5.9306021185994966E-3</v>
      </c>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row>
    <row r="114" spans="5:70" ht="14.45" customHeight="1">
      <c r="E114" s="698">
        <v>2011</v>
      </c>
      <c r="F114" s="699">
        <v>5.1329895299449202E-2</v>
      </c>
      <c r="G114" s="699">
        <v>5.0370266460978697E-3</v>
      </c>
      <c r="H114" s="699">
        <v>7.7302514523138702E-2</v>
      </c>
      <c r="I114" s="704">
        <v>5.56734161248401E-2</v>
      </c>
      <c r="J114" s="704">
        <v>1.29129430141222E-2</v>
      </c>
      <c r="K114" s="704">
        <v>7.0766007007301401E-2</v>
      </c>
      <c r="L114" s="701">
        <f>'Cuenta Ahorro-Inversión-Financi'!H114-'Cuenta Ahorro-Inversión-Financi'!G114-'Cuenta Ahorro-Inversión-Financi'!K114</f>
        <v>1.4994808697394307E-3</v>
      </c>
      <c r="M114" s="701">
        <f>'Cuenta Ahorro-Inversión-Financi'!L114+'Cuenta Ahorro-Inversión-Financi'!G114</f>
        <v>6.5365075158373004E-3</v>
      </c>
      <c r="Z114" s="698">
        <v>2011</v>
      </c>
      <c r="AA114" s="701">
        <f>'Cuenta Ahorro-Inversión-Financi'!L114</f>
        <v>1.4994808697394307E-3</v>
      </c>
      <c r="AB114" s="701">
        <f>'Cuenta Ahorro-Inversión-Financi'!M114</f>
        <v>6.5365075158373004E-3</v>
      </c>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row>
    <row r="115" spans="5:70" ht="14.45" customHeight="1">
      <c r="E115" s="698">
        <v>2012</v>
      </c>
      <c r="F115" s="702">
        <v>5.5478057056133602E-2</v>
      </c>
      <c r="G115" s="702">
        <v>6.5414971478088496E-3</v>
      </c>
      <c r="H115" s="702">
        <v>8.4338871445930094E-2</v>
      </c>
      <c r="I115" s="702">
        <v>6.3613441338562199E-2</v>
      </c>
      <c r="J115" s="702">
        <v>1.2181005375035499E-2</v>
      </c>
      <c r="K115" s="702">
        <v>7.8148519776622294E-2</v>
      </c>
      <c r="L115" s="702">
        <f>'Cuenta Ahorro-Inversión-Financi'!H115-'Cuenta Ahorro-Inversión-Financi'!G115-'Cuenta Ahorro-Inversión-Financi'!K115</f>
        <v>-3.5114547850105537E-4</v>
      </c>
      <c r="M115" s="702">
        <f>'Cuenta Ahorro-Inversión-Financi'!L115+'Cuenta Ahorro-Inversión-Financi'!G115</f>
        <v>6.1903516693077943E-3</v>
      </c>
      <c r="Z115" s="698">
        <v>2012</v>
      </c>
      <c r="AA115" s="702">
        <f>'Cuenta Ahorro-Inversión-Financi'!L115</f>
        <v>-3.5114547850105537E-4</v>
      </c>
      <c r="AB115" s="702">
        <f>'Cuenta Ahorro-Inversión-Financi'!M115</f>
        <v>6.1903516693077943E-3</v>
      </c>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row>
    <row r="116" spans="5:70" ht="14.45" customHeight="1">
      <c r="E116" s="698" t="s">
        <v>898</v>
      </c>
      <c r="F116" s="699">
        <v>5.7450041962041398E-2</v>
      </c>
      <c r="G116" s="699">
        <v>6.80496730055792E-3</v>
      </c>
      <c r="H116" s="699">
        <v>8.6500952815723606E-2</v>
      </c>
      <c r="I116" s="704">
        <v>6.6336117402136505E-2</v>
      </c>
      <c r="J116" s="704">
        <v>1.3049895915241401E-2</v>
      </c>
      <c r="K116" s="704">
        <v>8.1485973252982E-2</v>
      </c>
      <c r="L116" s="701">
        <f>'Cuenta Ahorro-Inversión-Financi'!H116-'Cuenta Ahorro-Inversión-Financi'!G116-'Cuenta Ahorro-Inversión-Financi'!K116</f>
        <v>-1.7899877378163148E-3</v>
      </c>
      <c r="M116" s="701">
        <f>'Cuenta Ahorro-Inversión-Financi'!L116+'Cuenta Ahorro-Inversión-Financi'!G116</f>
        <v>5.0149795627416052E-3</v>
      </c>
      <c r="Z116" s="698" t="s">
        <v>898</v>
      </c>
      <c r="AA116" s="701">
        <f>'Cuenta Ahorro-Inversión-Financi'!L116</f>
        <v>-1.7899877378163148E-3</v>
      </c>
      <c r="AB116" s="701">
        <f>'Cuenta Ahorro-Inversión-Financi'!M116</f>
        <v>5.0149795627416052E-3</v>
      </c>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row>
    <row r="117" spans="5:70" ht="14.45" customHeight="1">
      <c r="E117" s="698" t="s">
        <v>900</v>
      </c>
      <c r="F117" s="702">
        <v>5.3860951460961697E-2</v>
      </c>
      <c r="G117" s="702">
        <v>8.3284720634597895E-3</v>
      </c>
      <c r="H117" s="702">
        <v>8.4623493954968196E-2</v>
      </c>
      <c r="I117" s="702">
        <v>6.4140487246454297E-2</v>
      </c>
      <c r="J117" s="702">
        <v>1.3646888019723399E-2</v>
      </c>
      <c r="K117" s="702">
        <v>7.9855315110792593E-2</v>
      </c>
      <c r="L117" s="702">
        <f>'Cuenta Ahorro-Inversión-Financi'!H117-'Cuenta Ahorro-Inversión-Financi'!G117-'Cuenta Ahorro-Inversión-Financi'!K117</f>
        <v>-3.5602932192841802E-3</v>
      </c>
      <c r="M117" s="702">
        <f>'Cuenta Ahorro-Inversión-Financi'!L117+'Cuenta Ahorro-Inversión-Financi'!G117</f>
        <v>4.7681788441756093E-3</v>
      </c>
      <c r="Z117" s="698" t="s">
        <v>900</v>
      </c>
      <c r="AA117" s="702">
        <f>'Cuenta Ahorro-Inversión-Financi'!L117</f>
        <v>-3.5602932192841802E-3</v>
      </c>
      <c r="AB117" s="702">
        <f>'Cuenta Ahorro-Inversión-Financi'!M117</f>
        <v>4.7681788441756093E-3</v>
      </c>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row>
    <row r="118" spans="5:70" ht="14.45" customHeight="1">
      <c r="E118" s="708" t="s">
        <v>901</v>
      </c>
      <c r="F118" s="709">
        <f>'Cuenta Ahorro-Inversión-Financi'!F64</f>
        <v>5.6429715829916419E-2</v>
      </c>
      <c r="G118" s="709">
        <f>'Cuenta Ahorro-Inversión-Financi'!H64</f>
        <v>8.9312093248872185E-3</v>
      </c>
      <c r="H118" s="709">
        <f>'Cuenta Ahorro-Inversión-Financi'!N64</f>
        <v>8.9003562529976529E-2</v>
      </c>
      <c r="I118" s="710">
        <f>'Cuenta Ahorro-Inversión-Financi'!R64</f>
        <v>7.2790476203542828E-2</v>
      </c>
      <c r="J118" s="710">
        <f>'Cuenta Ahorro-Inversión-Financi'!T64</f>
        <v>1.4239737428298253E-2</v>
      </c>
      <c r="K118" s="710">
        <f>'Cuenta Ahorro-Inversión-Financi'!W64</f>
        <v>8.9129467435928145E-2</v>
      </c>
      <c r="L118" s="701">
        <f>'Cuenta Ahorro-Inversión-Financi'!H118-'Cuenta Ahorro-Inversión-Financi'!G118-'Cuenta Ahorro-Inversión-Financi'!K118</f>
        <v>-9.0571142308388392E-3</v>
      </c>
      <c r="M118" s="701">
        <f>'Cuenta Ahorro-Inversión-Financi'!L118+'Cuenta Ahorro-Inversión-Financi'!G118</f>
        <v>-1.2590490595162061E-4</v>
      </c>
      <c r="Z118" s="708" t="s">
        <v>901</v>
      </c>
      <c r="AA118" s="701">
        <f>'Cuenta Ahorro-Inversión-Financi'!L118</f>
        <v>-9.0571142308388392E-3</v>
      </c>
      <c r="AB118" s="701">
        <f>'Cuenta Ahorro-Inversión-Financi'!M118</f>
        <v>-1.2590490595162061E-4</v>
      </c>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row>
    <row r="119" spans="5:70" ht="14.45" customHeight="1">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row>
    <row r="120" spans="5:70" ht="14.45" customHeight="1">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row>
    <row r="121" spans="5:70" ht="14.45" customHeight="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row>
    <row r="122" spans="5:70" ht="14.45" customHeight="1">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row>
    <row r="123" spans="5:70" ht="14.45" customHeight="1">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row>
    <row r="124" spans="5:70" ht="14.45" customHeight="1">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row>
    <row r="125" spans="5:70" ht="14.45" customHeight="1">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row>
    <row r="126" spans="5:70" ht="14.45" customHeight="1">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row>
    <row r="127" spans="5:70" ht="14.45" customHeight="1">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row>
    <row r="128" spans="5:70" ht="14.45" customHeight="1">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row>
    <row r="129" spans="34:70" ht="14.45" customHeight="1">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row>
    <row r="130" spans="34:70" ht="14.45" customHeight="1">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row>
    <row r="131" spans="34:70" ht="14.45" customHeight="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row>
    <row r="132" spans="34:70" ht="14.45" customHeight="1">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row>
    <row r="133" spans="34:70" ht="14.45" customHeight="1">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row>
    <row r="134" spans="34:70" ht="14.45" customHeight="1">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row>
    <row r="135" spans="34:70" ht="14.45" customHeight="1">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row>
    <row r="136" spans="34:70" ht="14.45" customHeight="1">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row>
    <row r="137" spans="34:70" ht="14.45" customHeight="1">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row>
    <row r="138" spans="34:70" ht="14.45" customHeight="1">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row>
    <row r="139" spans="34:70" ht="14.45" customHeight="1">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row>
    <row r="140" spans="34:70" ht="14.45" customHeight="1">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row>
    <row r="141" spans="34:70" ht="14.45" customHeight="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row>
    <row r="142" spans="34:70" ht="14.45" customHeight="1">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row>
    <row r="143" spans="34:70" ht="14.45" customHeight="1">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row>
    <row r="144" spans="34:70" ht="14.45" customHeight="1">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row>
    <row r="145" spans="34:70" ht="14.45" customHeight="1">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row>
    <row r="146" spans="34:70" ht="14.45" customHeight="1">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row>
    <row r="147" spans="34:70" ht="14.45" customHeight="1">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row>
    <row r="148" spans="34:70" ht="14.45" customHeight="1">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row>
    <row r="149" spans="34:70" ht="14.45" customHeight="1">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row>
    <row r="150" spans="34:70" ht="14.45" customHeight="1">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row>
    <row r="151" spans="34:70" ht="14.45" customHeight="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row>
    <row r="152" spans="34:70" ht="14.45" customHeight="1">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row>
    <row r="153" spans="34:70" ht="14.45" customHeight="1">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row>
    <row r="154" spans="34:70" ht="14.45" customHeight="1">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row>
    <row r="155" spans="34:70" ht="14.45" customHeight="1">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row>
    <row r="156" spans="34:70" ht="14.45" customHeight="1">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row>
    <row r="157" spans="34:70" ht="14.45" customHeight="1">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row>
    <row r="158" spans="34:70" ht="14.45" customHeight="1">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row>
    <row r="159" spans="34:70" ht="14.45" customHeight="1">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row>
    <row r="160" spans="34:70" ht="14.45" customHeight="1">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row>
    <row r="161" spans="34:70" ht="14.45" customHeight="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row>
    <row r="162" spans="34:70" ht="14.45" customHeight="1">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row>
    <row r="163" spans="34:70" ht="14.45" customHeight="1">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row>
    <row r="164" spans="34:70" ht="14.45" customHeight="1">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row>
    <row r="165" spans="34:70" ht="14.45" customHeight="1">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row>
    <row r="166" spans="34:70" ht="14.45" customHeight="1">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row>
    <row r="167" spans="34:70" ht="14.45" customHeight="1">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row>
    <row r="168" spans="34:70" ht="14.45" customHeight="1">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row>
    <row r="169" spans="34:70" ht="14.45" customHeight="1">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row>
    <row r="170" spans="34:70" ht="14.45" customHeight="1">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row>
    <row r="171" spans="34:70" ht="14.45" customHeight="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row>
    <row r="172" spans="34:70" ht="14.45" customHeight="1">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row>
    <row r="173" spans="34:70" ht="14.45" customHeight="1">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row>
    <row r="174" spans="34:70" ht="14.45" customHeight="1">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row>
    <row r="175" spans="34:70" ht="14.45" customHeight="1">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row>
    <row r="176" spans="34:70" ht="14.45" customHeight="1">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row>
    <row r="177" spans="34:70" ht="14.45" customHeight="1">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row>
    <row r="178" spans="34:70" ht="14.45" customHeight="1">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row>
    <row r="179" spans="34:70" ht="14.45" customHeight="1">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row>
    <row r="180" spans="34:70" ht="14.45" customHeight="1">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row>
    <row r="181" spans="34:70" ht="14.45" customHeight="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row>
    <row r="182" spans="34:70" ht="14.45" customHeight="1">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row>
    <row r="183" spans="34:70" ht="14.45" customHeight="1">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row>
    <row r="184" spans="34:70" ht="14.45" customHeight="1">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row>
    <row r="185" spans="34:70" ht="14.45" customHeight="1">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row>
    <row r="186" spans="34:70" ht="14.45" customHeight="1">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row>
    <row r="187" spans="34:70" ht="14.45" customHeight="1">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row>
    <row r="188" spans="34:70" ht="14.45" customHeight="1">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row>
    <row r="189" spans="34:70" ht="14.45" customHeight="1">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row>
    <row r="190" spans="34:70" ht="14.45" customHeight="1">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row>
    <row r="191" spans="34:70" ht="14.45" customHeight="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row>
    <row r="192" spans="34:70" ht="14.45" customHeight="1">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row>
    <row r="193" spans="34:70" ht="14.45" customHeight="1">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row>
    <row r="194" spans="34:70" ht="14.45" customHeight="1">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row>
    <row r="195" spans="34:70" ht="14.45" customHeight="1">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row>
    <row r="196" spans="34:70" ht="14.45" customHeight="1">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row>
    <row r="197" spans="34:70" ht="14.45" customHeight="1">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row>
    <row r="198" spans="34:70" ht="14.45" customHeight="1">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row>
    <row r="199" spans="34:70" ht="14.45" customHeight="1">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row>
    <row r="200" spans="34:70" ht="14.45" customHeight="1">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row>
    <row r="201" spans="34:70" ht="14.45" customHeight="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row>
    <row r="202" spans="34:70" ht="14.45" customHeight="1">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row>
    <row r="203" spans="34:70" ht="14.45" customHeight="1">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row>
    <row r="204" spans="34:70" ht="14.45" customHeight="1">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row>
    <row r="205" spans="34:70" ht="14.45" customHeight="1">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row>
    <row r="206" spans="34:70" ht="14.45" customHeight="1">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row>
    <row r="207" spans="34:70" ht="14.45" customHeight="1">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row>
    <row r="208" spans="34:70" ht="14.45" customHeight="1">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row>
    <row r="209" spans="34:70" ht="14.45" customHeight="1">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row>
    <row r="210" spans="34:70" ht="14.45" customHeight="1">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row>
    <row r="211" spans="34:70" ht="14.45" customHeight="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row>
    <row r="212" spans="34:70" ht="14.45" customHeight="1">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row>
    <row r="213" spans="34:70" ht="14.45" customHeight="1">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row>
    <row r="214" spans="34:70" ht="14.45" customHeight="1">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row>
    <row r="215" spans="34:70" ht="14.45" customHeight="1">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row>
    <row r="216" spans="34:70" ht="14.45" customHeight="1">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row>
    <row r="217" spans="34:70" ht="14.45" customHeight="1">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row>
    <row r="218" spans="34:70" ht="14.45" customHeight="1">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row>
    <row r="219" spans="34:70">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row>
  </sheetData>
  <mergeCells count="152">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V7:AV8"/>
    <mergeCell ref="AW7:AW8"/>
    <mergeCell ref="AX7:AX8"/>
    <mergeCell ref="AY7:AY8"/>
    <mergeCell ref="AZ7:AZ8"/>
    <mergeCell ref="BA7:BA8"/>
    <mergeCell ref="BB7:BB8"/>
    <mergeCell ref="BC7:BC8"/>
    <mergeCell ref="BS7:BS8"/>
    <mergeCell ref="BT7:BT8"/>
    <mergeCell ref="BU7:BU8"/>
    <mergeCell ref="BD7:BD8"/>
    <mergeCell ref="BE7:BE8"/>
    <mergeCell ref="BF7:BF8"/>
    <mergeCell ref="BG7:BG8"/>
    <mergeCell ref="BH7:BH8"/>
    <mergeCell ref="BI7:BI8"/>
    <mergeCell ref="BJ7:BJ8"/>
    <mergeCell ref="BK7:BK8"/>
    <mergeCell ref="BL7:BL8"/>
    <mergeCell ref="CO7:CO8"/>
    <mergeCell ref="CP7:CP8"/>
    <mergeCell ref="CQ7:CQ8"/>
    <mergeCell ref="CR7:CR8"/>
    <mergeCell ref="CS7:CS8"/>
    <mergeCell ref="CT7:CT8"/>
    <mergeCell ref="DO7:DP7"/>
    <mergeCell ref="DQ7:DR7"/>
    <mergeCell ref="CE7:CE8"/>
    <mergeCell ref="CF7:CF8"/>
    <mergeCell ref="CG7:CG8"/>
    <mergeCell ref="CH7:CH8"/>
    <mergeCell ref="CI7:CI8"/>
    <mergeCell ref="CJ7:CJ8"/>
    <mergeCell ref="CK7:CK8"/>
    <mergeCell ref="CL7:CL8"/>
    <mergeCell ref="CM7:CM8"/>
    <mergeCell ref="AO38:AO41"/>
    <mergeCell ref="AP38:AP41"/>
    <mergeCell ref="AQ38:AQ41"/>
    <mergeCell ref="AR38:AR41"/>
    <mergeCell ref="AS38:AS41"/>
    <mergeCell ref="AT38:AT41"/>
    <mergeCell ref="AU38:AU41"/>
    <mergeCell ref="AV38:AV41"/>
    <mergeCell ref="CN7:CN8"/>
    <mergeCell ref="BV7:BV8"/>
    <mergeCell ref="BW7:BW8"/>
    <mergeCell ref="BX7:BX8"/>
    <mergeCell ref="BY7:BY8"/>
    <mergeCell ref="BZ7:BZ8"/>
    <mergeCell ref="CA7:CA8"/>
    <mergeCell ref="CB7:CB8"/>
    <mergeCell ref="CC7:CC8"/>
    <mergeCell ref="CD7:CD8"/>
    <mergeCell ref="BM7:BM8"/>
    <mergeCell ref="BN7:BN8"/>
    <mergeCell ref="BO7:BO8"/>
    <mergeCell ref="BP7:BP8"/>
    <mergeCell ref="BQ7:BQ8"/>
    <mergeCell ref="BR7:BR8"/>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AN38:AN41"/>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 ref="Z40:Z41"/>
    <mergeCell ref="AA40:AA41"/>
    <mergeCell ref="AC40:AC41"/>
    <mergeCell ref="AD40:AD41"/>
    <mergeCell ref="AE40:AE41"/>
    <mergeCell ref="AF40:AF41"/>
    <mergeCell ref="AG40:AG41"/>
    <mergeCell ref="AH40:AH41"/>
    <mergeCell ref="AI40:AI41"/>
    <mergeCell ref="AW38:AW41"/>
  </mergeCells>
  <hyperlinks>
    <hyperlink ref="DC2" r:id="rId1"/>
    <hyperlink ref="F4" r:id="rId2"/>
    <hyperlink ref="AQ9" r:id="rId3"/>
    <hyperlink ref="CA54" r:id="rId4"/>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5"/>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44"/>
  <sheetViews>
    <sheetView topLeftCell="P19" zoomScale="95" zoomScaleNormal="95" workbookViewId="0">
      <selection activeCell="AU41" sqref="AU41"/>
    </sheetView>
    <sheetView workbookViewId="1"/>
  </sheetViews>
  <sheetFormatPr baseColWidth="10" defaultColWidth="11.5703125" defaultRowHeight="15"/>
  <cols>
    <col min="4" max="5" width="13.42578125" customWidth="1"/>
    <col min="32" max="32" width="13.85546875" customWidth="1"/>
  </cols>
  <sheetData>
    <row r="1" spans="1:48">
      <c r="Y1" s="711">
        <f>SUM(Y23:AF23)</f>
        <v>31395996.705729999</v>
      </c>
      <c r="Z1" s="711">
        <f>'Cuenta Ahorro-Inversión-Financi'!CF27+'Cuenta Ahorro-Inversión-Financi'!CL27+'Cuenta Ahorro-Inversión-Financi'!CM27-'Cuenta Ahorro-Inversión-Financi'!BE27-'Cuenta Ahorro-Inversión-Financi'!BQ27-'Cuenta Ahorro-Inversión-Financi'!BR27-'Cuenta Ahorro-Inversión-Financi'!AX27+'Cuenta Ahorro-Inversión-Financi'!CG27</f>
        <v>28619321.454219986</v>
      </c>
      <c r="AB1">
        <f>SUM(Y28:AE28)-AD28-AC28-Y28</f>
        <v>125833744.52071001</v>
      </c>
      <c r="AC1">
        <f>SUM(Y27:AE27)-AC27-Y27</f>
        <v>86578739.758850008</v>
      </c>
    </row>
    <row r="2" spans="1:48">
      <c r="AB2">
        <f>SUM(Y29:AE29)-AD29-AC29-Y29</f>
        <v>151406841.19205999</v>
      </c>
    </row>
    <row r="3" spans="1:48">
      <c r="B3" s="1" t="s">
        <v>998</v>
      </c>
      <c r="C3" s="1"/>
      <c r="D3" s="1"/>
      <c r="E3" s="1"/>
      <c r="F3" s="1"/>
      <c r="G3" s="1"/>
      <c r="H3" s="1"/>
      <c r="I3" s="1"/>
      <c r="J3" s="1"/>
      <c r="K3" s="1"/>
      <c r="L3" s="1"/>
      <c r="M3" s="1"/>
      <c r="N3" s="1"/>
      <c r="O3" s="1"/>
      <c r="P3" s="1"/>
      <c r="Q3" s="834" t="s">
        <v>999</v>
      </c>
      <c r="R3" s="834"/>
      <c r="S3" s="834"/>
      <c r="T3" s="834"/>
      <c r="U3" s="834"/>
      <c r="V3" s="834"/>
      <c r="W3" s="712"/>
      <c r="X3" s="712"/>
      <c r="Y3" s="835" t="s">
        <v>1000</v>
      </c>
      <c r="Z3" s="835"/>
      <c r="AA3" s="835"/>
      <c r="AB3" s="835"/>
      <c r="AC3" s="713"/>
      <c r="AD3" s="713"/>
      <c r="AE3" s="713"/>
      <c r="AF3" s="713"/>
      <c r="AG3" s="836" t="s">
        <v>1001</v>
      </c>
      <c r="AH3" s="836"/>
      <c r="AI3" s="714"/>
      <c r="AJ3" s="714"/>
      <c r="AK3" s="714"/>
      <c r="AL3" s="1"/>
      <c r="AM3" s="1"/>
      <c r="AN3" s="1"/>
      <c r="AO3" s="1"/>
      <c r="AP3" s="1"/>
      <c r="AQ3" s="1"/>
      <c r="AR3" s="1"/>
      <c r="AS3" s="1"/>
      <c r="AT3" s="1"/>
      <c r="AU3" s="1"/>
      <c r="AV3" s="1"/>
    </row>
    <row r="4" spans="1:48">
      <c r="B4" s="1"/>
      <c r="C4" s="1"/>
      <c r="D4" s="1"/>
      <c r="E4" s="1"/>
      <c r="F4" s="1"/>
      <c r="G4" s="1"/>
      <c r="H4" s="1"/>
      <c r="I4" s="1"/>
      <c r="J4" s="1"/>
      <c r="K4" s="1"/>
      <c r="L4" s="1"/>
      <c r="M4" s="1"/>
      <c r="N4" s="1"/>
      <c r="O4" s="1"/>
      <c r="P4" s="1"/>
      <c r="Q4" s="715" t="s">
        <v>1002</v>
      </c>
      <c r="R4" s="715" t="s">
        <v>1003</v>
      </c>
      <c r="S4" s="545" t="s">
        <v>1004</v>
      </c>
      <c r="T4" s="715" t="s">
        <v>1005</v>
      </c>
      <c r="U4" s="545" t="s">
        <v>1006</v>
      </c>
      <c r="V4" s="715" t="s">
        <v>1007</v>
      </c>
      <c r="W4" s="545" t="s">
        <v>1008</v>
      </c>
      <c r="X4" s="715" t="s">
        <v>1009</v>
      </c>
      <c r="Y4" s="716" t="s">
        <v>1010</v>
      </c>
      <c r="Z4" s="717" t="s">
        <v>1011</v>
      </c>
      <c r="AA4" s="545" t="s">
        <v>1012</v>
      </c>
      <c r="AB4" s="716" t="s">
        <v>1013</v>
      </c>
      <c r="AC4" s="545" t="s">
        <v>1014</v>
      </c>
      <c r="AD4" s="716" t="s">
        <v>822</v>
      </c>
      <c r="AE4" s="718" t="s">
        <v>1015</v>
      </c>
      <c r="AF4" s="716" t="s">
        <v>1016</v>
      </c>
      <c r="AG4" s="545" t="s">
        <v>1017</v>
      </c>
      <c r="AH4" s="580" t="s">
        <v>1018</v>
      </c>
      <c r="AI4" s="580"/>
      <c r="AJ4" s="580"/>
      <c r="AK4" s="580"/>
      <c r="AL4" s="1"/>
      <c r="AM4" s="1"/>
      <c r="AN4" s="1" t="s">
        <v>1019</v>
      </c>
      <c r="AO4" s="1" t="s">
        <v>1020</v>
      </c>
      <c r="AP4" s="1" t="s">
        <v>1005</v>
      </c>
      <c r="AQ4" s="1" t="s">
        <v>1021</v>
      </c>
      <c r="AR4" s="1" t="s">
        <v>1007</v>
      </c>
      <c r="AS4" s="1" t="s">
        <v>1022</v>
      </c>
      <c r="AT4" s="1" t="s">
        <v>1008</v>
      </c>
      <c r="AU4" s="1" t="s">
        <v>1017</v>
      </c>
      <c r="AV4" s="1" t="s">
        <v>1001</v>
      </c>
    </row>
    <row r="5" spans="1:48">
      <c r="B5" s="545" t="s">
        <v>1004</v>
      </c>
      <c r="C5" s="715" t="s">
        <v>1005</v>
      </c>
      <c r="D5" s="715"/>
      <c r="E5" s="545" t="s">
        <v>1006</v>
      </c>
      <c r="F5" s="715" t="s">
        <v>1007</v>
      </c>
      <c r="G5" s="545" t="s">
        <v>1008</v>
      </c>
      <c r="H5" s="716" t="s">
        <v>1010</v>
      </c>
      <c r="I5" s="545" t="s">
        <v>1012</v>
      </c>
      <c r="J5" s="716" t="s">
        <v>1023</v>
      </c>
      <c r="K5" s="545" t="s">
        <v>1014</v>
      </c>
      <c r="M5" s="1"/>
      <c r="N5" s="1"/>
      <c r="O5" s="1"/>
      <c r="P5" s="545">
        <v>1993</v>
      </c>
      <c r="Q5" s="96">
        <f>'Cuenta Ahorro-Inversión-Financi'!H9</f>
        <v>853307.6</v>
      </c>
      <c r="R5" s="96"/>
      <c r="S5" s="545"/>
      <c r="T5" s="545"/>
      <c r="U5" s="719"/>
      <c r="V5" s="545"/>
      <c r="W5" s="96">
        <f>'Cuenta Ahorro-Inversión-Financi'!AH9</f>
        <v>3015865.8194956575</v>
      </c>
      <c r="X5" s="96"/>
      <c r="Y5" s="720">
        <f>'Cuenta Ahorro-Inversión-Financi'!AX9</f>
        <v>352371.13373</v>
      </c>
      <c r="Z5" s="720"/>
      <c r="AA5" s="720">
        <f>'Cuenta Ahorro-Inversión-Financi'!CI9</f>
        <v>1036245.35282</v>
      </c>
      <c r="AB5" s="720">
        <f>'Cuenta Ahorro-Inversión-Financi'!CK9+'Cuenta Ahorro-Inversión-Financi'!CJ9</f>
        <v>214541.63623</v>
      </c>
      <c r="AC5" s="720">
        <f>'Cuenta Ahorro-Inversión-Financi'!CL9</f>
        <v>0</v>
      </c>
      <c r="AD5" s="720"/>
      <c r="AE5" s="720"/>
      <c r="AF5" s="720"/>
      <c r="AG5" s="545"/>
      <c r="AH5" s="545"/>
      <c r="AI5" s="545"/>
      <c r="AJ5" s="545"/>
      <c r="AK5" s="545"/>
      <c r="AL5" s="1"/>
      <c r="AM5" s="1">
        <v>1993</v>
      </c>
      <c r="AN5" s="28">
        <v>4272320</v>
      </c>
      <c r="AO5" s="28">
        <v>15474000</v>
      </c>
      <c r="AP5" s="28">
        <v>2059000</v>
      </c>
      <c r="AQ5" s="28">
        <v>0</v>
      </c>
      <c r="AR5" s="28">
        <f>'Exogenous tax and expenses'!V5</f>
        <v>0</v>
      </c>
      <c r="AS5" s="28">
        <v>0</v>
      </c>
      <c r="AT5" s="28">
        <f>'Exogenous tax and expenses'!W5</f>
        <v>3015865.8194956575</v>
      </c>
      <c r="AU5" s="1">
        <f>'Exogenous tax and expenses'!AG5</f>
        <v>0</v>
      </c>
      <c r="AV5" s="1">
        <f>'Exogenous tax and expenses'!AH5</f>
        <v>0</v>
      </c>
    </row>
    <row r="6" spans="1:48">
      <c r="B6" s="455">
        <f>S60</f>
        <v>7.1898445654710874E-3</v>
      </c>
      <c r="C6" s="455">
        <f>S88</f>
        <v>2E-3</v>
      </c>
      <c r="D6" s="455"/>
      <c r="E6" s="455">
        <f>U60</f>
        <v>1.5861055711979122E-4</v>
      </c>
      <c r="F6" s="455">
        <f>V60</f>
        <v>1.6462262635889253E-2</v>
      </c>
      <c r="G6" s="455">
        <f>W60</f>
        <v>1.5552160056394643E-2</v>
      </c>
      <c r="H6" s="455">
        <f>Y60</f>
        <v>1.9129375374496074E-3</v>
      </c>
      <c r="I6" s="455">
        <f>AA60</f>
        <v>2.6275501339975628E-3</v>
      </c>
      <c r="J6" s="455">
        <f>AB60</f>
        <v>6.9520391621970623E-3</v>
      </c>
      <c r="K6" s="455">
        <f>AC60</f>
        <v>1.5253627768554421E-3</v>
      </c>
      <c r="L6" s="319"/>
      <c r="M6" s="1"/>
      <c r="N6" s="1"/>
      <c r="O6" s="1"/>
      <c r="P6" s="1">
        <f>'Exogenous tax and expenses'!P5+1</f>
        <v>1994</v>
      </c>
      <c r="Q6" s="721">
        <f>'Cuenta Ahorro-Inversión-Financi'!H10</f>
        <v>1164662.22</v>
      </c>
      <c r="R6" s="721"/>
      <c r="S6" s="722"/>
      <c r="T6" s="722"/>
      <c r="U6" s="722"/>
      <c r="V6" s="722"/>
      <c r="W6" s="721">
        <f>'Cuenta Ahorro-Inversión-Financi'!AH10</f>
        <v>3226509.5249815406</v>
      </c>
      <c r="X6" s="721"/>
      <c r="Y6" s="96">
        <f>'Cuenta Ahorro-Inversión-Financi'!AX10</f>
        <v>293763.12069000001</v>
      </c>
      <c r="Z6" s="96"/>
      <c r="AA6" s="96">
        <f>'Cuenta Ahorro-Inversión-Financi'!CI10</f>
        <v>1287640.9398000001</v>
      </c>
      <c r="AB6" s="96">
        <f>'Cuenta Ahorro-Inversión-Financi'!CK10+'Cuenta Ahorro-Inversión-Financi'!CJ10</f>
        <v>456594.30015999998</v>
      </c>
      <c r="AC6" s="96">
        <f>'Cuenta Ahorro-Inversión-Financi'!CL10</f>
        <v>0</v>
      </c>
      <c r="AD6" s="96"/>
      <c r="AE6" s="96"/>
      <c r="AF6" s="96"/>
      <c r="AG6" s="723"/>
      <c r="AH6" s="723"/>
      <c r="AI6" s="723"/>
      <c r="AJ6" s="723"/>
      <c r="AK6" s="723"/>
      <c r="AL6" s="1"/>
      <c r="AM6" s="1">
        <f>'Exogenous tax and expenses'!AM5+1</f>
        <v>1994</v>
      </c>
      <c r="AN6" s="28">
        <v>5821590</v>
      </c>
      <c r="AO6" s="28">
        <v>16488000</v>
      </c>
      <c r="AP6" s="28">
        <v>2069000</v>
      </c>
      <c r="AQ6" s="28">
        <v>0</v>
      </c>
      <c r="AR6" s="28">
        <f>'Exogenous tax and expenses'!V6</f>
        <v>0</v>
      </c>
      <c r="AS6" s="28">
        <v>0</v>
      </c>
      <c r="AT6" s="28">
        <f>'Exogenous tax and expenses'!W6</f>
        <v>3226509.5249815406</v>
      </c>
      <c r="AU6" s="1">
        <f>'Exogenous tax and expenses'!AG6</f>
        <v>0</v>
      </c>
      <c r="AV6" s="1">
        <f>'Exogenous tax and expenses'!AH6</f>
        <v>0</v>
      </c>
    </row>
    <row r="7" spans="1:48">
      <c r="A7" t="s">
        <v>1024</v>
      </c>
      <c r="B7" s="455">
        <f>SUM(B6:G6)</f>
        <v>4.1362877814874771E-2</v>
      </c>
      <c r="C7" s="1"/>
      <c r="D7" s="1"/>
      <c r="E7" s="1"/>
      <c r="F7" s="1"/>
      <c r="G7" s="1"/>
      <c r="H7" s="1"/>
      <c r="I7" s="1"/>
      <c r="J7" s="1"/>
      <c r="K7" s="1"/>
      <c r="L7" s="1"/>
      <c r="M7" s="1"/>
      <c r="N7" s="1"/>
      <c r="O7" s="1"/>
      <c r="P7" s="1">
        <f>'Exogenous tax and expenses'!P6+1</f>
        <v>1995</v>
      </c>
      <c r="Q7" s="96">
        <f>'Cuenta Ahorro-Inversión-Financi'!H11</f>
        <v>1243225.6000000001</v>
      </c>
      <c r="R7" s="96"/>
      <c r="S7" s="545"/>
      <c r="T7" s="545"/>
      <c r="U7" s="545"/>
      <c r="V7" s="545"/>
      <c r="W7" s="96">
        <f>'Cuenta Ahorro-Inversión-Financi'!AH11</f>
        <v>2990988.4814176718</v>
      </c>
      <c r="X7" s="96"/>
      <c r="Y7" s="720">
        <f>'Cuenta Ahorro-Inversión-Financi'!AX11</f>
        <v>296927.94919999997</v>
      </c>
      <c r="Z7" s="720"/>
      <c r="AA7" s="720">
        <f>'Cuenta Ahorro-Inversión-Financi'!CI11</f>
        <v>1187925.9342999998</v>
      </c>
      <c r="AB7" s="720">
        <f>'Cuenta Ahorro-Inversión-Financi'!CK11+'Cuenta Ahorro-Inversión-Financi'!CJ11</f>
        <v>524982.07006000006</v>
      </c>
      <c r="AC7" s="720">
        <f>'Cuenta Ahorro-Inversión-Financi'!CL11</f>
        <v>0</v>
      </c>
      <c r="AD7" s="720"/>
      <c r="AE7" s="720"/>
      <c r="AF7" s="720"/>
      <c r="AG7" s="545"/>
      <c r="AH7" s="545"/>
      <c r="AI7" s="545"/>
      <c r="AJ7" s="545"/>
      <c r="AK7" s="545"/>
      <c r="AL7" s="1"/>
      <c r="AM7" s="1">
        <f>'Exogenous tax and expenses'!AM6+1</f>
        <v>1995</v>
      </c>
      <c r="AN7" s="28">
        <v>6238520</v>
      </c>
      <c r="AO7" s="28">
        <v>16506000</v>
      </c>
      <c r="AP7" s="28">
        <v>1792000</v>
      </c>
      <c r="AQ7" s="28">
        <v>0</v>
      </c>
      <c r="AR7" s="28">
        <f>'Exogenous tax and expenses'!V7</f>
        <v>0</v>
      </c>
      <c r="AS7" s="28">
        <v>0</v>
      </c>
      <c r="AT7" s="28">
        <f>'Exogenous tax and expenses'!W7</f>
        <v>2990988.4814176718</v>
      </c>
      <c r="AU7" s="1">
        <f>'Exogenous tax and expenses'!AG7</f>
        <v>0</v>
      </c>
      <c r="AV7" s="1">
        <f>'Exogenous tax and expenses'!AH7</f>
        <v>0</v>
      </c>
    </row>
    <row r="8" spans="1:48" ht="15.75">
      <c r="A8" t="s">
        <v>1025</v>
      </c>
      <c r="B8" s="455">
        <f>SUM(H6:K6)</f>
        <v>1.3017889610499675E-2</v>
      </c>
      <c r="C8" s="1"/>
      <c r="D8" s="1"/>
      <c r="E8" s="1"/>
      <c r="F8" s="1"/>
      <c r="G8" s="1"/>
      <c r="H8" s="1"/>
      <c r="I8" s="1"/>
      <c r="J8" s="1"/>
      <c r="K8" s="1"/>
      <c r="L8" s="1"/>
      <c r="M8" s="1"/>
      <c r="N8" s="1"/>
      <c r="O8" s="1"/>
      <c r="P8" s="1">
        <f>'Exogenous tax and expenses'!P7+1</f>
        <v>1996</v>
      </c>
      <c r="Q8" s="721">
        <f>'Cuenta Ahorro-Inversión-Financi'!H12</f>
        <v>1456325.4</v>
      </c>
      <c r="R8" s="721"/>
      <c r="S8" s="721">
        <f>'Cuenta Ahorro-Inversión-Financi'!K12</f>
        <v>1903838.6517149999</v>
      </c>
      <c r="T8" s="721">
        <v>2338287</v>
      </c>
      <c r="U8" s="721">
        <f>'Cuenta Ahorro-Inversión-Financi'!P12</f>
        <v>172304</v>
      </c>
      <c r="V8" s="722"/>
      <c r="W8" s="721">
        <f>'Cuenta Ahorro-Inversión-Financi'!AH12</f>
        <v>3231346.7142505534</v>
      </c>
      <c r="X8" s="721">
        <f>'Cuenta Ahorro-Inversión-Financi'!L12</f>
        <v>516954.41</v>
      </c>
      <c r="Y8" s="96">
        <f>'Cuenta Ahorro-Inversión-Financi'!AX12</f>
        <v>330883.70400000003</v>
      </c>
      <c r="Z8" s="96"/>
      <c r="AA8" s="96">
        <f>'Cuenta Ahorro-Inversión-Financi'!CI12</f>
        <v>1011324.7685500002</v>
      </c>
      <c r="AB8" s="96">
        <f>'Cuenta Ahorro-Inversión-Financi'!CK12+'Cuenta Ahorro-Inversión-Financi'!CJ12</f>
        <v>1019118.98165</v>
      </c>
      <c r="AC8" s="96">
        <f>'Cuenta Ahorro-Inversión-Financi'!CL12</f>
        <v>0</v>
      </c>
      <c r="AD8" s="96"/>
      <c r="AE8" s="96"/>
      <c r="AF8" s="96"/>
      <c r="AG8" s="723"/>
      <c r="AH8" s="723"/>
      <c r="AI8" s="723"/>
      <c r="AJ8" s="723"/>
      <c r="AK8" s="723"/>
      <c r="AL8" s="1"/>
      <c r="AM8" s="1">
        <f>'Exogenous tax and expenses'!AM7+1</f>
        <v>1996</v>
      </c>
      <c r="AN8" s="45">
        <v>6801627</v>
      </c>
      <c r="AO8" s="682">
        <v>18092365</v>
      </c>
      <c r="AP8" s="28">
        <f>'Exogenous tax and expenses'!T8</f>
        <v>2338287</v>
      </c>
      <c r="AQ8" s="28">
        <f>'Exogenous tax and expenses'!U8</f>
        <v>172304</v>
      </c>
      <c r="AR8" s="28">
        <f>'Exogenous tax and expenses'!V8</f>
        <v>0</v>
      </c>
      <c r="AS8" s="28">
        <v>0</v>
      </c>
      <c r="AT8" s="28">
        <f>'Exogenous tax and expenses'!W8</f>
        <v>3231346.7142505534</v>
      </c>
      <c r="AU8" s="1">
        <f>'Exogenous tax and expenses'!AG8</f>
        <v>0</v>
      </c>
      <c r="AV8" s="1">
        <f>'Exogenous tax and expenses'!AH8</f>
        <v>0</v>
      </c>
    </row>
    <row r="9" spans="1:48">
      <c r="B9" s="1"/>
      <c r="C9" s="1"/>
      <c r="D9" s="1"/>
      <c r="E9" s="455"/>
      <c r="F9" s="1"/>
      <c r="G9" s="1"/>
      <c r="H9" s="1"/>
      <c r="I9" s="1"/>
      <c r="J9" s="1"/>
      <c r="K9" s="1"/>
      <c r="L9" s="1"/>
      <c r="M9" s="1"/>
      <c r="N9" s="1"/>
      <c r="O9" s="1"/>
      <c r="P9" s="1">
        <f>'Exogenous tax and expenses'!P8+1</f>
        <v>1997</v>
      </c>
      <c r="Q9" s="96">
        <f>'Cuenta Ahorro-Inversión-Financi'!H13</f>
        <v>1669177.7406299999</v>
      </c>
      <c r="R9" s="96"/>
      <c r="S9" s="96">
        <f>'Cuenta Ahorro-Inversión-Financi'!K13</f>
        <v>2043538.9894920001</v>
      </c>
      <c r="T9" s="546">
        <v>3917421</v>
      </c>
      <c r="U9" s="96">
        <f>'Cuenta Ahorro-Inversión-Financi'!P13</f>
        <v>193825</v>
      </c>
      <c r="V9" s="545"/>
      <c r="W9" s="96">
        <f>'Cuenta Ahorro-Inversión-Financi'!AH13</f>
        <v>3598188.087619985</v>
      </c>
      <c r="X9" s="96">
        <f>'Cuenta Ahorro-Inversión-Financi'!L13</f>
        <v>1986806.99</v>
      </c>
      <c r="Y9" s="720">
        <f>'Cuenta Ahorro-Inversión-Financi'!AX13</f>
        <v>246102.79437000002</v>
      </c>
      <c r="Z9" s="720"/>
      <c r="AA9" s="720">
        <f>'Cuenta Ahorro-Inversión-Financi'!CI13</f>
        <v>1102667.4405700006</v>
      </c>
      <c r="AB9" s="720">
        <f>'Cuenta Ahorro-Inversión-Financi'!CK13+'Cuenta Ahorro-Inversión-Financi'!CJ13</f>
        <v>1011029.82583</v>
      </c>
      <c r="AC9" s="720">
        <f>'Cuenta Ahorro-Inversión-Financi'!CL13</f>
        <v>0</v>
      </c>
      <c r="AD9" s="720"/>
      <c r="AE9" s="720"/>
      <c r="AF9" s="720"/>
      <c r="AG9" s="545"/>
      <c r="AH9" s="545"/>
      <c r="AI9" s="545"/>
      <c r="AJ9" s="545"/>
      <c r="AK9" s="545"/>
      <c r="AL9" s="1"/>
      <c r="AM9" s="1">
        <f>'Exogenous tax and expenses'!AM8+1</f>
        <v>1997</v>
      </c>
      <c r="AN9" s="28">
        <f>IVA!AU44</f>
        <v>8333780</v>
      </c>
      <c r="AO9" s="28">
        <f>IVA!AU10</f>
        <v>19820364</v>
      </c>
      <c r="AP9" s="28">
        <f>'Exogenous tax and expenses'!T9</f>
        <v>3917421</v>
      </c>
      <c r="AQ9" s="28">
        <f>'Exogenous tax and expenses'!U9</f>
        <v>193825</v>
      </c>
      <c r="AR9" s="28">
        <f>'Exogenous tax and expenses'!V9</f>
        <v>0</v>
      </c>
      <c r="AS9" s="28">
        <v>0</v>
      </c>
      <c r="AT9" s="28">
        <f>'Exogenous tax and expenses'!W9</f>
        <v>3598188.087619985</v>
      </c>
      <c r="AU9" s="1">
        <f>'Exogenous tax and expenses'!AG9</f>
        <v>0</v>
      </c>
      <c r="AV9" s="1">
        <f>'Exogenous tax and expenses'!AH9</f>
        <v>0</v>
      </c>
    </row>
    <row r="10" spans="1:48">
      <c r="A10">
        <v>2014</v>
      </c>
      <c r="B10" s="1"/>
      <c r="C10" s="1"/>
      <c r="D10" s="1"/>
      <c r="E10" s="1"/>
      <c r="F10" s="1"/>
      <c r="G10" s="1"/>
      <c r="H10" s="1"/>
      <c r="I10" s="1"/>
      <c r="J10" s="1"/>
      <c r="K10" s="1"/>
      <c r="L10" s="1"/>
      <c r="M10" s="1"/>
      <c r="N10" s="1"/>
      <c r="O10" s="1"/>
      <c r="P10" s="1">
        <f>'Exogenous tax and expenses'!P9+1</f>
        <v>1998</v>
      </c>
      <c r="Q10" s="721">
        <f>'Cuenta Ahorro-Inversión-Financi'!H14</f>
        <v>1902253.64072</v>
      </c>
      <c r="R10" s="721">
        <f>'Cuenta Ahorro-Inversión-Financi'!Q14</f>
        <v>43509.899999999994</v>
      </c>
      <c r="S10" s="721">
        <f>'Cuenta Ahorro-Inversión-Financi'!K14</f>
        <v>2097707.4498379999</v>
      </c>
      <c r="T10" s="721">
        <v>3692434</v>
      </c>
      <c r="U10" s="721">
        <f>'Cuenta Ahorro-Inversión-Financi'!P14</f>
        <v>197766</v>
      </c>
      <c r="V10" s="722"/>
      <c r="W10" s="721">
        <f>'Cuenta Ahorro-Inversión-Financi'!AH14</f>
        <v>3797640.4627122814</v>
      </c>
      <c r="X10" s="721">
        <f>'Cuenta Ahorro-Inversión-Financi'!L14</f>
        <v>1855405.55</v>
      </c>
      <c r="Y10" s="96">
        <f>'Cuenta Ahorro-Inversión-Financi'!AX14</f>
        <v>231684.89786999999</v>
      </c>
      <c r="Z10" s="96"/>
      <c r="AA10" s="96">
        <f>'Cuenta Ahorro-Inversión-Financi'!CI14</f>
        <v>1323795.2416400001</v>
      </c>
      <c r="AB10" s="96">
        <f>'Cuenta Ahorro-Inversión-Financi'!CK14+'Cuenta Ahorro-Inversión-Financi'!CJ14</f>
        <v>1121821.99199</v>
      </c>
      <c r="AC10" s="96">
        <f>'Cuenta Ahorro-Inversión-Financi'!CL14</f>
        <v>0</v>
      </c>
      <c r="AD10" s="96"/>
      <c r="AE10" s="96"/>
      <c r="AF10" s="96"/>
      <c r="AG10" s="723"/>
      <c r="AH10" s="723"/>
      <c r="AI10" s="723"/>
      <c r="AJ10" s="723"/>
      <c r="AK10" s="723"/>
      <c r="AL10" s="1"/>
      <c r="AM10" s="1">
        <f>'Exogenous tax and expenses'!AM9+1</f>
        <v>1998</v>
      </c>
      <c r="AN10" s="28">
        <f>IVA!AU45</f>
        <v>9479886</v>
      </c>
      <c r="AO10" s="28">
        <f>IVA!AU11</f>
        <v>20345746</v>
      </c>
      <c r="AP10" s="28">
        <f>'Exogenous tax and expenses'!T10</f>
        <v>3692434</v>
      </c>
      <c r="AQ10" s="28">
        <f>'Exogenous tax and expenses'!U10</f>
        <v>197766</v>
      </c>
      <c r="AR10" s="28">
        <f>'Exogenous tax and expenses'!V10</f>
        <v>0</v>
      </c>
      <c r="AS10" s="724">
        <v>99629</v>
      </c>
      <c r="AT10" s="28">
        <f>'Exogenous tax and expenses'!W10</f>
        <v>3797640.4627122814</v>
      </c>
      <c r="AU10" s="1">
        <f>'Exogenous tax and expenses'!AG10</f>
        <v>0</v>
      </c>
      <c r="AV10" s="1">
        <f>'Exogenous tax and expenses'!AH10</f>
        <v>0</v>
      </c>
    </row>
    <row r="11" spans="1:48">
      <c r="A11">
        <v>2015</v>
      </c>
      <c r="B11" s="1"/>
      <c r="C11" s="1"/>
      <c r="D11" s="1"/>
      <c r="E11" s="1"/>
      <c r="F11" s="1"/>
      <c r="G11" s="1"/>
      <c r="H11" s="1"/>
      <c r="I11" s="1"/>
      <c r="J11" s="1"/>
      <c r="K11" s="1"/>
      <c r="L11" s="1"/>
      <c r="M11" s="1"/>
      <c r="N11" s="1"/>
      <c r="O11" s="1"/>
      <c r="P11" s="1">
        <f>'Exogenous tax and expenses'!P10+1</f>
        <v>1999</v>
      </c>
      <c r="Q11" s="96">
        <f>'Cuenta Ahorro-Inversión-Financi'!H15</f>
        <v>1850960.8851099999</v>
      </c>
      <c r="R11" s="96">
        <f>'Cuenta Ahorro-Inversión-Financi'!Q15</f>
        <v>193381.3</v>
      </c>
      <c r="S11" s="96">
        <f>'Cuenta Ahorro-Inversión-Financi'!K15</f>
        <v>1876157.7644810001</v>
      </c>
      <c r="T11" s="546">
        <v>3587875</v>
      </c>
      <c r="U11" s="96">
        <f>'Cuenta Ahorro-Inversión-Financi'!P15</f>
        <v>196994</v>
      </c>
      <c r="V11" s="545"/>
      <c r="W11" s="96">
        <f>'Cuenta Ahorro-Inversión-Financi'!AH15</f>
        <v>3702544.4745262121</v>
      </c>
      <c r="X11" s="96">
        <f>'Cuenta Ahorro-Inversión-Financi'!L15</f>
        <v>1868434.31</v>
      </c>
      <c r="Y11" s="720">
        <f>'Cuenta Ahorro-Inversión-Financi'!AX15</f>
        <v>239526.32367000001</v>
      </c>
      <c r="Z11" s="720"/>
      <c r="AA11" s="720">
        <f>'Cuenta Ahorro-Inversión-Financi'!CI15</f>
        <v>1408351.8166299998</v>
      </c>
      <c r="AB11" s="720">
        <f>'Cuenta Ahorro-Inversión-Financi'!CK15+'Cuenta Ahorro-Inversión-Financi'!CJ15</f>
        <v>1053075.5174</v>
      </c>
      <c r="AC11" s="720">
        <f>'Cuenta Ahorro-Inversión-Financi'!CL15</f>
        <v>0</v>
      </c>
      <c r="AD11" s="720"/>
      <c r="AE11" s="720"/>
      <c r="AF11" s="720"/>
      <c r="AG11" s="545"/>
      <c r="AH11" s="545"/>
      <c r="AI11" s="545"/>
      <c r="AJ11" s="545"/>
      <c r="AK11" s="545"/>
      <c r="AL11" s="1"/>
      <c r="AM11" s="1">
        <f>'Exogenous tax and expenses'!AM10+1</f>
        <v>1999</v>
      </c>
      <c r="AN11" s="28">
        <f>IVA!AU46</f>
        <v>9239967</v>
      </c>
      <c r="AO11" s="28">
        <f>IVA!AU12</f>
        <v>18196927</v>
      </c>
      <c r="AP11" s="28">
        <f>'Exogenous tax and expenses'!T11</f>
        <v>3587875</v>
      </c>
      <c r="AQ11" s="28">
        <f>'Exogenous tax and expenses'!U11</f>
        <v>196994</v>
      </c>
      <c r="AR11" s="28">
        <f>'Exogenous tax and expenses'!V11</f>
        <v>0</v>
      </c>
      <c r="AS11" s="724">
        <v>385409</v>
      </c>
      <c r="AT11" s="28">
        <f>'Exogenous tax and expenses'!W11</f>
        <v>3702544.4745262121</v>
      </c>
      <c r="AU11" s="1">
        <f>'Exogenous tax and expenses'!AG11</f>
        <v>0</v>
      </c>
      <c r="AV11" s="1">
        <f>'Exogenous tax and expenses'!AH11</f>
        <v>0</v>
      </c>
    </row>
    <row r="12" spans="1:48">
      <c r="A12">
        <v>2016</v>
      </c>
      <c r="B12" s="1"/>
      <c r="C12" s="1"/>
      <c r="D12" s="1"/>
      <c r="E12" s="1"/>
      <c r="F12" s="1"/>
      <c r="G12" s="1"/>
      <c r="H12" s="1"/>
      <c r="I12" s="1"/>
      <c r="J12" s="1"/>
      <c r="K12" s="1"/>
      <c r="L12" s="1"/>
      <c r="M12" s="1"/>
      <c r="N12" s="1"/>
      <c r="O12" s="1"/>
      <c r="P12" s="1">
        <f>'Exogenous tax and expenses'!P11+1</f>
        <v>2000</v>
      </c>
      <c r="Q12" s="721">
        <f>'Cuenta Ahorro-Inversión-Financi'!H16</f>
        <v>2095954.20594</v>
      </c>
      <c r="R12" s="721">
        <f>'Cuenta Ahorro-Inversión-Financi'!Q16</f>
        <v>225126.79826700001</v>
      </c>
      <c r="S12" s="721">
        <f>'Cuenta Ahorro-Inversión-Financi'!K16</f>
        <v>1959837.8538478839</v>
      </c>
      <c r="T12" s="721">
        <v>3478201</v>
      </c>
      <c r="U12" s="721">
        <f>'Cuenta Ahorro-Inversión-Financi'!P16</f>
        <v>487254.75526000001</v>
      </c>
      <c r="V12" s="722"/>
      <c r="W12" s="721">
        <f>'Cuenta Ahorro-Inversión-Financi'!AH16</f>
        <v>3765213.684469603</v>
      </c>
      <c r="X12" s="721">
        <f>'Cuenta Ahorro-Inversión-Financi'!L16</f>
        <v>1776845.4022295002</v>
      </c>
      <c r="Y12" s="96">
        <f>'Cuenta Ahorro-Inversión-Financi'!AX16</f>
        <v>215402.99416</v>
      </c>
      <c r="Z12" s="96"/>
      <c r="AA12" s="96">
        <f>'Cuenta Ahorro-Inversión-Financi'!CI16</f>
        <v>1300825.3373399999</v>
      </c>
      <c r="AB12" s="96">
        <f>'Cuenta Ahorro-Inversión-Financi'!CK16+'Cuenta Ahorro-Inversión-Financi'!CJ16</f>
        <v>1093248.2544200001</v>
      </c>
      <c r="AC12" s="96">
        <f>'Cuenta Ahorro-Inversión-Financi'!CL16</f>
        <v>0</v>
      </c>
      <c r="AD12" s="96"/>
      <c r="AE12" s="96"/>
      <c r="AF12" s="96"/>
      <c r="AG12" s="723"/>
      <c r="AH12" s="723"/>
      <c r="AI12" s="723"/>
      <c r="AJ12" s="723"/>
      <c r="AK12" s="723"/>
      <c r="AL12" s="1"/>
      <c r="AM12" s="1">
        <f>'Exogenous tax and expenses'!AM11+1</f>
        <v>2000</v>
      </c>
      <c r="AN12" s="28">
        <f>IVA!AU47</f>
        <v>10455144.704500001</v>
      </c>
      <c r="AO12" s="28">
        <f>IVA!AU13</f>
        <v>19008543.43567</v>
      </c>
      <c r="AP12" s="28">
        <f>'Exogenous tax and expenses'!T12</f>
        <v>3478201</v>
      </c>
      <c r="AQ12" s="28">
        <f>'Exogenous tax and expenses'!U12</f>
        <v>487254.75526000001</v>
      </c>
      <c r="AR12" s="28">
        <f>'Exogenous tax and expenses'!V12</f>
        <v>0</v>
      </c>
      <c r="AS12" s="724">
        <v>353552</v>
      </c>
      <c r="AT12" s="28">
        <f>'Exogenous tax and expenses'!W12</f>
        <v>3765213.684469603</v>
      </c>
      <c r="AU12" s="1">
        <f>'Exogenous tax and expenses'!AG12</f>
        <v>0</v>
      </c>
      <c r="AV12" s="1">
        <f>'Exogenous tax and expenses'!AH12</f>
        <v>0</v>
      </c>
    </row>
    <row r="13" spans="1:48">
      <c r="A13">
        <v>2017</v>
      </c>
      <c r="B13" s="1"/>
      <c r="C13" s="1"/>
      <c r="D13" s="1"/>
      <c r="E13" s="1"/>
      <c r="F13" s="1"/>
      <c r="G13" s="1"/>
      <c r="H13" s="1"/>
      <c r="I13" s="1"/>
      <c r="J13" s="1"/>
      <c r="K13" s="1"/>
      <c r="L13" s="1"/>
      <c r="M13" s="1"/>
      <c r="N13" s="1"/>
      <c r="O13" s="1"/>
      <c r="P13" s="1">
        <f>'Exogenous tax and expenses'!P12+1</f>
        <v>2001</v>
      </c>
      <c r="Q13" s="96">
        <f>'Cuenta Ahorro-Inversión-Financi'!H17</f>
        <v>1994592.0704699999</v>
      </c>
      <c r="R13" s="96">
        <f>'Cuenta Ahorro-Inversión-Financi'!Q17</f>
        <v>213002.63159</v>
      </c>
      <c r="S13" s="96">
        <f>'Cuenta Ahorro-Inversión-Financi'!K17</f>
        <v>1582734.8478956614</v>
      </c>
      <c r="T13" s="546">
        <v>3419627</v>
      </c>
      <c r="U13" s="96">
        <f>'Cuenta Ahorro-Inversión-Financi'!P17</f>
        <v>225853.29969000001</v>
      </c>
      <c r="V13" s="546">
        <v>2933082</v>
      </c>
      <c r="W13" s="96">
        <f>'Cuenta Ahorro-Inversión-Financi'!AH17</f>
        <v>3343942.456313069</v>
      </c>
      <c r="X13" s="96">
        <f>'Cuenta Ahorro-Inversión-Financi'!L17</f>
        <v>1739519.1815753002</v>
      </c>
      <c r="Y13" s="720">
        <f>'Cuenta Ahorro-Inversión-Financi'!AX17</f>
        <v>184976.21637000001</v>
      </c>
      <c r="Z13" s="720"/>
      <c r="AA13" s="720">
        <f>'Cuenta Ahorro-Inversión-Financi'!CI17</f>
        <v>1232567.6474900001</v>
      </c>
      <c r="AB13" s="720">
        <f>'Cuenta Ahorro-Inversión-Financi'!CK17+'Cuenta Ahorro-Inversión-Financi'!CJ17</f>
        <v>1053013.1657499999</v>
      </c>
      <c r="AC13" s="720">
        <f>'Cuenta Ahorro-Inversión-Financi'!CL17</f>
        <v>0</v>
      </c>
      <c r="AD13" s="720"/>
      <c r="AE13" s="720"/>
      <c r="AF13" s="720"/>
      <c r="AG13" s="545"/>
      <c r="AH13" s="545"/>
      <c r="AI13" s="545"/>
      <c r="AJ13" s="545"/>
      <c r="AK13" s="545"/>
      <c r="AL13" s="1"/>
      <c r="AM13" s="1">
        <f>'Exogenous tax and expenses'!AM12+1</f>
        <v>2001</v>
      </c>
      <c r="AN13" s="28">
        <f>IVA!AU48</f>
        <v>10091279.71631</v>
      </c>
      <c r="AO13" s="28">
        <f>IVA!AU14</f>
        <v>15351006.73982</v>
      </c>
      <c r="AP13" s="28">
        <f>'Exogenous tax and expenses'!T13</f>
        <v>3419627</v>
      </c>
      <c r="AQ13" s="28">
        <f>'Exogenous tax and expenses'!U13</f>
        <v>225853.29969000001</v>
      </c>
      <c r="AR13" s="28">
        <f>'Exogenous tax and expenses'!V13</f>
        <v>2933082</v>
      </c>
      <c r="AS13" s="724">
        <v>302354</v>
      </c>
      <c r="AT13" s="28">
        <f>'Exogenous tax and expenses'!W13</f>
        <v>3343942.456313069</v>
      </c>
      <c r="AU13" s="1">
        <f>'Exogenous tax and expenses'!AG13</f>
        <v>0</v>
      </c>
      <c r="AV13" s="1">
        <f>'Exogenous tax and expenses'!AH13</f>
        <v>0</v>
      </c>
    </row>
    <row r="14" spans="1:48">
      <c r="A14">
        <v>2018</v>
      </c>
      <c r="B14" s="1"/>
      <c r="C14" s="1"/>
      <c r="D14" s="1"/>
      <c r="E14" s="1"/>
      <c r="F14" s="1"/>
      <c r="G14" s="1"/>
      <c r="H14" s="1"/>
      <c r="I14" s="1"/>
      <c r="J14" s="1"/>
      <c r="K14" s="1"/>
      <c r="L14" s="1"/>
      <c r="M14" s="1"/>
      <c r="N14" s="1"/>
      <c r="O14" s="1"/>
      <c r="P14" s="1">
        <f>'Exogenous tax and expenses'!P13+1</f>
        <v>2002</v>
      </c>
      <c r="Q14" s="721">
        <f>'Cuenta Ahorro-Inversión-Financi'!H18</f>
        <v>1721480.99196</v>
      </c>
      <c r="R14" s="721">
        <f>'Cuenta Ahorro-Inversión-Financi'!Q18</f>
        <v>161900.70904000002</v>
      </c>
      <c r="S14" s="721">
        <f>'Cuenta Ahorro-Inversión-Financi'!K18</f>
        <v>1571513.8881943102</v>
      </c>
      <c r="T14" s="721">
        <v>4483171</v>
      </c>
      <c r="U14" s="721">
        <f>'Cuenta Ahorro-Inversión-Financi'!P18</f>
        <v>217634.09198</v>
      </c>
      <c r="V14" s="721">
        <v>4857335</v>
      </c>
      <c r="W14" s="721">
        <f>'Cuenta Ahorro-Inversión-Financi'!AH18</f>
        <v>3012321.7327098199</v>
      </c>
      <c r="X14" s="721">
        <f>'Cuenta Ahorro-Inversión-Financi'!L18</f>
        <v>1808967.1664198001</v>
      </c>
      <c r="Y14" s="96">
        <f>'Cuenta Ahorro-Inversión-Financi'!AX18</f>
        <v>210715.14495000002</v>
      </c>
      <c r="Z14" s="96"/>
      <c r="AA14" s="96">
        <f>'Cuenta Ahorro-Inversión-Financi'!CI18</f>
        <v>1228490.3344700001</v>
      </c>
      <c r="AB14" s="96">
        <f>'Cuenta Ahorro-Inversión-Financi'!CK18+'Cuenta Ahorro-Inversión-Financi'!CJ18</f>
        <v>896657.02276000008</v>
      </c>
      <c r="AC14" s="96">
        <f>'Cuenta Ahorro-Inversión-Financi'!CL18</f>
        <v>0</v>
      </c>
      <c r="AD14" s="96"/>
      <c r="AE14" s="96"/>
      <c r="AF14" s="96"/>
      <c r="AG14" s="723"/>
      <c r="AH14" s="723"/>
      <c r="AI14" s="723"/>
      <c r="AJ14" s="723"/>
      <c r="AK14" s="723"/>
      <c r="AL14" s="1"/>
      <c r="AM14" s="1">
        <f>'Exogenous tax and expenses'!AM13+1</f>
        <v>2002</v>
      </c>
      <c r="AN14" s="28">
        <f>IVA!AU49</f>
        <v>8919338.8411400001</v>
      </c>
      <c r="AO14" s="28">
        <f>IVA!AU15</f>
        <v>15242174.216019999</v>
      </c>
      <c r="AP14" s="28">
        <f>'Exogenous tax and expenses'!T14</f>
        <v>4483171</v>
      </c>
      <c r="AQ14" s="28">
        <f>'Exogenous tax and expenses'!U14</f>
        <v>217634.09198</v>
      </c>
      <c r="AR14" s="28">
        <f>'Exogenous tax and expenses'!V14</f>
        <v>4857335</v>
      </c>
      <c r="AS14" s="724">
        <v>223257</v>
      </c>
      <c r="AT14" s="28">
        <f>'Exogenous tax and expenses'!W14</f>
        <v>3012321.7327098199</v>
      </c>
      <c r="AU14" s="1">
        <f>'Exogenous tax and expenses'!AG14</f>
        <v>0</v>
      </c>
      <c r="AV14" s="1">
        <f>'Exogenous tax and expenses'!AH14</f>
        <v>0</v>
      </c>
    </row>
    <row r="15" spans="1:48">
      <c r="B15" s="1"/>
      <c r="C15" s="1"/>
      <c r="D15" s="1"/>
      <c r="E15" s="1"/>
      <c r="F15" s="1"/>
      <c r="G15" s="1"/>
      <c r="H15" s="1"/>
      <c r="I15" s="1"/>
      <c r="J15" s="1"/>
      <c r="K15" s="1"/>
      <c r="L15" s="1"/>
      <c r="M15" s="1"/>
      <c r="N15" s="1"/>
      <c r="O15" s="1"/>
      <c r="P15" s="1">
        <f>'Exogenous tax and expenses'!P14+1</f>
        <v>2003</v>
      </c>
      <c r="Q15" s="96">
        <f>'Cuenta Ahorro-Inversión-Financi'!H19</f>
        <v>2926862.8053299999</v>
      </c>
      <c r="R15" s="96">
        <f>'Cuenta Ahorro-Inversión-Financi'!Q19</f>
        <v>206266.97884799994</v>
      </c>
      <c r="S15" s="96">
        <f>'Cuenta Ahorro-Inversión-Financi'!K19</f>
        <v>2159757.5957074119</v>
      </c>
      <c r="T15" s="546">
        <v>4973177</v>
      </c>
      <c r="U15" s="96">
        <f>'Cuenta Ahorro-Inversión-Financi'!P19</f>
        <v>256304.73254</v>
      </c>
      <c r="V15" s="546">
        <v>5900237</v>
      </c>
      <c r="W15" s="96">
        <f>'Cuenta Ahorro-Inversión-Financi'!AH19</f>
        <v>4436735.161974933</v>
      </c>
      <c r="X15" s="96">
        <f>'Cuenta Ahorro-Inversión-Financi'!L19</f>
        <v>1866693.8263829998</v>
      </c>
      <c r="Y15" s="720">
        <f>'Cuenta Ahorro-Inversión-Financi'!AX19</f>
        <v>256579.96756999998</v>
      </c>
      <c r="Z15" s="720"/>
      <c r="AA15" s="720">
        <f>'Cuenta Ahorro-Inversión-Financi'!CI19</f>
        <v>1474636.9438199999</v>
      </c>
      <c r="AB15" s="720">
        <f>'Cuenta Ahorro-Inversión-Financi'!CK19+'Cuenta Ahorro-Inversión-Financi'!CJ19</f>
        <v>1080109.0336399998</v>
      </c>
      <c r="AC15" s="720">
        <f>'Cuenta Ahorro-Inversión-Financi'!CL19</f>
        <v>0</v>
      </c>
      <c r="AD15" s="720"/>
      <c r="AE15" s="720"/>
      <c r="AF15" s="720"/>
      <c r="AG15" s="545"/>
      <c r="AH15" s="545"/>
      <c r="AI15" s="545"/>
      <c r="AJ15" s="545"/>
      <c r="AK15" s="545"/>
      <c r="AL15" s="1"/>
      <c r="AM15" s="1">
        <f>'Exogenous tax and expenses'!AM14+1</f>
        <v>2003</v>
      </c>
      <c r="AN15" s="28">
        <f>IVA!AU50</f>
        <v>14750736.620649999</v>
      </c>
      <c r="AO15" s="28">
        <f>IVA!AU16</f>
        <v>20947572.773900002</v>
      </c>
      <c r="AP15" s="28">
        <f>'Exogenous tax and expenses'!T15</f>
        <v>4973177</v>
      </c>
      <c r="AQ15" s="28">
        <f>'Exogenous tax and expenses'!U15</f>
        <v>256304.73254</v>
      </c>
      <c r="AR15" s="28">
        <f>'Exogenous tax and expenses'!V15</f>
        <v>5900237</v>
      </c>
      <c r="AS15" s="724">
        <v>282741</v>
      </c>
      <c r="AT15" s="28">
        <f>'Exogenous tax and expenses'!W15</f>
        <v>4436735.161974933</v>
      </c>
      <c r="AU15" s="1">
        <f>'Exogenous tax and expenses'!AG15</f>
        <v>0</v>
      </c>
      <c r="AV15" s="1">
        <f>'Exogenous tax and expenses'!AH15</f>
        <v>0</v>
      </c>
    </row>
    <row r="16" spans="1:48">
      <c r="B16" s="1"/>
      <c r="C16" s="1"/>
      <c r="D16" s="1"/>
      <c r="E16" s="1"/>
      <c r="F16" s="1"/>
      <c r="G16" s="1"/>
      <c r="H16" s="1"/>
      <c r="I16" s="1"/>
      <c r="J16" s="1"/>
      <c r="K16" s="1"/>
      <c r="L16" s="1"/>
      <c r="M16" s="1"/>
      <c r="N16" s="1"/>
      <c r="O16" s="1"/>
      <c r="P16" s="1">
        <f>'Exogenous tax and expenses'!P15+1</f>
        <v>2004</v>
      </c>
      <c r="Q16" s="721">
        <f>'Cuenta Ahorro-Inversión-Financi'!H20</f>
        <v>4445674.9967999998</v>
      </c>
      <c r="R16" s="721">
        <f>'Cuenta Ahorro-Inversión-Financi'!Q20</f>
        <v>319188.20852099999</v>
      </c>
      <c r="S16" s="721">
        <f>'Cuenta Ahorro-Inversión-Financi'!K20</f>
        <v>3193816.3855059966</v>
      </c>
      <c r="T16" s="721">
        <v>5378515</v>
      </c>
      <c r="U16" s="721">
        <f>'Cuenta Ahorro-Inversión-Financi'!P20</f>
        <v>343399.86403</v>
      </c>
      <c r="V16" s="721">
        <v>7681862</v>
      </c>
      <c r="W16" s="721">
        <f>'Cuenta Ahorro-Inversión-Financi'!AH20</f>
        <v>6613425.9880671129</v>
      </c>
      <c r="X16" s="721">
        <f>'Cuenta Ahorro-Inversión-Financi'!L20</f>
        <v>2024594.8909331001</v>
      </c>
      <c r="Y16" s="96">
        <f>'Cuenta Ahorro-Inversión-Financi'!AX20</f>
        <v>292385.97511999996</v>
      </c>
      <c r="Z16" s="96"/>
      <c r="AA16" s="96">
        <f>'Cuenta Ahorro-Inversión-Financi'!CI20</f>
        <v>1469347.76251</v>
      </c>
      <c r="AB16" s="96">
        <f>'Cuenta Ahorro-Inversión-Financi'!CK20+'Cuenta Ahorro-Inversión-Financi'!CJ20</f>
        <v>1558850.8952800001</v>
      </c>
      <c r="AC16" s="96">
        <f>'Cuenta Ahorro-Inversión-Financi'!CL20</f>
        <v>0</v>
      </c>
      <c r="AD16" s="96"/>
      <c r="AE16" s="96"/>
      <c r="AF16" s="96"/>
      <c r="AG16" s="723"/>
      <c r="AH16" s="723"/>
      <c r="AI16" s="723"/>
      <c r="AJ16" s="723"/>
      <c r="AK16" s="723"/>
      <c r="AL16" s="1"/>
      <c r="AM16" s="1">
        <f>'Exogenous tax and expenses'!AM15+1</f>
        <v>2004</v>
      </c>
      <c r="AN16" s="28">
        <f>IVA!AU51</f>
        <v>22289094.101500001</v>
      </c>
      <c r="AO16" s="28">
        <f>IVA!AU17</f>
        <v>30976949.123750001</v>
      </c>
      <c r="AP16" s="28">
        <f>'Exogenous tax and expenses'!T16</f>
        <v>5378515</v>
      </c>
      <c r="AQ16" s="28">
        <f>'Exogenous tax and expenses'!U16</f>
        <v>343399.86403</v>
      </c>
      <c r="AR16" s="28">
        <f>'Exogenous tax and expenses'!V16</f>
        <v>7681862</v>
      </c>
      <c r="AS16" s="724">
        <v>499377</v>
      </c>
      <c r="AT16" s="28">
        <f>'Exogenous tax and expenses'!W16</f>
        <v>6613425.9880671129</v>
      </c>
      <c r="AU16" s="1">
        <f>'Exogenous tax and expenses'!AG16</f>
        <v>0</v>
      </c>
      <c r="AV16" s="1">
        <f>'Exogenous tax and expenses'!AH16</f>
        <v>0</v>
      </c>
    </row>
    <row r="17" spans="2:48">
      <c r="B17" s="1"/>
      <c r="C17" s="1"/>
      <c r="D17" s="1"/>
      <c r="E17" s="1"/>
      <c r="F17" s="1"/>
      <c r="G17" s="1"/>
      <c r="H17" s="1"/>
      <c r="I17" s="1"/>
      <c r="J17" s="1"/>
      <c r="K17" s="1"/>
      <c r="L17" s="1"/>
      <c r="M17" s="1"/>
      <c r="N17" s="1"/>
      <c r="O17" s="1"/>
      <c r="P17" s="1">
        <f>'Exogenous tax and expenses'!P16+1</f>
        <v>2005</v>
      </c>
      <c r="Q17" s="96">
        <f>'Cuenta Ahorro-Inversión-Financi'!H21</f>
        <v>5603319.4768000003</v>
      </c>
      <c r="R17" s="96">
        <f>'Cuenta Ahorro-Inversión-Financi'!Q21</f>
        <v>414100.61929599999</v>
      </c>
      <c r="S17" s="96">
        <f>'Cuenta Ahorro-Inversión-Financi'!K21</f>
        <v>3799668.1486333674</v>
      </c>
      <c r="T17" s="546">
        <v>6017379</v>
      </c>
      <c r="U17" s="96">
        <f>'Cuenta Ahorro-Inversión-Financi'!P21</f>
        <v>392086.01100000006</v>
      </c>
      <c r="V17" s="546">
        <v>9434291</v>
      </c>
      <c r="W17" s="96">
        <f>'Cuenta Ahorro-Inversión-Financi'!AH21</f>
        <v>8146311.5044247787</v>
      </c>
      <c r="X17" s="96">
        <f>'Cuenta Ahorro-Inversión-Financi'!L21</f>
        <v>2283146.7197572999</v>
      </c>
      <c r="Y17" s="720">
        <f>'Cuenta Ahorro-Inversión-Financi'!AX21</f>
        <v>443286.29687999998</v>
      </c>
      <c r="Z17" s="720"/>
      <c r="AA17" s="720">
        <f>'Cuenta Ahorro-Inversión-Financi'!CI21</f>
        <v>1538056.6647699999</v>
      </c>
      <c r="AB17" s="720">
        <f>'Cuenta Ahorro-Inversión-Financi'!CK21+'Cuenta Ahorro-Inversión-Financi'!CJ21</f>
        <v>1940345.9810799998</v>
      </c>
      <c r="AC17" s="720">
        <f>'Cuenta Ahorro-Inversión-Financi'!CL21</f>
        <v>0</v>
      </c>
      <c r="AD17" s="720"/>
      <c r="AE17" s="720"/>
      <c r="AF17" s="720"/>
      <c r="AG17" s="545"/>
      <c r="AH17" s="545"/>
      <c r="AI17" s="545"/>
      <c r="AJ17" s="545"/>
      <c r="AK17" s="545"/>
      <c r="AL17" s="1"/>
      <c r="AM17" s="1">
        <f>'Exogenous tax and expenses'!AM16+1</f>
        <v>2005</v>
      </c>
      <c r="AN17" s="28">
        <f>IVA!AU52</f>
        <v>28045399.052540001</v>
      </c>
      <c r="AO17" s="28">
        <f>IVA!AU18</f>
        <v>36853128.896669999</v>
      </c>
      <c r="AP17" s="28">
        <f>'Exogenous tax and expenses'!T17</f>
        <v>6017379</v>
      </c>
      <c r="AQ17" s="28">
        <f>'Exogenous tax and expenses'!U17</f>
        <v>392086.01100000006</v>
      </c>
      <c r="AR17" s="28">
        <f>'Exogenous tax and expenses'!V17</f>
        <v>9434291</v>
      </c>
      <c r="AS17" s="724">
        <v>756922</v>
      </c>
      <c r="AT17" s="28">
        <f>'Exogenous tax and expenses'!W17</f>
        <v>8146311.5044247787</v>
      </c>
      <c r="AU17" s="1">
        <f>'Exogenous tax and expenses'!AG17</f>
        <v>0</v>
      </c>
      <c r="AV17" s="1">
        <f>'Exogenous tax and expenses'!AH17</f>
        <v>0</v>
      </c>
    </row>
    <row r="18" spans="2:48">
      <c r="B18" s="1"/>
      <c r="C18" s="1"/>
      <c r="D18" s="1"/>
      <c r="E18" s="1"/>
      <c r="F18" s="1"/>
      <c r="G18" s="1"/>
      <c r="H18" s="1"/>
      <c r="I18" s="1"/>
      <c r="J18" s="1"/>
      <c r="K18" s="1"/>
      <c r="L18" s="1"/>
      <c r="M18" s="1"/>
      <c r="N18" s="1"/>
      <c r="O18" s="1"/>
      <c r="P18" s="1">
        <f>'Exogenous tax and expenses'!P17+1</f>
        <v>2006</v>
      </c>
      <c r="Q18" s="721">
        <f>'Cuenta Ahorro-Inversión-Financi'!H22</f>
        <v>6733513.0545899998</v>
      </c>
      <c r="R18" s="721">
        <f>'Cuenta Ahorro-Inversión-Financi'!Q22</f>
        <v>463050.86803499988</v>
      </c>
      <c r="S18" s="721">
        <f>'Cuenta Ahorro-Inversión-Financi'!K22</f>
        <v>4856595.5701867305</v>
      </c>
      <c r="T18" s="721">
        <v>6572626</v>
      </c>
      <c r="U18" s="721">
        <f>'Cuenta Ahorro-Inversión-Financi'!P22</f>
        <v>398243.52608999994</v>
      </c>
      <c r="V18" s="721">
        <v>11685685</v>
      </c>
      <c r="W18" s="721">
        <f>'Cuenta Ahorro-Inversión-Financi'!AH22</f>
        <v>10103645.425059063</v>
      </c>
      <c r="X18" s="721">
        <f>'Cuenta Ahorro-Inversión-Financi'!L22</f>
        <v>2437923.9389404999</v>
      </c>
      <c r="Y18" s="96">
        <f>'Cuenta Ahorro-Inversión-Financi'!AX22</f>
        <v>596706.40428999998</v>
      </c>
      <c r="Z18" s="96"/>
      <c r="AA18" s="96">
        <f>'Cuenta Ahorro-Inversión-Financi'!CI22</f>
        <v>1685933.6627</v>
      </c>
      <c r="AB18" s="96">
        <f>'Cuenta Ahorro-Inversión-Financi'!CK22+'Cuenta Ahorro-Inversión-Financi'!CJ22</f>
        <v>2798293.2790600001</v>
      </c>
      <c r="AC18" s="96">
        <f>'Cuenta Ahorro-Inversión-Financi'!CL22</f>
        <v>0</v>
      </c>
      <c r="AD18" s="96"/>
      <c r="AE18" s="96"/>
      <c r="AF18" s="96"/>
      <c r="AG18" s="723"/>
      <c r="AH18" s="723"/>
      <c r="AI18" s="723"/>
      <c r="AJ18" s="723"/>
      <c r="AK18" s="723"/>
      <c r="AL18" s="1"/>
      <c r="AM18" s="1">
        <f>'Exogenous tax and expenses'!AM17+1</f>
        <v>2006</v>
      </c>
      <c r="AN18" s="28">
        <f>IVA!AU53</f>
        <v>33615092.076590002</v>
      </c>
      <c r="AO18" s="28">
        <f>IVA!AU19</f>
        <v>47104308.993790001</v>
      </c>
      <c r="AP18" s="28">
        <f>'Exogenous tax and expenses'!T18</f>
        <v>6572626</v>
      </c>
      <c r="AQ18" s="28">
        <f>'Exogenous tax and expenses'!U18</f>
        <v>398243.52608999994</v>
      </c>
      <c r="AR18" s="28">
        <f>'Exogenous tax and expenses'!V18</f>
        <v>11685685</v>
      </c>
      <c r="AS18" s="724">
        <v>868746</v>
      </c>
      <c r="AT18" s="28">
        <f>'Exogenous tax and expenses'!W18</f>
        <v>10103645.425059063</v>
      </c>
      <c r="AU18" s="1">
        <f>'Exogenous tax and expenses'!AG18</f>
        <v>0</v>
      </c>
      <c r="AV18" s="1">
        <f>'Exogenous tax and expenses'!AH18</f>
        <v>0</v>
      </c>
    </row>
    <row r="19" spans="2:48">
      <c r="B19" s="1"/>
      <c r="C19" s="1"/>
      <c r="D19" s="1"/>
      <c r="E19" s="1"/>
      <c r="F19" s="1"/>
      <c r="G19" s="1"/>
      <c r="H19" s="1"/>
      <c r="I19" s="1"/>
      <c r="J19" s="1"/>
      <c r="K19" s="1"/>
      <c r="L19" s="1"/>
      <c r="M19" s="1"/>
      <c r="N19" s="1"/>
      <c r="O19" s="1"/>
      <c r="P19" s="1">
        <f>'Exogenous tax and expenses'!P18+1</f>
        <v>2007</v>
      </c>
      <c r="Q19" s="96">
        <f>'Cuenta Ahorro-Inversión-Financi'!H23</f>
        <v>8488745.6007599998</v>
      </c>
      <c r="R19" s="96">
        <f>'Cuenta Ahorro-Inversión-Financi'!Q23</f>
        <v>525160.25262399996</v>
      </c>
      <c r="S19" s="96">
        <f>'Cuenta Ahorro-Inversión-Financi'!K23</f>
        <v>6461394.6538314875</v>
      </c>
      <c r="T19" s="546">
        <v>7465676</v>
      </c>
      <c r="U19" s="96">
        <f>'Cuenta Ahorro-Inversión-Financi'!P23</f>
        <v>447075.21996999998</v>
      </c>
      <c r="V19" s="546">
        <v>15064961</v>
      </c>
      <c r="W19" s="96">
        <f>'Cuenta Ahorro-Inversión-Financi'!AH23</f>
        <v>13371549.19129</v>
      </c>
      <c r="X19" s="96">
        <f>'Cuenta Ahorro-Inversión-Financi'!L23</f>
        <v>2704319.9941650997</v>
      </c>
      <c r="Y19" s="720">
        <f>'Cuenta Ahorro-Inversión-Financi'!AX23</f>
        <v>838168.47267000005</v>
      </c>
      <c r="Z19" s="720"/>
      <c r="AA19" s="720">
        <f>'Cuenta Ahorro-Inversión-Financi'!CI23</f>
        <v>2059936.2620099999</v>
      </c>
      <c r="AB19" s="720">
        <f>'Cuenta Ahorro-Inversión-Financi'!CK23+'Cuenta Ahorro-Inversión-Financi'!CJ23</f>
        <v>4169261.1005799999</v>
      </c>
      <c r="AC19" s="720">
        <f>'Cuenta Ahorro-Inversión-Financi'!CL23</f>
        <v>0</v>
      </c>
      <c r="AD19" s="720"/>
      <c r="AE19" s="720"/>
      <c r="AF19" s="720"/>
      <c r="AG19" s="545"/>
      <c r="AH19" s="545"/>
      <c r="AI19" s="545"/>
      <c r="AJ19" s="545"/>
      <c r="AK19" s="545"/>
      <c r="AL19" s="1"/>
      <c r="AM19" s="1">
        <f>'Exogenous tax and expenses'!AM18+1</f>
        <v>2007</v>
      </c>
      <c r="AN19" s="28">
        <f>IVA!AU54</f>
        <v>42854905.42684</v>
      </c>
      <c r="AO19" s="28">
        <f>IVA!AU20</f>
        <v>62669317.612790003</v>
      </c>
      <c r="AP19" s="28">
        <f>'Exogenous tax and expenses'!T19</f>
        <v>7465676</v>
      </c>
      <c r="AQ19" s="28">
        <f>'Exogenous tax and expenses'!U19</f>
        <v>447075.21996999998</v>
      </c>
      <c r="AR19" s="28">
        <f>'Exogenous tax and expenses'!V19</f>
        <v>15064961</v>
      </c>
      <c r="AS19" s="724">
        <v>1063328</v>
      </c>
      <c r="AT19" s="28">
        <f>'Exogenous tax and expenses'!W19</f>
        <v>13371549.19129</v>
      </c>
      <c r="AU19" s="1">
        <f>'Exogenous tax and expenses'!AG19</f>
        <v>0</v>
      </c>
      <c r="AV19" s="1">
        <f>'Exogenous tax and expenses'!AH19</f>
        <v>0</v>
      </c>
    </row>
    <row r="20" spans="2:48">
      <c r="B20" s="1"/>
      <c r="C20" s="1"/>
      <c r="D20" s="1"/>
      <c r="E20" s="1"/>
      <c r="F20" s="1"/>
      <c r="G20" s="1"/>
      <c r="H20" s="1"/>
      <c r="I20" s="1"/>
      <c r="J20" s="1"/>
      <c r="K20" s="1"/>
      <c r="L20" s="1"/>
      <c r="M20" s="1"/>
      <c r="N20" s="1"/>
      <c r="O20" s="28">
        <f>S30+X30+V30</f>
        <v>369916840.60095</v>
      </c>
      <c r="P20" s="1">
        <f>'Exogenous tax and expenses'!P19+1</f>
        <v>2008</v>
      </c>
      <c r="Q20" s="721">
        <f>'Cuenta Ahorro-Inversión-Financi'!H24</f>
        <v>10735671.1304</v>
      </c>
      <c r="R20" s="721">
        <f>'Cuenta Ahorro-Inversión-Financi'!Q24</f>
        <v>710091.53877899994</v>
      </c>
      <c r="S20" s="721">
        <f>'Cuenta Ahorro-Inversión-Financi'!K24</f>
        <v>8271840.7736327462</v>
      </c>
      <c r="T20" s="721">
        <v>9693850</v>
      </c>
      <c r="U20" s="721">
        <f>'Cuenta Ahorro-Inversión-Financi'!P24</f>
        <v>555098.17588</v>
      </c>
      <c r="V20" s="721">
        <v>19495157</v>
      </c>
      <c r="W20" s="721">
        <f>'Cuenta Ahorro-Inversión-Financi'!AH24</f>
        <v>16753835.759500002</v>
      </c>
      <c r="X20" s="721">
        <f>'Cuenta Ahorro-Inversión-Financi'!L24</f>
        <v>3269922.0771960998</v>
      </c>
      <c r="Y20" s="96">
        <f>'Cuenta Ahorro-Inversión-Financi'!AX24</f>
        <v>1265908.8082699999</v>
      </c>
      <c r="Z20" s="96"/>
      <c r="AA20" s="96">
        <f>'Cuenta Ahorro-Inversión-Financi'!CI24</f>
        <v>2527385.4854699997</v>
      </c>
      <c r="AB20" s="96">
        <f>'Cuenta Ahorro-Inversión-Financi'!CK24+'Cuenta Ahorro-Inversión-Financi'!CJ24</f>
        <v>6157865.94606</v>
      </c>
      <c r="AC20" s="96">
        <f>'Cuenta Ahorro-Inversión-Financi'!CL24</f>
        <v>1341518.0419099999</v>
      </c>
      <c r="AD20" s="96"/>
      <c r="AE20" s="96"/>
      <c r="AF20" s="96"/>
      <c r="AG20" s="584">
        <f>'Cuenta Ahorro-Inversión-Financi'!W24</f>
        <v>1117433.6398499999</v>
      </c>
      <c r="AH20" s="584">
        <v>98224000</v>
      </c>
      <c r="AI20" s="584"/>
      <c r="AJ20" s="584"/>
      <c r="AK20" s="584"/>
      <c r="AL20" s="1" t="s">
        <v>1026</v>
      </c>
      <c r="AM20" s="1">
        <f>'Exogenous tax and expenses'!AM19+1</f>
        <v>2008</v>
      </c>
      <c r="AN20" s="28">
        <f>IVA!AU55</f>
        <v>53646000.421210006</v>
      </c>
      <c r="AO20" s="28">
        <f>IVA!AU21</f>
        <v>80228904.819770008</v>
      </c>
      <c r="AP20" s="28">
        <f>'Exogenous tax and expenses'!T20</f>
        <v>9693850</v>
      </c>
      <c r="AQ20" s="28">
        <f>'Exogenous tax and expenses'!U20</f>
        <v>555098.17588</v>
      </c>
      <c r="AR20" s="28">
        <f>'Exogenous tax and expenses'!V20</f>
        <v>19495157</v>
      </c>
      <c r="AS20" s="724">
        <v>1354709</v>
      </c>
      <c r="AT20" s="28">
        <f>'Exogenous tax and expenses'!W20</f>
        <v>16753835.759500002</v>
      </c>
      <c r="AU20" s="28">
        <f>'Exogenous tax and expenses'!AG20</f>
        <v>1117433.6398499999</v>
      </c>
      <c r="AV20" s="28">
        <f>'Exogenous tax and expenses'!AH20</f>
        <v>98224000</v>
      </c>
    </row>
    <row r="21" spans="2:48">
      <c r="B21" s="1"/>
      <c r="C21" s="1"/>
      <c r="D21" s="1"/>
      <c r="E21" s="1"/>
      <c r="F21" s="1"/>
      <c r="G21" s="1"/>
      <c r="H21" s="1"/>
      <c r="I21" s="1"/>
      <c r="J21" s="1"/>
      <c r="K21" s="1"/>
      <c r="L21" s="1"/>
      <c r="M21" s="1"/>
      <c r="N21" s="725">
        <v>11016.8905</v>
      </c>
      <c r="O21" s="1"/>
      <c r="P21" s="1">
        <f>'Exogenous tax and expenses'!P20+1</f>
        <v>2009</v>
      </c>
      <c r="Q21" s="96">
        <f>'Cuenta Ahorro-Inversión-Financi'!H25</f>
        <v>11102856.861199999</v>
      </c>
      <c r="R21" s="96">
        <f>'Cuenta Ahorro-Inversión-Financi'!Q25</f>
        <v>900098.5</v>
      </c>
      <c r="S21" s="96">
        <f>'Cuenta Ahorro-Inversión-Financi'!K25</f>
        <v>9009731.2294990011</v>
      </c>
      <c r="T21" s="546">
        <v>11593279</v>
      </c>
      <c r="U21" s="96">
        <f>'Cuenta Ahorro-Inversión-Financi'!P25</f>
        <v>658385</v>
      </c>
      <c r="V21" s="546">
        <v>20561471</v>
      </c>
      <c r="W21" s="96">
        <f>'Cuenta Ahorro-Inversión-Financi'!AH25</f>
        <v>18241431.126399998</v>
      </c>
      <c r="X21" s="96">
        <f>'Cuenta Ahorro-Inversión-Financi'!L25</f>
        <v>3806449.67</v>
      </c>
      <c r="Y21" s="720">
        <f>'Cuenta Ahorro-Inversión-Financi'!AX25</f>
        <v>2218502.3256799998</v>
      </c>
      <c r="Z21" s="720"/>
      <c r="AA21" s="720">
        <f>'Cuenta Ahorro-Inversión-Financi'!CI25</f>
        <v>3449309.2437399998</v>
      </c>
      <c r="AB21" s="720">
        <f>'Cuenta Ahorro-Inversión-Financi'!CK25+'Cuenta Ahorro-Inversión-Financi'!CJ25</f>
        <v>8571574.8512299992</v>
      </c>
      <c r="AC21" s="720">
        <f>'Cuenta Ahorro-Inversión-Financi'!CL25</f>
        <v>2090315.1379499999</v>
      </c>
      <c r="AD21" s="720"/>
      <c r="AE21" s="720"/>
      <c r="AF21" s="720"/>
      <c r="AG21" s="96">
        <f>'Cuenta Ahorro-Inversión-Financi'!W25</f>
        <v>8487113.3009600006</v>
      </c>
      <c r="AH21" s="96">
        <v>135692682.22499999</v>
      </c>
      <c r="AI21" s="96"/>
      <c r="AJ21" s="96"/>
      <c r="AK21" s="96"/>
      <c r="AL21" s="1" t="s">
        <v>1026</v>
      </c>
      <c r="AM21" s="1">
        <f>'Exogenous tax and expenses'!AM20+1</f>
        <v>2009</v>
      </c>
      <c r="AN21" s="28">
        <f>IVA!AU56</f>
        <v>55552256</v>
      </c>
      <c r="AO21" s="28">
        <f>IVA!AU22</f>
        <v>87385733</v>
      </c>
      <c r="AP21" s="28">
        <f>'Exogenous tax and expenses'!T21</f>
        <v>11593279</v>
      </c>
      <c r="AQ21" s="28">
        <f>'Exogenous tax and expenses'!U21</f>
        <v>658385</v>
      </c>
      <c r="AR21" s="28">
        <f>'Exogenous tax and expenses'!V21</f>
        <v>20561471</v>
      </c>
      <c r="AS21" s="724">
        <v>1549845</v>
      </c>
      <c r="AT21" s="28">
        <f>'Exogenous tax and expenses'!W21</f>
        <v>18241431.126399998</v>
      </c>
      <c r="AU21" s="28">
        <f>'Exogenous tax and expenses'!AG21</f>
        <v>8487113.3009600006</v>
      </c>
      <c r="AV21" s="28">
        <f>'Exogenous tax and expenses'!AH21</f>
        <v>135692682.22499999</v>
      </c>
    </row>
    <row r="22" spans="2:48">
      <c r="B22" s="1"/>
      <c r="C22" s="1"/>
      <c r="D22" s="1"/>
      <c r="E22" s="1"/>
      <c r="F22" s="1"/>
      <c r="G22" s="1"/>
      <c r="H22" s="1"/>
      <c r="I22" s="1"/>
      <c r="J22" s="1"/>
      <c r="K22" s="1"/>
      <c r="L22" s="1"/>
      <c r="M22" s="1"/>
      <c r="N22" s="1"/>
      <c r="O22" s="310">
        <f>9178.3 + 12576.2 + 11497.8 + 12353.2</f>
        <v>45605.5</v>
      </c>
      <c r="P22" s="1">
        <f>'Exogenous tax and expenses'!P21+1</f>
        <v>2010</v>
      </c>
      <c r="Q22" s="721">
        <f>'Cuenta Ahorro-Inversión-Financi'!H26</f>
        <v>15263717.30188</v>
      </c>
      <c r="R22" s="721">
        <f>'Cuenta Ahorro-Inversión-Financi'!Q26</f>
        <v>1463000</v>
      </c>
      <c r="S22" s="721">
        <f>'Cuenta Ahorro-Inversión-Financi'!K26</f>
        <v>11741500</v>
      </c>
      <c r="T22" s="721">
        <v>15269008</v>
      </c>
      <c r="U22" s="721">
        <f>'Cuenta Ahorro-Inversión-Financi'!P26</f>
        <v>771500</v>
      </c>
      <c r="V22" s="721">
        <v>26884733</v>
      </c>
      <c r="W22" s="721">
        <f>'Cuenta Ahorro-Inversión-Financi'!AH26</f>
        <v>24500782.058370002</v>
      </c>
      <c r="X22" s="721">
        <f>'Cuenta Ahorro-Inversión-Financi'!L26</f>
        <v>4960800</v>
      </c>
      <c r="Y22" s="96">
        <f>'Cuenta Ahorro-Inversión-Financi'!AX26</f>
        <v>3204177.5770100001</v>
      </c>
      <c r="Z22" s="96"/>
      <c r="AA22" s="96">
        <f>'Cuenta Ahorro-Inversión-Financi'!CI26</f>
        <v>4575635.7456200002</v>
      </c>
      <c r="AB22" s="96">
        <f>'Cuenta Ahorro-Inversión-Financi'!CK26+'Cuenta Ahorro-Inversión-Financi'!CJ26</f>
        <v>11981071.622959999</v>
      </c>
      <c r="AC22" s="96">
        <f>'Cuenta Ahorro-Inversión-Financi'!CL26</f>
        <v>2146300</v>
      </c>
      <c r="AD22" s="96"/>
      <c r="AE22" s="96"/>
      <c r="AF22" s="96"/>
      <c r="AG22" s="584">
        <f>'Cuenta Ahorro-Inversión-Financi'!W26</f>
        <v>8714727.5501700006</v>
      </c>
      <c r="AH22" s="584">
        <v>178016000</v>
      </c>
      <c r="AI22" s="584"/>
      <c r="AJ22" s="584"/>
      <c r="AK22" s="584"/>
      <c r="AL22" s="1" t="s">
        <v>1027</v>
      </c>
      <c r="AM22" s="1">
        <f>'Exogenous tax and expenses'!AM21+1</f>
        <v>2010</v>
      </c>
      <c r="AN22" s="28">
        <f>IVA!AU57</f>
        <v>76651628</v>
      </c>
      <c r="AO22" s="28">
        <f>IVA!AU23</f>
        <v>116385987</v>
      </c>
      <c r="AP22" s="28">
        <f>'Exogenous tax and expenses'!T22</f>
        <v>15269008</v>
      </c>
      <c r="AQ22" s="28">
        <f>'Exogenous tax and expenses'!U22</f>
        <v>771500</v>
      </c>
      <c r="AR22" s="28">
        <f>'Exogenous tax and expenses'!V22</f>
        <v>26884733</v>
      </c>
      <c r="AS22" s="724">
        <v>2092553</v>
      </c>
      <c r="AT22" s="28">
        <f>'Exogenous tax and expenses'!W22</f>
        <v>24500782.058370002</v>
      </c>
      <c r="AU22" s="28">
        <f>'Exogenous tax and expenses'!AG22</f>
        <v>8714727.5501700006</v>
      </c>
      <c r="AV22" s="28">
        <f>'Exogenous tax and expenses'!AH22</f>
        <v>178016000</v>
      </c>
    </row>
    <row r="23" spans="2:48">
      <c r="B23" s="1"/>
      <c r="C23" s="1"/>
      <c r="D23" s="1"/>
      <c r="E23" s="1"/>
      <c r="F23" s="1"/>
      <c r="G23" s="1"/>
      <c r="H23" s="1"/>
      <c r="I23" s="1"/>
      <c r="J23" s="1"/>
      <c r="K23" s="1"/>
      <c r="L23" s="1"/>
      <c r="M23" s="1" t="s">
        <v>1028</v>
      </c>
      <c r="N23" s="1"/>
      <c r="O23" s="28">
        <f>Q23+S23+U23+X23</f>
        <v>43519843.170990005</v>
      </c>
      <c r="P23" s="1">
        <f>'Exogenous tax and expenses'!P22+1</f>
        <v>2011</v>
      </c>
      <c r="Q23" s="96">
        <f>'Cuenta Ahorro-Inversión-Financi'!H27</f>
        <v>21562243.170990001</v>
      </c>
      <c r="R23" s="96">
        <f>'Cuenta Ahorro-Inversión-Financi'!Q27</f>
        <v>2085600</v>
      </c>
      <c r="S23" s="96">
        <f>'Cuenta Ahorro-Inversión-Financi'!K27</f>
        <v>15229500</v>
      </c>
      <c r="T23" s="546">
        <v>18131477</v>
      </c>
      <c r="U23" s="96">
        <f>'Cuenta Ahorro-Inversión-Financi'!P27</f>
        <v>1013100</v>
      </c>
      <c r="V23" s="546">
        <v>36179425</v>
      </c>
      <c r="W23" s="96">
        <f>'Cuenta Ahorro-Inversión-Financi'!AH27</f>
        <v>32436095.457980003</v>
      </c>
      <c r="X23" s="96">
        <f>'Cuenta Ahorro-Inversión-Financi'!L27</f>
        <v>5715000</v>
      </c>
      <c r="Y23" s="720">
        <f>'Cuenta Ahorro-Inversión-Financi'!AX27</f>
        <v>4769282.4659599997</v>
      </c>
      <c r="Z23" s="720">
        <v>729678.74661000003</v>
      </c>
      <c r="AA23" s="720">
        <f>'Cuenta Ahorro-Inversión-Financi'!CI27</f>
        <v>5370180.45524</v>
      </c>
      <c r="AB23" s="720">
        <f>'Cuenta Ahorro-Inversión-Financi'!CK27+'Cuenta Ahorro-Inversión-Financi'!CJ27</f>
        <v>17562855.037919998</v>
      </c>
      <c r="AC23" s="720">
        <f>'Cuenta Ahorro-Inversión-Financi'!CL27</f>
        <v>2247300</v>
      </c>
      <c r="AD23" s="720"/>
      <c r="AE23" s="720">
        <f>716.7*1000</f>
        <v>716700</v>
      </c>
      <c r="AF23" s="720"/>
      <c r="AG23" s="96">
        <f>'Cuenta Ahorro-Inversión-Financi'!W27</f>
        <v>11038679.15411</v>
      </c>
      <c r="AH23" s="96">
        <v>199490000</v>
      </c>
      <c r="AI23" s="96"/>
      <c r="AJ23" s="96"/>
      <c r="AK23" s="96"/>
      <c r="AL23" s="1" t="s">
        <v>1027</v>
      </c>
      <c r="AM23" s="1">
        <f>'Exogenous tax and expenses'!AM22+1</f>
        <v>2011</v>
      </c>
      <c r="AN23" s="28">
        <f>IVA!AU58</f>
        <v>108597879</v>
      </c>
      <c r="AO23" s="28">
        <f>IVA!AU24</f>
        <v>154236868</v>
      </c>
      <c r="AP23" s="28">
        <f>'Exogenous tax and expenses'!T23</f>
        <v>18131477</v>
      </c>
      <c r="AQ23" s="28">
        <f>'Exogenous tax and expenses'!U23</f>
        <v>1013100</v>
      </c>
      <c r="AR23" s="28">
        <f>'Exogenous tax and expenses'!V23</f>
        <v>36179425</v>
      </c>
      <c r="AS23" s="724">
        <v>2983037</v>
      </c>
      <c r="AT23" s="28">
        <f>'Exogenous tax and expenses'!W23</f>
        <v>32436095.457980003</v>
      </c>
      <c r="AU23" s="28">
        <f>'Exogenous tax and expenses'!AG23</f>
        <v>11038679.15411</v>
      </c>
      <c r="AV23" s="28">
        <f>'Exogenous tax and expenses'!AH23</f>
        <v>199490000</v>
      </c>
    </row>
    <row r="24" spans="2:48">
      <c r="B24" s="1"/>
      <c r="C24" s="1"/>
      <c r="D24" s="1"/>
      <c r="E24" s="1"/>
      <c r="F24" s="1"/>
      <c r="G24" s="1"/>
      <c r="H24" s="1"/>
      <c r="I24" s="1"/>
      <c r="J24" s="1"/>
      <c r="K24" s="1"/>
      <c r="L24" s="1"/>
      <c r="M24" s="1" t="s">
        <v>1029</v>
      </c>
      <c r="N24" s="455">
        <f>(O22*1000-O23)/1000/'PIB corriente base 2004'!X15</f>
        <v>9.5715179356427945E-4</v>
      </c>
      <c r="O24" s="28">
        <f>O23+'Cuenta Ahorro-Inversión-Financi'!O27-U23</f>
        <v>45605446.270990007</v>
      </c>
      <c r="P24" s="1">
        <f>'Exogenous tax and expenses'!P23+1</f>
        <v>2012</v>
      </c>
      <c r="Q24" s="721">
        <f>'Cuenta Ahorro-Inversión-Financi'!H28</f>
        <v>27594331.3664</v>
      </c>
      <c r="R24" s="721">
        <f>'Cuenta Ahorro-Inversión-Financi'!Q28</f>
        <v>2672800</v>
      </c>
      <c r="S24" s="721">
        <f>'Cuenta Ahorro-Inversión-Financi'!K28</f>
        <v>19313800</v>
      </c>
      <c r="T24" s="721">
        <v>25785407</v>
      </c>
      <c r="U24" s="721">
        <f>'Cuenta Ahorro-Inversión-Financi'!P28</f>
        <v>1229100</v>
      </c>
      <c r="V24" s="721">
        <v>43931228</v>
      </c>
      <c r="W24" s="721">
        <f>'Cuenta Ahorro-Inversión-Financi'!AH28</f>
        <v>41041468.205290005</v>
      </c>
      <c r="X24" s="721">
        <f>'Cuenta Ahorro-Inversión-Financi'!L28</f>
        <v>8238600</v>
      </c>
      <c r="Y24" s="96">
        <f>'Cuenta Ahorro-Inversión-Financi'!AX28</f>
        <v>6238307.1857999992</v>
      </c>
      <c r="Z24" s="96">
        <v>953762.92163999996</v>
      </c>
      <c r="AA24" s="96">
        <f>'Cuenta Ahorro-Inversión-Financi'!CI28</f>
        <v>6683313.7733399998</v>
      </c>
      <c r="AB24" s="96">
        <f>'Cuenta Ahorro-Inversión-Financi'!CK28+'Cuenta Ahorro-Inversión-Financi'!CJ28</f>
        <v>26606758.850889999</v>
      </c>
      <c r="AC24" s="96">
        <f>'Cuenta Ahorro-Inversión-Financi'!CL28</f>
        <v>3258800</v>
      </c>
      <c r="AD24" s="96"/>
      <c r="AE24" s="96">
        <v>0</v>
      </c>
      <c r="AF24" s="96"/>
      <c r="AG24" s="584">
        <f>'Cuenta Ahorro-Inversión-Financi'!W28</f>
        <v>17349286.778949998</v>
      </c>
      <c r="AH24" s="584">
        <v>244799000</v>
      </c>
      <c r="AI24" s="584"/>
      <c r="AJ24" s="584"/>
      <c r="AK24" s="584"/>
      <c r="AL24" s="1" t="s">
        <v>1027</v>
      </c>
      <c r="AM24" s="1">
        <f>'Exogenous tax and expenses'!AM23+1</f>
        <v>2012</v>
      </c>
      <c r="AN24" s="28">
        <f>IVA!AU59</f>
        <v>138439601.04347003</v>
      </c>
      <c r="AO24" s="28">
        <f>IVA!AU25</f>
        <v>190496440.35313001</v>
      </c>
      <c r="AP24" s="28">
        <f>'Exogenous tax and expenses'!T24</f>
        <v>25785407</v>
      </c>
      <c r="AQ24" s="28">
        <f>'Exogenous tax and expenses'!U24</f>
        <v>1229100</v>
      </c>
      <c r="AR24" s="28">
        <f>'Exogenous tax and expenses'!V24</f>
        <v>43931228</v>
      </c>
      <c r="AS24" s="45">
        <v>3825107</v>
      </c>
      <c r="AT24" s="28">
        <f>'Exogenous tax and expenses'!W24</f>
        <v>41041468.205290005</v>
      </c>
      <c r="AU24" s="28">
        <f>'Exogenous tax and expenses'!AG24</f>
        <v>17349286.778949998</v>
      </c>
      <c r="AV24" s="28">
        <f>'Exogenous tax and expenses'!AH24</f>
        <v>244799000</v>
      </c>
    </row>
    <row r="25" spans="2:48">
      <c r="B25" s="1"/>
      <c r="C25" s="1"/>
      <c r="D25" s="1"/>
      <c r="E25" s="1"/>
      <c r="F25" s="1"/>
      <c r="G25" s="1"/>
      <c r="H25" s="1"/>
      <c r="I25" s="1"/>
      <c r="J25" s="1"/>
      <c r="K25" s="1"/>
      <c r="L25" s="1" t="s">
        <v>1030</v>
      </c>
      <c r="M25" s="1"/>
      <c r="N25" s="1"/>
      <c r="O25" s="1"/>
      <c r="P25" s="1">
        <f>'Exogenous tax and expenses'!P24+1</f>
        <v>2013</v>
      </c>
      <c r="Q25" s="96">
        <f>'Cuenta Ahorro-Inversión-Financi'!H29</f>
        <v>36576358.350000001</v>
      </c>
      <c r="R25" s="96">
        <f>'Cuenta Ahorro-Inversión-Financi'!Q29</f>
        <v>3099000</v>
      </c>
      <c r="S25" s="96">
        <f>'Cuenta Ahorro-Inversión-Financi'!K29</f>
        <v>24906800</v>
      </c>
      <c r="T25" s="546">
        <v>31010317</v>
      </c>
      <c r="U25" s="96">
        <f>'Cuenta Ahorro-Inversión-Financi'!P29</f>
        <v>1332400</v>
      </c>
      <c r="V25" s="546">
        <v>56514839</v>
      </c>
      <c r="W25" s="96">
        <f>'Cuenta Ahorro-Inversión-Financi'!AH29</f>
        <v>53287660.804920003</v>
      </c>
      <c r="X25" s="96">
        <f>'Cuenta Ahorro-Inversión-Financi'!L29</f>
        <v>8682000</v>
      </c>
      <c r="Y25" s="720">
        <f>'Cuenta Ahorro-Inversión-Financi'!AX29</f>
        <v>7042799.3121099994</v>
      </c>
      <c r="Z25" s="720">
        <v>1253574.1296000001</v>
      </c>
      <c r="AA25" s="720">
        <f>'Cuenta Ahorro-Inversión-Financi'!CI29</f>
        <v>8856389.2101499997</v>
      </c>
      <c r="AB25" s="720">
        <f>'Cuenta Ahorro-Inversión-Financi'!CK29+'Cuenta Ahorro-Inversión-Financi'!CJ29</f>
        <v>36122011.138019994</v>
      </c>
      <c r="AC25" s="720">
        <f>'Cuenta Ahorro-Inversión-Financi'!CL29</f>
        <v>5590600</v>
      </c>
      <c r="AD25" s="720"/>
      <c r="AE25" s="720">
        <v>0</v>
      </c>
      <c r="AF25" s="720"/>
      <c r="AG25" s="96">
        <f>'Cuenta Ahorro-Inversión-Financi'!W29</f>
        <v>22873121.484359998</v>
      </c>
      <c r="AH25" s="96">
        <v>329472000</v>
      </c>
      <c r="AI25" s="96"/>
      <c r="AJ25" s="96"/>
      <c r="AK25" s="96"/>
      <c r="AL25" s="1" t="s">
        <v>1027</v>
      </c>
      <c r="AM25" s="1">
        <f>'Exogenous tax and expenses'!AM24+1</f>
        <v>2013</v>
      </c>
      <c r="AN25" s="726">
        <v>183598671</v>
      </c>
      <c r="AO25" s="726">
        <v>249006251</v>
      </c>
      <c r="AP25" s="28">
        <f>'Exogenous tax and expenses'!T25</f>
        <v>31010317</v>
      </c>
      <c r="AQ25" s="28">
        <f>'Exogenous tax and expenses'!U25</f>
        <v>1332400</v>
      </c>
      <c r="AR25" s="28">
        <f>'Exogenous tax and expenses'!V25</f>
        <v>56514839</v>
      </c>
      <c r="AS25" s="726">
        <v>4422891</v>
      </c>
      <c r="AT25" s="28">
        <f>'Exogenous tax and expenses'!W25</f>
        <v>53287660.804920003</v>
      </c>
      <c r="AU25" s="28">
        <f>'Exogenous tax and expenses'!AG25</f>
        <v>22873121.484359998</v>
      </c>
      <c r="AV25" s="28">
        <f>'Exogenous tax and expenses'!AH25</f>
        <v>329472000</v>
      </c>
    </row>
    <row r="26" spans="2:48">
      <c r="B26" s="1"/>
      <c r="C26" s="1"/>
      <c r="D26" s="1"/>
      <c r="E26" s="1"/>
      <c r="F26" s="1"/>
      <c r="G26" s="1"/>
      <c r="H26" s="1"/>
      <c r="I26" s="1"/>
      <c r="J26" s="1"/>
      <c r="K26" s="1"/>
      <c r="L26" s="1" t="s">
        <v>1031</v>
      </c>
      <c r="M26" s="1"/>
      <c r="N26" s="1"/>
      <c r="O26" s="1"/>
      <c r="P26" s="1">
        <f>'Exogenous tax and expenses'!P25+1</f>
        <v>2014</v>
      </c>
      <c r="Q26" s="721">
        <f>'Cuenta Ahorro-Inversión-Financi'!H30</f>
        <v>53294684.664030001</v>
      </c>
      <c r="R26" s="721">
        <f>'Cuenta Ahorro-Inversión-Financi'!Q30</f>
        <v>2940800</v>
      </c>
      <c r="S26" s="721">
        <f>'Cuenta Ahorro-Inversión-Financi'!K30</f>
        <v>32721600</v>
      </c>
      <c r="T26" s="721">
        <v>44490091</v>
      </c>
      <c r="U26" s="721">
        <f>'Cuenta Ahorro-Inversión-Financi'!P30</f>
        <v>1984900</v>
      </c>
      <c r="V26" s="721">
        <v>76739818</v>
      </c>
      <c r="W26" s="721">
        <f>'Cuenta Ahorro-Inversión-Financi'!AH30</f>
        <v>72676066.207440004</v>
      </c>
      <c r="X26" s="721">
        <f>'Cuenta Ahorro-Inversión-Financi'!L30</f>
        <v>12167700</v>
      </c>
      <c r="Y26" s="96">
        <f>'Cuenta Ahorro-Inversión-Financi'!AX30</f>
        <v>9516808.0974100009</v>
      </c>
      <c r="Z26" s="96">
        <v>1610245.75254</v>
      </c>
      <c r="AA26" s="96">
        <f>'Cuenta Ahorro-Inversión-Financi'!CI30</f>
        <v>11872462.076069999</v>
      </c>
      <c r="AB26" s="96">
        <f>'Cuenta Ahorro-Inversión-Financi'!CK30+'Cuenta Ahorro-Inversión-Financi'!CJ30</f>
        <v>49042610.268269993</v>
      </c>
      <c r="AC26" s="96">
        <f>'Cuenta Ahorro-Inversión-Financi'!CL30</f>
        <v>8266200</v>
      </c>
      <c r="AD26" s="96"/>
      <c r="AE26" s="96">
        <v>0</v>
      </c>
      <c r="AF26" s="96"/>
      <c r="AG26" s="584">
        <f>'Cuenta Ahorro-Inversión-Financi'!W30</f>
        <v>38383803.980110005</v>
      </c>
      <c r="AH26" s="584">
        <v>472265000</v>
      </c>
      <c r="AI26" s="584"/>
      <c r="AJ26" s="584"/>
      <c r="AK26" s="584"/>
      <c r="AL26" s="1" t="s">
        <v>1027</v>
      </c>
      <c r="AM26" s="1">
        <f>'Exogenous tax and expenses'!AM25+1</f>
        <v>2014</v>
      </c>
      <c r="AN26" s="45">
        <v>267075100</v>
      </c>
      <c r="AO26" s="45">
        <v>331202807</v>
      </c>
      <c r="AP26" s="28">
        <f>'Exogenous tax and expenses'!T26</f>
        <v>44490091</v>
      </c>
      <c r="AQ26" s="28">
        <f>'Exogenous tax and expenses'!U26</f>
        <v>1984900</v>
      </c>
      <c r="AR26" s="28">
        <f>'Exogenous tax and expenses'!V26</f>
        <v>76739818</v>
      </c>
      <c r="AS26" s="45">
        <v>4259289</v>
      </c>
      <c r="AT26" s="28">
        <f>'Exogenous tax and expenses'!W26</f>
        <v>72676066.207440004</v>
      </c>
      <c r="AU26" s="28">
        <f>'Exogenous tax and expenses'!AG26</f>
        <v>38383803.980110005</v>
      </c>
      <c r="AV26" s="28">
        <f>'Exogenous tax and expenses'!AH26</f>
        <v>472265000</v>
      </c>
    </row>
    <row r="27" spans="2:48">
      <c r="B27" s="1"/>
      <c r="C27" s="1"/>
      <c r="D27" s="1"/>
      <c r="E27" s="1"/>
      <c r="F27" s="1"/>
      <c r="G27" s="1"/>
      <c r="H27" s="1"/>
      <c r="I27" s="1"/>
      <c r="J27" s="1"/>
      <c r="K27" s="1"/>
      <c r="L27" s="1" t="s">
        <v>1032</v>
      </c>
      <c r="M27" s="1"/>
      <c r="N27" s="1"/>
      <c r="O27" s="1"/>
      <c r="P27" s="1">
        <f>'Exogenous tax and expenses'!P26+1</f>
        <v>2015</v>
      </c>
      <c r="Q27" s="96">
        <f>'Cuenta Ahorro-Inversión-Financi'!H31</f>
        <v>75797809.099999994</v>
      </c>
      <c r="R27" s="96">
        <f>'Cuenta Ahorro-Inversión-Financi'!Q31</f>
        <v>3969300</v>
      </c>
      <c r="S27" s="96">
        <f>'Cuenta Ahorro-Inversión-Financi'!K31</f>
        <v>43272400</v>
      </c>
      <c r="T27" s="546">
        <v>56478261</v>
      </c>
      <c r="U27" s="96">
        <f>'Cuenta Ahorro-Inversión-Financi'!P31</f>
        <v>2916400</v>
      </c>
      <c r="V27" s="546">
        <v>97479599</v>
      </c>
      <c r="W27" s="96">
        <f>'Cuenta Ahorro-Inversión-Financi'!AH31</f>
        <v>95600316.127979994</v>
      </c>
      <c r="X27" s="96">
        <f>'Cuenta Ahorro-Inversión-Financi'!L31</f>
        <v>14199800</v>
      </c>
      <c r="Y27" s="720">
        <f>'Cuenta Ahorro-Inversión-Financi'!AX31</f>
        <v>12485483.441740001</v>
      </c>
      <c r="Z27" s="720">
        <v>2178603.6454799999</v>
      </c>
      <c r="AA27" s="720">
        <f>'Cuenta Ahorro-Inversión-Financi'!CI31</f>
        <v>16038444.76165</v>
      </c>
      <c r="AB27" s="720">
        <f>'Cuenta Ahorro-Inversión-Financi'!CK31+'Cuenta Ahorro-Inversión-Financi'!CJ31</f>
        <v>68361691.351720005</v>
      </c>
      <c r="AC27" s="720">
        <f>'Cuenta Ahorro-Inversión-Financi'!CL31</f>
        <v>10207500</v>
      </c>
      <c r="AD27" s="720"/>
      <c r="AE27" s="720">
        <v>0</v>
      </c>
      <c r="AF27" s="720"/>
      <c r="AG27" s="96">
        <f>'Cuenta Ahorro-Inversión-Financi'!W31</f>
        <v>53180983.236749999</v>
      </c>
      <c r="AH27" s="96">
        <v>664029000</v>
      </c>
      <c r="AI27" s="96"/>
      <c r="AJ27" s="96"/>
      <c r="AK27" s="96"/>
      <c r="AL27" s="1" t="s">
        <v>1027</v>
      </c>
      <c r="AM27" s="1">
        <f>'Exogenous tax and expenses'!AM26+1</f>
        <v>2015</v>
      </c>
      <c r="AN27" s="45">
        <v>381463223</v>
      </c>
      <c r="AO27" s="45">
        <v>433076241</v>
      </c>
      <c r="AP27" s="28">
        <f>'Exogenous tax and expenses'!T27</f>
        <v>56478261</v>
      </c>
      <c r="AQ27" s="28">
        <f>'Exogenous tax and expenses'!U27</f>
        <v>2916400</v>
      </c>
      <c r="AR27" s="28">
        <f>'Exogenous tax and expenses'!V27</f>
        <v>97479599</v>
      </c>
      <c r="AS27" s="45">
        <v>5624126</v>
      </c>
      <c r="AT27" s="28">
        <f>'Exogenous tax and expenses'!W27</f>
        <v>95600316.127979994</v>
      </c>
      <c r="AU27" s="28">
        <f>'Exogenous tax and expenses'!AG27</f>
        <v>53180983.236749999</v>
      </c>
      <c r="AV27" s="28">
        <f>'Exogenous tax and expenses'!AH27</f>
        <v>664029000</v>
      </c>
    </row>
    <row r="28" spans="2:48">
      <c r="B28" s="1"/>
      <c r="C28" s="1"/>
      <c r="D28" s="1"/>
      <c r="E28" s="1"/>
      <c r="F28" s="1"/>
      <c r="G28" s="1"/>
      <c r="H28" s="1"/>
      <c r="I28" s="1"/>
      <c r="J28" s="1"/>
      <c r="K28" s="1"/>
      <c r="L28" s="1"/>
      <c r="M28" s="1"/>
      <c r="N28" s="1"/>
      <c r="O28" s="28">
        <f>(SUM(R30:X30)-T30-W30)</f>
        <v>387779655.10095</v>
      </c>
      <c r="P28" s="1">
        <f>'Exogenous tax and expenses'!P27+1</f>
        <v>2016</v>
      </c>
      <c r="Q28" s="721">
        <f>'Cuenta Ahorro-Inversión-Financi'!H32</f>
        <v>86485940.4164</v>
      </c>
      <c r="R28" s="721">
        <f>'Cuenta Ahorro-Inversión-Financi'!Q32</f>
        <v>4810100</v>
      </c>
      <c r="S28" s="721">
        <f>'Cuenta Ahorro-Inversión-Financi'!K32</f>
        <v>58259500</v>
      </c>
      <c r="T28" s="721">
        <v>75663968</v>
      </c>
      <c r="U28" s="721">
        <f>'Cuenta Ahorro-Inversión-Financi'!P32</f>
        <v>4187600</v>
      </c>
      <c r="V28" s="721">
        <v>131669079</v>
      </c>
      <c r="W28" s="721">
        <f>'Cuenta Ahorro-Inversión-Financi'!AH32</f>
        <v>126199197.124</v>
      </c>
      <c r="X28" s="721">
        <f>'Cuenta Ahorro-Inversión-Financi'!L32</f>
        <v>19962000</v>
      </c>
      <c r="Y28" s="96">
        <f>'Cuenta Ahorro-Inversión-Financi'!AX32</f>
        <v>14554479.385369999</v>
      </c>
      <c r="Z28" s="96">
        <v>2916910.0924399998</v>
      </c>
      <c r="AA28" s="96">
        <f>'Cuenta Ahorro-Inversión-Financi'!CI32</f>
        <v>22415518.308139998</v>
      </c>
      <c r="AB28" s="96">
        <f>'Cuenta Ahorro-Inversión-Financi'!CK32+'Cuenta Ahorro-Inversión-Financi'!CJ32</f>
        <v>88401916.120130002</v>
      </c>
      <c r="AC28" s="96">
        <f>'Cuenta Ahorro-Inversión-Financi'!CL32</f>
        <v>16218300</v>
      </c>
      <c r="AD28" s="96"/>
      <c r="AE28" s="96">
        <f>12099.4*1000</f>
        <v>12099400</v>
      </c>
      <c r="AF28" s="96">
        <f>'Cuenta Ahorro-Inversión-Financi'!CR32</f>
        <v>31300557.634201899</v>
      </c>
      <c r="AG28" s="584">
        <f>'Cuenta Ahorro-Inversión-Financi'!W32</f>
        <v>72470214.437590003</v>
      </c>
      <c r="AH28" s="584">
        <v>875380000</v>
      </c>
      <c r="AI28" s="584"/>
      <c r="AJ28" s="584"/>
      <c r="AK28" s="584"/>
      <c r="AL28" s="1" t="s">
        <v>1027</v>
      </c>
      <c r="AM28" s="1">
        <f>'Exogenous tax and expenses'!AM27+1</f>
        <v>2016</v>
      </c>
      <c r="AN28" s="726">
        <v>432907154</v>
      </c>
      <c r="AO28" s="726">
        <v>583216936</v>
      </c>
      <c r="AP28" s="28">
        <f>'Exogenous tax and expenses'!T28</f>
        <v>75663968</v>
      </c>
      <c r="AQ28" s="28">
        <f>'Exogenous tax and expenses'!U28</f>
        <v>4187600</v>
      </c>
      <c r="AR28" s="28">
        <f>'Exogenous tax and expenses'!V28</f>
        <v>131669079</v>
      </c>
      <c r="AS28" s="726">
        <v>6873038</v>
      </c>
      <c r="AT28" s="28">
        <f>'Exogenous tax and expenses'!W28</f>
        <v>126199197.124</v>
      </c>
      <c r="AU28" s="28">
        <f>'Exogenous tax and expenses'!AG28</f>
        <v>72470214.437590003</v>
      </c>
      <c r="AV28" s="28">
        <f>'Exogenous tax and expenses'!AH28</f>
        <v>875380000</v>
      </c>
    </row>
    <row r="29" spans="2:48">
      <c r="B29" s="1"/>
      <c r="C29" s="1"/>
      <c r="D29" s="1"/>
      <c r="E29" s="1"/>
      <c r="F29" s="1"/>
      <c r="G29" s="1"/>
      <c r="H29" s="1"/>
      <c r="I29" s="1"/>
      <c r="J29" s="1"/>
      <c r="K29" s="1"/>
      <c r="L29" s="1"/>
      <c r="M29" s="1"/>
      <c r="N29" s="455">
        <f>(SUM(R30:X30)-T30-W30)/1000/'PIB corriente base 2004'!X22</f>
        <v>2.6621225917002275E-2</v>
      </c>
      <c r="O29" s="28">
        <f>R30+S30+T30+U30+V30+W30+X30-W30-T30</f>
        <v>387779655.10095</v>
      </c>
      <c r="P29" s="727">
        <f>'Exogenous tax and expenses'!P28+1</f>
        <v>2017</v>
      </c>
      <c r="Q29" s="728">
        <f>'Cuenta Ahorro-Inversión-Financi'!H33</f>
        <v>109245834.21692999</v>
      </c>
      <c r="R29" s="728">
        <f>'Cuenta Ahorro-Inversión-Financi'!Q33</f>
        <v>7282225.5999999996</v>
      </c>
      <c r="S29" s="728">
        <f>'Cuenta Ahorro-Inversión-Financi'!K33</f>
        <v>74727533.137879997</v>
      </c>
      <c r="T29" s="728">
        <v>102845595</v>
      </c>
      <c r="U29" s="728">
        <f>'Cuenta Ahorro-Inversión-Financi'!P33</f>
        <v>5625587</v>
      </c>
      <c r="V29" s="728">
        <v>172838482</v>
      </c>
      <c r="W29" s="728">
        <f>'Cuenta Ahorro-Inversión-Financi'!AH33</f>
        <v>166461992.04945001</v>
      </c>
      <c r="X29" s="728">
        <f>'Cuenta Ahorro-Inversión-Financi'!L33</f>
        <v>29455686.932970002</v>
      </c>
      <c r="Y29" s="729">
        <f>'Cuenta Ahorro-Inversión-Financi'!AX33</f>
        <v>18322852.729150001</v>
      </c>
      <c r="Z29" s="729">
        <v>5017571.5011700001</v>
      </c>
      <c r="AA29" s="729">
        <f>'Cuenta Ahorro-Inversión-Financi'!CI33</f>
        <v>30933083.008080002</v>
      </c>
      <c r="AB29" s="729">
        <f>'Cuenta Ahorro-Inversión-Financi'!CK33+'Cuenta Ahorro-Inversión-Financi'!CJ33</f>
        <v>104611186.68280999</v>
      </c>
      <c r="AC29" s="729">
        <f>'Cuenta Ahorro-Inversión-Financi'!CL33</f>
        <v>18023556.128080003</v>
      </c>
      <c r="AD29" s="729">
        <f>'Cuenta Ahorro-Inversión-Financi'!BG33</f>
        <v>9373728.1119999997</v>
      </c>
      <c r="AE29" s="729">
        <f>10845 *1000</f>
        <v>10845000</v>
      </c>
      <c r="AF29" s="729">
        <f>'Cuenta Ahorro-Inversión-Financi'!CR33</f>
        <v>77978329.814026594</v>
      </c>
      <c r="AG29" s="728">
        <f>'Cuenta Ahorro-Inversión-Financi'!W33</f>
        <v>110276582.29881001</v>
      </c>
      <c r="AH29" s="728">
        <v>1202579000</v>
      </c>
      <c r="AI29" s="728"/>
      <c r="AJ29" s="728"/>
      <c r="AK29" s="728"/>
      <c r="AL29" s="1" t="s">
        <v>1027</v>
      </c>
      <c r="AM29" s="1">
        <f>'Exogenous tax and expenses'!AM28+1</f>
        <v>2017</v>
      </c>
      <c r="AN29" s="45">
        <v>555022973</v>
      </c>
      <c r="AO29" s="45">
        <v>765336287</v>
      </c>
      <c r="AP29" s="28">
        <f>'Exogenous tax and expenses'!T29</f>
        <v>102845595</v>
      </c>
      <c r="AQ29" s="28">
        <f>'Exogenous tax and expenses'!U29</f>
        <v>5625587</v>
      </c>
      <c r="AR29" s="28">
        <f>'Exogenous tax and expenses'!V29</f>
        <v>172838482</v>
      </c>
      <c r="AS29" s="45">
        <v>10544045</v>
      </c>
      <c r="AT29" s="28">
        <f>'Exogenous tax and expenses'!W29</f>
        <v>166461992.04945001</v>
      </c>
      <c r="AU29" s="28">
        <f>'Exogenous tax and expenses'!AG29</f>
        <v>110276582.29881001</v>
      </c>
      <c r="AV29" s="28">
        <f>'Exogenous tax and expenses'!AH29</f>
        <v>1202579000</v>
      </c>
    </row>
    <row r="30" spans="2:48" ht="15.75">
      <c r="B30" s="1"/>
      <c r="C30" s="1"/>
      <c r="D30" s="1"/>
      <c r="E30" s="1"/>
      <c r="F30" s="1"/>
      <c r="G30" s="1"/>
      <c r="H30" s="1"/>
      <c r="I30" s="819" t="s">
        <v>1033</v>
      </c>
      <c r="J30" s="819"/>
      <c r="K30" s="819"/>
      <c r="L30" s="819"/>
      <c r="M30" s="819"/>
      <c r="N30" s="819"/>
      <c r="O30" s="730">
        <f>26793.2*1000/1000/'PIB corriente base 2004'!X22</f>
        <v>1.8393637233334009E-3</v>
      </c>
      <c r="P30" s="1">
        <v>2018</v>
      </c>
      <c r="Q30" s="731"/>
      <c r="R30" s="731">
        <f>'Cuenta Ahorro-Inversión-Financi'!Q34</f>
        <v>11016890.5</v>
      </c>
      <c r="S30" s="731">
        <f>'Cuenta Ahorro-Inversión-Financi'!K34</f>
        <v>106984441.63282</v>
      </c>
      <c r="T30" s="731">
        <v>116408746.14157</v>
      </c>
      <c r="U30" s="731">
        <f>'Cuenta Ahorro-Inversión-Financi'!P34</f>
        <v>6845924</v>
      </c>
      <c r="V30" s="731">
        <v>232591321.05232999</v>
      </c>
      <c r="W30" s="731">
        <f>'Cuenta Ahorro-Inversión-Financi'!AH34</f>
        <v>260430300.00000003</v>
      </c>
      <c r="X30" s="731">
        <f>'Cuenta Ahorro-Inversión-Financi'!L34</f>
        <v>30341077.915800001</v>
      </c>
      <c r="Y30" s="96">
        <f>'Cuenta Ahorro-Inversión-Financi'!AX34</f>
        <v>21525462.734049998</v>
      </c>
      <c r="Z30" s="96">
        <v>6263843.69233</v>
      </c>
      <c r="AA30" s="96">
        <f>'Cuenta Ahorro-Inversión-Financi'!CI34</f>
        <v>39299818.627149999</v>
      </c>
      <c r="AB30" s="96">
        <f>'Cuenta Ahorro-Inversión-Financi'!CK34+'Cuenta Ahorro-Inversión-Financi'!CJ34</f>
        <v>101267287.8766</v>
      </c>
      <c r="AC30" s="96">
        <f>'Cuenta Ahorro-Inversión-Financi'!CL34</f>
        <v>22662949.946060002</v>
      </c>
      <c r="AD30" s="96">
        <f>'Cuenta Ahorro-Inversión-Financi'!BG34</f>
        <v>38198551.272</v>
      </c>
      <c r="AE30" s="96">
        <f>19529.5*1000</f>
        <v>19529500</v>
      </c>
      <c r="AF30" s="96">
        <f>'Cuenta Ahorro-Inversión-Financi'!CR34</f>
        <v>168141700</v>
      </c>
      <c r="AG30" s="584"/>
      <c r="AH30" s="584"/>
      <c r="AI30" s="584" t="s">
        <v>1034</v>
      </c>
      <c r="AJ30" s="1" t="s">
        <v>1035</v>
      </c>
      <c r="AK30" s="1" t="s">
        <v>1036</v>
      </c>
      <c r="AL30" s="1"/>
      <c r="AM30" s="726"/>
      <c r="AN30" s="726"/>
      <c r="AO30" s="28"/>
      <c r="AP30" s="28"/>
      <c r="AQ30" s="28"/>
      <c r="AR30" s="726"/>
      <c r="AS30" s="28"/>
      <c r="AT30" s="28"/>
      <c r="AU30" s="28"/>
    </row>
    <row r="31" spans="2:48">
      <c r="B31" s="1"/>
      <c r="C31" s="1"/>
      <c r="D31" s="1"/>
      <c r="E31" s="1"/>
      <c r="F31" s="1"/>
      <c r="G31" s="1"/>
      <c r="H31" s="1"/>
      <c r="I31" s="819" t="s">
        <v>1037</v>
      </c>
      <c r="J31" s="819"/>
      <c r="K31" s="819"/>
      <c r="L31" s="819"/>
      <c r="M31" s="819"/>
      <c r="N31" s="819"/>
      <c r="O31" s="1"/>
      <c r="P31" s="1">
        <v>1993</v>
      </c>
      <c r="Q31" s="732">
        <f>'Exogenous tax and expenses'!Q5/'PIB corriente base 1993'!V8/1000</f>
        <v>3.6079899787017713E-3</v>
      </c>
      <c r="R31" s="732"/>
      <c r="S31" s="732"/>
      <c r="T31" s="732"/>
      <c r="U31" s="732"/>
      <c r="V31" s="732"/>
      <c r="W31" s="732">
        <f>'Exogenous tax and expenses'!W5/'PIB corriente base 1993'!$V8/1000</f>
        <v>1.2751806797278657E-2</v>
      </c>
      <c r="X31" s="732">
        <f>'Exogenous tax and expenses'!X5/'PIB corriente base 1993'!$V8/1000</f>
        <v>0</v>
      </c>
      <c r="Y31" s="733">
        <f>'Exogenous tax and expenses'!Y5/'PIB corriente base 1993'!V8/1000</f>
        <v>1.4899099917563394E-3</v>
      </c>
      <c r="Z31" s="733"/>
      <c r="AA31" s="733">
        <f>'Exogenous tax and expenses'!AA5/'PIB corriente base 1993'!V8/1000</f>
        <v>4.381494842482174E-3</v>
      </c>
      <c r="AB31" s="733">
        <f>'Exogenous tax and expenses'!AB5/'PIB corriente base 1993'!V8/1000</f>
        <v>9.0713369192085109E-4</v>
      </c>
      <c r="AC31" s="733"/>
      <c r="AD31" s="733"/>
      <c r="AE31" s="733"/>
      <c r="AF31" s="733"/>
      <c r="AG31" s="723"/>
      <c r="AH31" s="723"/>
      <c r="AI31" s="734">
        <f t="shared" ref="AI31:AI56" si="0">E40-D40</f>
        <v>1.7251507757241859E-2</v>
      </c>
      <c r="AJ31" s="735">
        <f>(SUM(Q5:X5)-SUM(Y5:AF5)-V5-T5)/'PIB corriente base 1993'!$V8/1000</f>
        <v>9.5812582498210636E-3</v>
      </c>
      <c r="AK31" s="735">
        <f t="shared" ref="AK31:AK56" si="1">AJ31-AI31</f>
        <v>-7.6702495074207951E-3</v>
      </c>
      <c r="AL31" s="1"/>
      <c r="AM31" s="1"/>
      <c r="AN31" s="1"/>
      <c r="AO31" s="1"/>
      <c r="AP31" s="1"/>
      <c r="AQ31" s="1"/>
      <c r="AR31" s="1"/>
      <c r="AS31" s="1"/>
      <c r="AT31" s="1"/>
      <c r="AU31" s="1"/>
    </row>
    <row r="32" spans="2:48">
      <c r="B32" s="1"/>
      <c r="C32" s="1"/>
      <c r="D32" s="1"/>
      <c r="E32" s="1"/>
      <c r="F32" s="1"/>
      <c r="G32" s="1"/>
      <c r="H32" s="1"/>
      <c r="I32" s="833" t="s">
        <v>1038</v>
      </c>
      <c r="J32" s="833"/>
      <c r="K32" s="833"/>
      <c r="L32" s="833"/>
      <c r="M32" s="833"/>
      <c r="N32" s="833"/>
      <c r="O32" s="1"/>
      <c r="P32" s="1">
        <f>'Exogenous tax and expenses'!P31+1</f>
        <v>1994</v>
      </c>
      <c r="Q32" s="736">
        <f>'Exogenous tax and expenses'!Q6/'PIB corriente base 1993'!V9/1000</f>
        <v>4.5240149311259652E-3</v>
      </c>
      <c r="R32" s="736"/>
      <c r="S32" s="736"/>
      <c r="T32" s="736"/>
      <c r="U32" s="736"/>
      <c r="V32" s="736"/>
      <c r="W32" s="736">
        <f>'Exogenous tax and expenses'!W6/'PIB corriente base 1993'!$V9/1000</f>
        <v>1.253305637958844E-2</v>
      </c>
      <c r="X32" s="736">
        <f>'Exogenous tax and expenses'!X6/'PIB corriente base 1993'!$V9/1000</f>
        <v>0</v>
      </c>
      <c r="Y32" s="732">
        <f>'Exogenous tax and expenses'!Y6/'PIB corriente base 1993'!V9/1000</f>
        <v>1.1410937191864254E-3</v>
      </c>
      <c r="Z32" s="732"/>
      <c r="AA32" s="732">
        <f>'Exogenous tax and expenses'!AA6/'PIB corriente base 1993'!V9/1000</f>
        <v>5.0017135763056426E-3</v>
      </c>
      <c r="AB32" s="732">
        <f>'Exogenous tax and expenses'!AB6/'PIB corriente base 1993'!V9/1000</f>
        <v>1.7735952930548829E-3</v>
      </c>
      <c r="AC32" s="732"/>
      <c r="AD32" s="732"/>
      <c r="AE32" s="732"/>
      <c r="AF32" s="732"/>
      <c r="AG32" s="545"/>
      <c r="AH32" s="545"/>
      <c r="AI32" s="737">
        <f t="shared" si="0"/>
        <v>1.3485343872410755E-2</v>
      </c>
      <c r="AJ32" s="735">
        <f>(SUM(Q6:X6)-SUM(Y6:AF6)-V6-T6)/'PIB corriente base 1993'!$V9/1000</f>
        <v>9.1406687221674502E-3</v>
      </c>
      <c r="AK32" s="735">
        <f t="shared" si="1"/>
        <v>-4.3446751502433049E-3</v>
      </c>
      <c r="AL32" s="1">
        <v>1993</v>
      </c>
      <c r="AM32" s="455">
        <f>'Exogenous tax and expenses'!AN5/'PIB corriente base 1993'!V8/1000</f>
        <v>1.8064397581607328E-2</v>
      </c>
      <c r="AN32" s="455">
        <f>'Exogenous tax and expenses'!AO5/'PIB corriente base 1993'!V8/1000</f>
        <v>6.5427797584869996E-2</v>
      </c>
      <c r="AO32" s="455">
        <f>'Exogenous tax and expenses'!AP5/'PIB corriente base 1993'!V8/1000</f>
        <v>8.7059477334397901E-3</v>
      </c>
      <c r="AP32" s="455">
        <f>'Exogenous tax and expenses'!AQ5/'PIB corriente base 1993'!V8/1000</f>
        <v>0</v>
      </c>
      <c r="AQ32" s="455">
        <f>'Exogenous tax and expenses'!AR5/'PIB corriente base 1993'!V8/1000</f>
        <v>0</v>
      </c>
      <c r="AR32" s="455">
        <f>'Exogenous tax and expenses'!AS5/'PIB corriente base 1993'!V8/1000</f>
        <v>0</v>
      </c>
      <c r="AS32" s="455">
        <f>'Exogenous tax and expenses'!AT5/'PIB corriente base 1993'!V8/1000</f>
        <v>1.2751806797278657E-2</v>
      </c>
      <c r="AT32" s="455">
        <v>0</v>
      </c>
      <c r="AU32" s="455">
        <v>0</v>
      </c>
    </row>
    <row r="33" spans="1:47">
      <c r="B33" s="1"/>
      <c r="C33" s="1"/>
      <c r="D33" s="1"/>
      <c r="E33" s="1"/>
      <c r="F33" s="1"/>
      <c r="G33" s="1"/>
      <c r="H33" s="1"/>
      <c r="I33" s="833"/>
      <c r="J33" s="833"/>
      <c r="K33" s="833"/>
      <c r="L33" s="833"/>
      <c r="M33" s="833"/>
      <c r="N33" s="833"/>
      <c r="O33" s="1"/>
      <c r="P33" s="1">
        <f>'Exogenous tax and expenses'!P32+1</f>
        <v>1995</v>
      </c>
      <c r="Q33" s="732">
        <f>'Exogenous tax and expenses'!Q7/'PIB corriente base 1993'!V10/1000</f>
        <v>4.8181084281091399E-3</v>
      </c>
      <c r="R33" s="732"/>
      <c r="S33" s="732"/>
      <c r="T33" s="732"/>
      <c r="U33" s="732"/>
      <c r="V33" s="732"/>
      <c r="W33" s="732">
        <f>'Exogenous tax and expenses'!W7/'PIB corriente base 1993'!$V10/1000</f>
        <v>1.1591546064282976E-2</v>
      </c>
      <c r="X33" s="732">
        <f>'Exogenous tax and expenses'!X7/'PIB corriente base 1993'!$V10/1000</f>
        <v>0</v>
      </c>
      <c r="Y33" s="733">
        <f>'Exogenous tax and expenses'!Y7/'PIB corriente base 1993'!V10/1000</f>
        <v>1.1507413092054109E-3</v>
      </c>
      <c r="Z33" s="733"/>
      <c r="AA33" s="733">
        <f>'Exogenous tax and expenses'!AA7/'PIB corriente base 1993'!V10/1000</f>
        <v>4.6037951245697113E-3</v>
      </c>
      <c r="AB33" s="733">
        <f>'Exogenous tax and expenses'!AB7/'PIB corriente base 1993'!V10/1000</f>
        <v>2.0345627827823599E-3</v>
      </c>
      <c r="AC33" s="733"/>
      <c r="AD33" s="733"/>
      <c r="AE33" s="733"/>
      <c r="AF33" s="733"/>
      <c r="AG33" s="734">
        <f t="shared" ref="AG33:AG41" si="2">AG21/AH20</f>
        <v>8.6405698209806162E-2</v>
      </c>
      <c r="AH33" s="723"/>
      <c r="AI33" s="734">
        <f t="shared" si="0"/>
        <v>1.5946328421916151E-2</v>
      </c>
      <c r="AJ33" s="735">
        <f>(SUM(Q7:X7)-SUM(Y7:AF7)-V7-T7)/'PIB corriente base 1993'!$V10/1000</f>
        <v>8.6205552758346366E-3</v>
      </c>
      <c r="AK33" s="735">
        <f t="shared" si="1"/>
        <v>-7.3257731460815139E-3</v>
      </c>
      <c r="AL33" s="1">
        <f>'Exogenous tax and expenses'!AL32+1</f>
        <v>1994</v>
      </c>
      <c r="AM33" s="455">
        <f>'Exogenous tax and expenses'!AN6/'PIB corriente base 1993'!V9/1000</f>
        <v>2.2613389213306502E-2</v>
      </c>
      <c r="AN33" s="455">
        <f>'Exogenous tax and expenses'!AO6/'PIB corriente base 1993'!V9/1000</f>
        <v>6.4046001410095463E-2</v>
      </c>
      <c r="AO33" s="455">
        <f>'Exogenous tax and expenses'!AP6/'PIB corriente base 1993'!V9/1000</f>
        <v>8.0368253831566896E-3</v>
      </c>
      <c r="AP33" s="455">
        <f>'Exogenous tax and expenses'!AQ6/'PIB corriente base 1993'!V9/1000</f>
        <v>0</v>
      </c>
      <c r="AQ33" s="455">
        <f>'Exogenous tax and expenses'!AR6/'PIB corriente base 1993'!V9/1000</f>
        <v>0</v>
      </c>
      <c r="AR33" s="455">
        <f>'Exogenous tax and expenses'!AS6/'PIB corriente base 1993'!V9/1000</f>
        <v>0</v>
      </c>
      <c r="AS33" s="455">
        <f>'Exogenous tax and expenses'!AT6/'PIB corriente base 1993'!V9/1000</f>
        <v>1.253305637958844E-2</v>
      </c>
      <c r="AT33" s="455">
        <v>0</v>
      </c>
      <c r="AU33" s="455">
        <v>0</v>
      </c>
    </row>
    <row r="34" spans="1:47">
      <c r="B34" s="1"/>
      <c r="C34" s="1"/>
      <c r="D34" s="1"/>
      <c r="E34" s="1"/>
      <c r="F34" s="1"/>
      <c r="G34" s="1"/>
      <c r="H34" s="1"/>
      <c r="I34" s="833"/>
      <c r="J34" s="833"/>
      <c r="K34" s="833"/>
      <c r="L34" s="833"/>
      <c r="M34" s="833"/>
      <c r="N34" s="833"/>
      <c r="O34" s="738">
        <v>351671158.42997003</v>
      </c>
      <c r="P34" s="1">
        <f>'Exogenous tax and expenses'!P33+1</f>
        <v>1996</v>
      </c>
      <c r="Q34" s="736">
        <f>'Exogenous tax and expenses'!Q8/'PIB corriente base 1993'!$V11/1000</f>
        <v>5.3511912401176479E-3</v>
      </c>
      <c r="R34" s="736"/>
      <c r="S34" s="736">
        <f>'Exogenous tax and expenses'!S8/'PIB corriente base 1993'!V11/1000</f>
        <v>6.9955551936776638E-3</v>
      </c>
      <c r="T34" s="736">
        <f>'Exogenous tax and expenses'!T8/'PIB corriente base 1993'!V11/1000</f>
        <v>8.591912845357895E-3</v>
      </c>
      <c r="U34" s="736">
        <f>'Exogenous tax and expenses'!U8/'PIB corriente base 1993'!V11/1000</f>
        <v>6.3312200380301765E-4</v>
      </c>
      <c r="V34" s="736"/>
      <c r="W34" s="736">
        <f>'Exogenous tax and expenses'!W8/'PIB corriente base 1993'!$V11/1000</f>
        <v>1.1873413888874359E-2</v>
      </c>
      <c r="X34" s="736">
        <f>'Exogenous tax and expenses'!X8/'PIB corriente base 1993'!$V11/1000</f>
        <v>1.8995218447279618E-3</v>
      </c>
      <c r="Y34" s="732">
        <f>'Exogenous tax and expenses'!Y8/'PIB corriente base 1993'!V11/1000</f>
        <v>1.2158148023391482E-3</v>
      </c>
      <c r="Z34" s="732"/>
      <c r="AA34" s="732">
        <f>'Exogenous tax and expenses'!AA8/'PIB corriente base 1993'!V11/1000</f>
        <v>3.7160597778345197E-3</v>
      </c>
      <c r="AB34" s="732">
        <f>'Exogenous tax and expenses'!AB8/'PIB corriente base 1993'!V11/1000</f>
        <v>3.7446992047540321E-3</v>
      </c>
      <c r="AC34" s="732"/>
      <c r="AD34" s="732"/>
      <c r="AE34" s="732"/>
      <c r="AF34" s="732"/>
      <c r="AG34" s="732">
        <f t="shared" si="2"/>
        <v>6.4224005357338285E-2</v>
      </c>
      <c r="AH34" s="545"/>
      <c r="AI34" s="737">
        <f t="shared" si="0"/>
        <v>1.7987495386399301E-2</v>
      </c>
      <c r="AJ34" s="735">
        <f>(SUM(Q8:X8)-SUM(Y8:AF8)-V8-T8)/'PIB corriente base 1993'!$V11/1000</f>
        <v>1.807623038627295E-2</v>
      </c>
      <c r="AK34" s="735">
        <f t="shared" si="1"/>
        <v>8.873499987364919E-5</v>
      </c>
      <c r="AL34" s="1">
        <f>'Exogenous tax and expenses'!AL33+1</f>
        <v>1995</v>
      </c>
      <c r="AM34" s="455">
        <f>'Exogenous tax and expenses'!AN7/'PIB corriente base 1993'!V10/1000</f>
        <v>2.4177322113482405E-2</v>
      </c>
      <c r="AN34" s="455">
        <f>'Exogenous tax and expenses'!AO7/'PIB corriente base 1993'!V10/1000</f>
        <v>6.3968838571510644E-2</v>
      </c>
      <c r="AO34" s="455">
        <f>'Exogenous tax and expenses'!AP7/'PIB corriente base 1993'!V10/1000</f>
        <v>6.9448781485609524E-3</v>
      </c>
      <c r="AP34" s="455">
        <f>'Exogenous tax and expenses'!AQ7/'PIB corriente base 1993'!V10/1000</f>
        <v>0</v>
      </c>
      <c r="AQ34" s="455">
        <f>'Exogenous tax and expenses'!AR7/'PIB corriente base 1993'!V10/1000</f>
        <v>0</v>
      </c>
      <c r="AR34" s="455">
        <f>'Exogenous tax and expenses'!AS7/'PIB corriente base 1993'!V10/1000</f>
        <v>0</v>
      </c>
      <c r="AS34" s="455">
        <f>'Exogenous tax and expenses'!AT7/'PIB corriente base 1993'!V10/1000</f>
        <v>1.1591546064282976E-2</v>
      </c>
      <c r="AT34" s="455">
        <v>0</v>
      </c>
      <c r="AU34" s="455">
        <v>0</v>
      </c>
    </row>
    <row r="35" spans="1:47">
      <c r="B35" s="1"/>
      <c r="C35" s="1"/>
      <c r="D35" s="1"/>
      <c r="E35" s="1"/>
      <c r="F35" s="1"/>
      <c r="G35" s="1"/>
      <c r="H35" s="1"/>
      <c r="I35" s="833"/>
      <c r="J35" s="833"/>
      <c r="K35" s="833"/>
      <c r="L35" s="833"/>
      <c r="M35" s="833"/>
      <c r="N35" s="833"/>
      <c r="O35" s="455">
        <f>O34/V30-1</f>
        <v>0.51197025253942585</v>
      </c>
      <c r="P35" s="1">
        <f>'Exogenous tax and expenses'!P34+1</f>
        <v>1997</v>
      </c>
      <c r="Q35" s="732">
        <f>'Exogenous tax and expenses'!Q9/'PIB corriente base 1993'!V12/1000</f>
        <v>5.6995975530963238E-3</v>
      </c>
      <c r="R35" s="732"/>
      <c r="S35" s="732">
        <f>'Exogenous tax and expenses'!S9/'PIB corriente base 1993'!V12/1000</f>
        <v>6.9778966856875674E-3</v>
      </c>
      <c r="T35" s="732">
        <f>'Exogenous tax and expenses'!T9/'PIB corriente base 1993'!V12/1000</f>
        <v>1.3376480288804339E-2</v>
      </c>
      <c r="U35" s="732">
        <f>'Exogenous tax and expenses'!U9/'PIB corriente base 1993'!V12/1000</f>
        <v>6.6183754362308803E-4</v>
      </c>
      <c r="V35" s="732"/>
      <c r="W35" s="732">
        <f>'Exogenous tax and expenses'!W9/'PIB corriente base 1993'!$V12/1000</f>
        <v>1.2286423141515632E-2</v>
      </c>
      <c r="X35" s="732">
        <f>'Exogenous tax and expenses'!X9/'PIB corriente base 1993'!$V12/1000</f>
        <v>6.7841788103432535E-3</v>
      </c>
      <c r="Y35" s="733">
        <f>'Exogenous tax and expenses'!Y9/'PIB corriente base 1993'!V12/1000</f>
        <v>8.4034602814197731E-4</v>
      </c>
      <c r="Z35" s="733"/>
      <c r="AA35" s="733">
        <f>'Exogenous tax and expenses'!AA9/'PIB corriente base 1993'!V12/1000</f>
        <v>3.7651835949955195E-3</v>
      </c>
      <c r="AB35" s="733">
        <f>'Exogenous tax and expenses'!AB9/'PIB corriente base 1993'!V12/1000</f>
        <v>3.4522765198349318E-3</v>
      </c>
      <c r="AC35" s="733"/>
      <c r="AD35" s="733"/>
      <c r="AE35" s="733"/>
      <c r="AF35" s="733"/>
      <c r="AG35" s="734">
        <f t="shared" si="2"/>
        <v>6.2009477541962517E-2</v>
      </c>
      <c r="AH35" s="723"/>
      <c r="AI35" s="734">
        <f t="shared" si="0"/>
        <v>1.7646144477515089E-2</v>
      </c>
      <c r="AJ35" s="735">
        <f>(SUM(Q9:X9)-SUM(Y9:AF9)-V9-T9)/'PIB corriente base 1993'!$V12/1000</f>
        <v>2.4352127591293436E-2</v>
      </c>
      <c r="AK35" s="735">
        <f t="shared" si="1"/>
        <v>6.7059831137783465E-3</v>
      </c>
      <c r="AL35" s="1">
        <f>'Exogenous tax and expenses'!AL34+1</f>
        <v>1996</v>
      </c>
      <c r="AM35" s="455">
        <f>'Exogenous tax and expenses'!AN8/'PIB corriente base 1993'!V11/1000</f>
        <v>2.4992221395676872E-2</v>
      </c>
      <c r="AN35" s="455">
        <f>'Exogenous tax and expenses'!AO8/'PIB corriente base 1993'!V11/1000</f>
        <v>6.6479445528458914E-2</v>
      </c>
      <c r="AO35" s="455">
        <f>'Exogenous tax and expenses'!AP8/'PIB corriente base 1993'!V11/1000</f>
        <v>8.591912845357895E-3</v>
      </c>
      <c r="AP35" s="455">
        <f>'Exogenous tax and expenses'!AQ8/'PIB corriente base 1993'!V11/1000</f>
        <v>6.3312200380301765E-4</v>
      </c>
      <c r="AQ35" s="455">
        <f>'Exogenous tax and expenses'!AR8/'PIB corriente base 1993'!V11/1000</f>
        <v>0</v>
      </c>
      <c r="AR35" s="455">
        <f>'Exogenous tax and expenses'!AS8/'PIB corriente base 1993'!V11/1000</f>
        <v>0</v>
      </c>
      <c r="AS35" s="455">
        <f>'Exogenous tax and expenses'!AT8/'PIB corriente base 1993'!V11/1000</f>
        <v>1.1873413888874359E-2</v>
      </c>
      <c r="AT35" s="455">
        <v>0</v>
      </c>
      <c r="AU35" s="455">
        <v>0</v>
      </c>
    </row>
    <row r="36" spans="1:47">
      <c r="B36" s="1"/>
      <c r="C36" s="1"/>
      <c r="D36" s="1"/>
      <c r="E36" s="1"/>
      <c r="F36" s="1"/>
      <c r="G36" s="1"/>
      <c r="H36" s="1"/>
      <c r="I36" s="833"/>
      <c r="J36" s="833"/>
      <c r="K36" s="833"/>
      <c r="L36" s="833"/>
      <c r="M36" s="833"/>
      <c r="N36" s="833"/>
      <c r="O36" s="1"/>
      <c r="P36" s="1">
        <f>'Exogenous tax and expenses'!P35+1</f>
        <v>1998</v>
      </c>
      <c r="Q36" s="736">
        <f>'Exogenous tax and expenses'!Q10/'PIB corriente base 1993'!V13/1000</f>
        <v>6.3631513145607924E-3</v>
      </c>
      <c r="R36" s="736">
        <f>'Exogenous tax and expenses'!R10/'PIB corriente base 1993'!$V13/1000</f>
        <v>1.4554319752891498E-4</v>
      </c>
      <c r="S36" s="736">
        <f>'Exogenous tax and expenses'!S10/'PIB corriente base 1993'!V13/1000</f>
        <v>7.0169559049698699E-3</v>
      </c>
      <c r="T36" s="736">
        <f>'Exogenous tax and expenses'!T10/'PIB corriente base 1993'!V13/1000</f>
        <v>1.2351410851886161E-2</v>
      </c>
      <c r="U36" s="736">
        <f>'Exogenous tax and expenses'!U10/'PIB corriente base 1993'!V13/1000</f>
        <v>6.6153900612282268E-4</v>
      </c>
      <c r="V36" s="736"/>
      <c r="W36" s="736">
        <f>'Exogenous tax and expenses'!W10/'PIB corriente base 1993'!$V13/1000</f>
        <v>1.2703332712976441E-2</v>
      </c>
      <c r="X36" s="736">
        <f>'Exogenous tax and expenses'!X10/'PIB corriente base 1993'!$V13/1000</f>
        <v>6.2064416709736213E-3</v>
      </c>
      <c r="Y36" s="732">
        <f>'Exogenous tax and expenses'!Y10/'PIB corriente base 1993'!V13/1000</f>
        <v>7.7499973236343689E-4</v>
      </c>
      <c r="Z36" s="732"/>
      <c r="AA36" s="732">
        <f>'Exogenous tax and expenses'!AA10/'PIB corriente base 1993'!V13/1000</f>
        <v>4.4281736419032975E-3</v>
      </c>
      <c r="AB36" s="732">
        <f>'Exogenous tax and expenses'!AB10/'PIB corriente base 1993'!V13/1000</f>
        <v>3.7525611360283858E-3</v>
      </c>
      <c r="AC36" s="732"/>
      <c r="AD36" s="732"/>
      <c r="AE36" s="732"/>
      <c r="AF36" s="732"/>
      <c r="AG36" s="732">
        <f t="shared" si="2"/>
        <v>8.6968202811920386E-2</v>
      </c>
      <c r="AH36" s="545"/>
      <c r="AI36" s="737">
        <f t="shared" si="0"/>
        <v>2.448502018014927E-2</v>
      </c>
      <c r="AJ36" s="735">
        <f>(SUM(Q10:X10)-SUM(Y10:AF10)-V10-T10)/'PIB corriente base 1993'!$V13/1000</f>
        <v>2.4141229296837353E-2</v>
      </c>
      <c r="AK36" s="735">
        <f t="shared" si="1"/>
        <v>-3.4379088331191673E-4</v>
      </c>
      <c r="AL36" s="1">
        <f>'Exogenous tax and expenses'!AL35+1</f>
        <v>1997</v>
      </c>
      <c r="AM36" s="455">
        <f>'Exogenous tax and expenses'!AN9/'PIB corriente base 1993'!V12/1000</f>
        <v>2.845664121911631E-2</v>
      </c>
      <c r="AN36" s="455">
        <f>'Exogenous tax and expenses'!AO9/'PIB corriente base 1993'!V12/1000</f>
        <v>6.7678890873083888E-2</v>
      </c>
      <c r="AO36" s="455">
        <f>'Exogenous tax and expenses'!AP9/'PIB corriente base 1993'!V12/1000</f>
        <v>1.3376480288804339E-2</v>
      </c>
      <c r="AP36" s="455">
        <f>'Exogenous tax and expenses'!AQ9/'PIB corriente base 1993'!V12/1000</f>
        <v>6.6183754362308803E-4</v>
      </c>
      <c r="AQ36" s="455">
        <f>'Exogenous tax and expenses'!AR9/'PIB corriente base 1993'!V12/1000</f>
        <v>0</v>
      </c>
      <c r="AR36" s="455">
        <f>'Exogenous tax and expenses'!AS9/'PIB corriente base 1993'!V12/1000</f>
        <v>0</v>
      </c>
      <c r="AS36" s="455">
        <f>'Exogenous tax and expenses'!AT9/'PIB corriente base 1993'!V12/1000</f>
        <v>1.2286423141515632E-2</v>
      </c>
      <c r="AT36" s="455">
        <v>0</v>
      </c>
      <c r="AU36" s="455">
        <v>0</v>
      </c>
    </row>
    <row r="37" spans="1:47">
      <c r="B37" s="1"/>
      <c r="C37" s="1"/>
      <c r="D37" s="1"/>
      <c r="E37" s="1"/>
      <c r="F37" s="1"/>
      <c r="G37" s="1"/>
      <c r="H37" s="1"/>
      <c r="I37" s="833"/>
      <c r="J37" s="833"/>
      <c r="K37" s="833"/>
      <c r="L37" s="833"/>
      <c r="M37" s="833"/>
      <c r="N37" s="833"/>
      <c r="O37" s="1"/>
      <c r="P37" s="1">
        <f>'Exogenous tax and expenses'!P36+1</f>
        <v>1999</v>
      </c>
      <c r="Q37" s="732">
        <f>'Exogenous tax and expenses'!Q11/'PIB corriente base 1993'!V14/1000</f>
        <v>6.5284323619381329E-3</v>
      </c>
      <c r="R37" s="732">
        <f>'Exogenous tax and expenses'!R11/'PIB corriente base 1993'!$V14/1000</f>
        <v>6.8206559483218875E-4</v>
      </c>
      <c r="S37" s="732">
        <f>'Exogenous tax and expenses'!S11/'PIB corriente base 1993'!V14/1000</f>
        <v>6.6173030258342607E-3</v>
      </c>
      <c r="T37" s="732">
        <f>'Exogenous tax and expenses'!T11/'PIB corriente base 1993'!V14/1000</f>
        <v>1.2654616015398279E-2</v>
      </c>
      <c r="U37" s="732">
        <f>'Exogenous tax and expenses'!U11/'PIB corriente base 1993'!V14/1000</f>
        <v>6.9480776987419259E-4</v>
      </c>
      <c r="V37" s="732"/>
      <c r="W37" s="732">
        <f>'Exogenous tax and expenses'!W11/'PIB corriente base 1993'!$V14/1000</f>
        <v>1.3059061033359248E-2</v>
      </c>
      <c r="X37" s="732">
        <f>'Exogenous tax and expenses'!X11/'PIB corriente base 1993'!$V14/1000</f>
        <v>6.5900620124852826E-3</v>
      </c>
      <c r="Y37" s="733">
        <f>'Exogenous tax and expenses'!Y11/'PIB corriente base 1993'!V14/1000</f>
        <v>8.4482141981642451E-4</v>
      </c>
      <c r="Z37" s="733"/>
      <c r="AA37" s="733">
        <f>'Exogenous tax and expenses'!AA11/'PIB corriente base 1993'!V14/1000</f>
        <v>4.9673278623255422E-3</v>
      </c>
      <c r="AB37" s="733">
        <f>'Exogenous tax and expenses'!AB11/'PIB corriente base 1993'!V14/1000</f>
        <v>3.7142504429262084E-3</v>
      </c>
      <c r="AC37" s="733"/>
      <c r="AD37" s="733"/>
      <c r="AE37" s="733"/>
      <c r="AF37" s="733"/>
      <c r="AG37" s="734">
        <f t="shared" si="2"/>
        <v>9.3436335460357262E-2</v>
      </c>
      <c r="AH37" s="723"/>
      <c r="AI37" s="734">
        <f t="shared" si="0"/>
        <v>2.4391948852018411E-2</v>
      </c>
      <c r="AJ37" s="735">
        <f>(SUM(Q11:X11)-SUM(Y11:AF11)-V11-T11)/'PIB corriente base 1993'!$V14/1000</f>
        <v>2.4645332073255127E-2</v>
      </c>
      <c r="AK37" s="735">
        <f t="shared" si="1"/>
        <v>2.5338322123671583E-4</v>
      </c>
      <c r="AL37" s="1">
        <f>'Exogenous tax and expenses'!AL36+1</f>
        <v>1998</v>
      </c>
      <c r="AM37" s="455">
        <f>'Exogenous tax and expenses'!AN10/'PIB corriente base 1993'!V13/1000</f>
        <v>3.1710781239432773E-2</v>
      </c>
      <c r="AN37" s="455">
        <f>'Exogenous tax and expenses'!AO10/'PIB corriente base 1993'!V13/1000</f>
        <v>6.8057727757386985E-2</v>
      </c>
      <c r="AO37" s="455">
        <f>'Exogenous tax and expenses'!AP10/'PIB corriente base 1993'!V13/1000</f>
        <v>1.2351410851886161E-2</v>
      </c>
      <c r="AP37" s="455">
        <f>'Exogenous tax and expenses'!AQ10/'PIB corriente base 1993'!V13/1000</f>
        <v>6.6153900612282268E-4</v>
      </c>
      <c r="AQ37" s="455">
        <f>'Exogenous tax and expenses'!AR10/'PIB corriente base 1993'!V13/1000</f>
        <v>0</v>
      </c>
      <c r="AR37" s="455">
        <f>'Exogenous tax and expenses'!AS10/'PIB corriente base 1993'!V13/1000</f>
        <v>3.3326491733164798E-4</v>
      </c>
      <c r="AS37" s="455">
        <f>'Exogenous tax and expenses'!AT10/'PIB corriente base 1993'!V13/1000</f>
        <v>1.2703332712976441E-2</v>
      </c>
      <c r="AT37" s="455">
        <v>0</v>
      </c>
      <c r="AU37" s="455">
        <v>0</v>
      </c>
    </row>
    <row r="38" spans="1:47">
      <c r="B38" s="1"/>
      <c r="D38" s="808" t="s">
        <v>1039</v>
      </c>
      <c r="E38" s="808" t="s">
        <v>1040</v>
      </c>
      <c r="F38" s="1"/>
      <c r="G38" s="1"/>
      <c r="H38" s="1"/>
      <c r="I38" s="833"/>
      <c r="J38" s="833"/>
      <c r="K38" s="833"/>
      <c r="L38" s="833"/>
      <c r="M38" s="833"/>
      <c r="N38" s="833"/>
      <c r="O38" s="1"/>
      <c r="P38" s="1">
        <f>'Exogenous tax and expenses'!P37+1</f>
        <v>2000</v>
      </c>
      <c r="Q38" s="736">
        <f>'Exogenous tax and expenses'!Q12/'PIB corriente base 1993'!V15/1000</f>
        <v>7.374829799898292E-3</v>
      </c>
      <c r="R38" s="736">
        <f>'Exogenous tax and expenses'!R12/'PIB corriente base 1993'!$V15/1000</f>
        <v>7.9213172497275951E-4</v>
      </c>
      <c r="S38" s="736">
        <f>'Exogenous tax and expenses'!S12/'PIB corriente base 1993'!V15/1000</f>
        <v>6.8958904572268311E-3</v>
      </c>
      <c r="T38" s="736">
        <f>'Exogenous tax and expenses'!T12/'PIB corriente base 1993'!V15/1000</f>
        <v>1.2238406885102689E-2</v>
      </c>
      <c r="U38" s="736">
        <f>'Exogenous tax and expenses'!U12/'PIB corriente base 1993'!V15/1000</f>
        <v>1.7144558211480618E-3</v>
      </c>
      <c r="V38" s="736"/>
      <c r="W38" s="736">
        <f>'Exogenous tax and expenses'!W12/'PIB corriente base 1993'!$V15/1000</f>
        <v>1.3248290446669314E-2</v>
      </c>
      <c r="X38" s="736">
        <f>'Exogenous tax and expenses'!X12/'PIB corriente base 1993'!$V15/1000</f>
        <v>6.2520127515369502E-3</v>
      </c>
      <c r="Y38" s="732">
        <f>'Exogenous tax and expenses'!Y12/'PIB corriente base 1993'!V15/1000</f>
        <v>7.5791752311021659E-4</v>
      </c>
      <c r="Z38" s="732"/>
      <c r="AA38" s="732">
        <f>'Exogenous tax and expenses'!AA12/'PIB corriente base 1993'!V15/1000</f>
        <v>4.5770873405009899E-3</v>
      </c>
      <c r="AB38" s="732">
        <f>'Exogenous tax and expenses'!AB12/'PIB corriente base 1993'!V15/1000</f>
        <v>3.8467060885843648E-3</v>
      </c>
      <c r="AC38" s="732"/>
      <c r="AD38" s="732"/>
      <c r="AE38" s="732"/>
      <c r="AF38" s="732"/>
      <c r="AG38" s="732">
        <f t="shared" si="2"/>
        <v>0.11650095904996481</v>
      </c>
      <c r="AH38" s="545"/>
      <c r="AI38" s="737">
        <f t="shared" si="0"/>
        <v>2.7036952082826686E-2</v>
      </c>
      <c r="AJ38" s="735">
        <f>(SUM(Q12:X12)-SUM(Y12:AF12)-V12-T12)/'PIB corriente base 1993'!$V15/1000</f>
        <v>2.709590004925664E-2</v>
      </c>
      <c r="AK38" s="735">
        <f t="shared" si="1"/>
        <v>5.8947966429953591E-5</v>
      </c>
      <c r="AL38" s="1">
        <f>'Exogenous tax and expenses'!AL37+1</f>
        <v>1999</v>
      </c>
      <c r="AM38" s="455">
        <f>'Exogenous tax and expenses'!AN11/'PIB corriente base 1993'!V14/1000</f>
        <v>3.258982946171525E-2</v>
      </c>
      <c r="AN38" s="455">
        <f>'Exogenous tax and expenses'!AO11/'PIB corriente base 1993'!V14/1000</f>
        <v>6.4181478966026786E-2</v>
      </c>
      <c r="AO38" s="455">
        <f>'Exogenous tax and expenses'!AP11/'PIB corriente base 1993'!V14/1000</f>
        <v>1.2654616015398279E-2</v>
      </c>
      <c r="AP38" s="455">
        <f>'Exogenous tax and expenses'!AQ11/'PIB corriente base 1993'!V14/1000</f>
        <v>6.9480776987419259E-4</v>
      </c>
      <c r="AQ38" s="455">
        <f>'Exogenous tax and expenses'!AR11/'PIB corriente base 1993'!V14/1000</f>
        <v>0</v>
      </c>
      <c r="AR38" s="455">
        <f>'Exogenous tax and expenses'!AS11/'PIB corriente base 1993'!V14/1000</f>
        <v>1.3593569742197361E-3</v>
      </c>
      <c r="AS38" s="455">
        <f>'Exogenous tax and expenses'!AT11/'PIB corriente base 1993'!V14/1000</f>
        <v>1.3059061033359248E-2</v>
      </c>
      <c r="AT38" s="455">
        <v>0</v>
      </c>
      <c r="AU38" s="455">
        <v>0</v>
      </c>
    </row>
    <row r="39" spans="1:47">
      <c r="B39" s="1"/>
      <c r="C39" s="739"/>
      <c r="D39" s="808"/>
      <c r="E39" s="808"/>
      <c r="F39" s="1"/>
      <c r="G39" s="1"/>
      <c r="H39" s="1"/>
      <c r="I39" s="833"/>
      <c r="J39" s="833"/>
      <c r="K39" s="833"/>
      <c r="L39" s="833"/>
      <c r="M39" s="833"/>
      <c r="N39" s="833"/>
      <c r="P39" s="1">
        <f>'Exogenous tax and expenses'!P38+1</f>
        <v>2001</v>
      </c>
      <c r="Q39" s="732">
        <f>'Exogenous tax and expenses'!Q13/'PIB corriente base 1993'!V16/1000</f>
        <v>7.4232099050386396E-3</v>
      </c>
      <c r="R39" s="732">
        <f>'Exogenous tax and expenses'!R13/'PIB corriente base 1993'!$V16/1000</f>
        <v>7.9272512311031273E-4</v>
      </c>
      <c r="S39" s="732">
        <f>'Exogenous tax and expenses'!S13/'PIB corriente base 1993'!V16/1000</f>
        <v>5.8904139718054752E-3</v>
      </c>
      <c r="T39" s="732">
        <f>'Exogenous tax and expenses'!T13/'PIB corriente base 1993'!V16/1000</f>
        <v>1.2726717103591018E-2</v>
      </c>
      <c r="U39" s="732">
        <f>'Exogenous tax and expenses'!U13/'PIB corriente base 1993'!V16/1000</f>
        <v>8.4055104608402942E-4</v>
      </c>
      <c r="V39" s="732">
        <f>'Exogenous tax and expenses'!V13/'PIB corriente base 1993'!V16/1000</f>
        <v>1.0915958043270495E-2</v>
      </c>
      <c r="W39" s="732">
        <f>'Exogenous tax and expenses'!W13/'PIB corriente base 1993'!$V16/1000</f>
        <v>1.2445044343194066E-2</v>
      </c>
      <c r="X39" s="732">
        <f>'Exogenous tax and expenses'!X13/'PIB corriente base 1993'!$V16/1000</f>
        <v>6.473913242636996E-3</v>
      </c>
      <c r="Y39" s="733">
        <f>'Exogenous tax and expenses'!Y13/'PIB corriente base 1993'!V16/1000</f>
        <v>6.8842010448321757E-4</v>
      </c>
      <c r="Z39" s="733"/>
      <c r="AA39" s="733">
        <f>'Exogenous tax and expenses'!AA13/'PIB corriente base 1993'!V16/1000</f>
        <v>4.5872078330893773E-3</v>
      </c>
      <c r="AB39" s="733">
        <f>'Exogenous tax and expenses'!AB13/'PIB corriente base 1993'!V16/1000</f>
        <v>3.918965626033789E-3</v>
      </c>
      <c r="AC39" s="733"/>
      <c r="AD39" s="733"/>
      <c r="AE39" s="733"/>
      <c r="AF39" s="733"/>
      <c r="AG39" s="734">
        <f t="shared" si="2"/>
        <v>0.11260835174478312</v>
      </c>
      <c r="AH39" s="723"/>
      <c r="AI39" s="734">
        <f t="shared" si="0"/>
        <v>2.4167568915657342E-2</v>
      </c>
      <c r="AJ39" s="735">
        <f>(SUM(Q13:X13)-SUM(Y13:AF13)-V13-T13)/'PIB corriente base 1993'!$V16/1000</f>
        <v>2.467126406826313E-2</v>
      </c>
      <c r="AK39" s="735">
        <f t="shared" si="1"/>
        <v>5.0369515260578757E-4</v>
      </c>
      <c r="AL39" s="1">
        <f>'Exogenous tax and expenses'!AL38+1</f>
        <v>2000</v>
      </c>
      <c r="AM39" s="455">
        <f>'Exogenous tax and expenses'!AN12/'PIB corriente base 1993'!V15/1000</f>
        <v>3.6787498749007816E-2</v>
      </c>
      <c r="AN39" s="455">
        <f>'Exogenous tax and expenses'!AO12/'PIB corriente base 1993'!V15/1000</f>
        <v>6.6883509279330677E-2</v>
      </c>
      <c r="AO39" s="455">
        <f>'Exogenous tax and expenses'!AP12/'PIB corriente base 1993'!V15/1000</f>
        <v>1.2238406885102689E-2</v>
      </c>
      <c r="AP39" s="455">
        <f>'Exogenous tax and expenses'!AQ12/'PIB corriente base 1993'!V15/1000</f>
        <v>1.7144558211480618E-3</v>
      </c>
      <c r="AQ39" s="455">
        <f>'Exogenous tax and expenses'!AR12/'PIB corriente base 1993'!V15/1000</f>
        <v>0</v>
      </c>
      <c r="AR39" s="455">
        <f>'Exogenous tax and expenses'!AS12/'PIB corriente base 1993'!V15/1000</f>
        <v>1.2440089664288597E-3</v>
      </c>
      <c r="AS39" s="455">
        <f>'Exogenous tax and expenses'!AT12/'PIB corriente base 1993'!V15/1000</f>
        <v>1.3248290446669314E-2</v>
      </c>
      <c r="AT39" s="455">
        <v>0</v>
      </c>
      <c r="AU39" s="455">
        <v>0</v>
      </c>
    </row>
    <row r="40" spans="1:47">
      <c r="A40">
        <f>'Cuenta Ahorro-Inversión-Financi'!AV81</f>
        <v>1993</v>
      </c>
      <c r="B40" s="1"/>
      <c r="C40" s="1"/>
      <c r="D40" s="701">
        <f>'Cuenta Ahorro-Inversión-Financi'!AW42</f>
        <v>-1.7697577032705754E-2</v>
      </c>
      <c r="E40" s="701">
        <f>'Cuenta Ahorro-Inversión-Financi'!AX81</f>
        <v>-4.4606927546389334E-4</v>
      </c>
      <c r="F40" s="1"/>
      <c r="G40" s="1"/>
      <c r="H40" s="1"/>
      <c r="I40" s="833"/>
      <c r="J40" s="833"/>
      <c r="K40" s="833"/>
      <c r="L40" s="833"/>
      <c r="M40" s="833"/>
      <c r="N40" s="833"/>
      <c r="O40" s="1"/>
      <c r="P40" s="1">
        <f>'Exogenous tax and expenses'!P39+1</f>
        <v>2002</v>
      </c>
      <c r="Q40" s="736">
        <f>'Exogenous tax and expenses'!Q14/'PIB corriente base 1993'!V17/1000</f>
        <v>5.5073267633052357E-3</v>
      </c>
      <c r="R40" s="736">
        <f>'Exogenous tax and expenses'!R14/'PIB corriente base 1993'!$V17/1000</f>
        <v>5.1794943543286248E-4</v>
      </c>
      <c r="S40" s="736">
        <f>'Exogenous tax and expenses'!S14/'PIB corriente base 1993'!V17/1000</f>
        <v>5.0275550736719951E-3</v>
      </c>
      <c r="T40" s="736">
        <f>'Exogenous tax and expenses'!T14/'PIB corriente base 1993'!V17/1000</f>
        <v>1.4342468925354011E-2</v>
      </c>
      <c r="U40" s="736">
        <f>'Exogenous tax and expenses'!U14/'PIB corriente base 1993'!V17/1000</f>
        <v>6.96250533678235E-4</v>
      </c>
      <c r="V40" s="736">
        <f>'Exogenous tax and expenses'!V14/'PIB corriente base 1993'!V17/1000</f>
        <v>1.553948673774309E-2</v>
      </c>
      <c r="W40" s="736">
        <f>'Exogenous tax and expenses'!W14/'PIB corriente base 1993'!$V17/1000</f>
        <v>9.6369580470071613E-3</v>
      </c>
      <c r="X40" s="736">
        <f>'Exogenous tax and expenses'!X14/'PIB corriente base 1993'!$V17/1000</f>
        <v>5.7872107424324611E-3</v>
      </c>
      <c r="Y40" s="732">
        <f>'Exogenous tax and expenses'!Y14/'PIB corriente base 1993'!V17/1000</f>
        <v>6.741155799202933E-4</v>
      </c>
      <c r="Z40" s="732"/>
      <c r="AA40" s="732">
        <f>'Exogenous tax and expenses'!AA14/'PIB corriente base 1993'!V17/1000</f>
        <v>3.9301611397900577E-3</v>
      </c>
      <c r="AB40" s="732">
        <f>'Exogenous tax and expenses'!AB14/'PIB corriente base 1993'!V17/1000</f>
        <v>2.8685667991775786E-3</v>
      </c>
      <c r="AC40" s="732"/>
      <c r="AD40" s="732"/>
      <c r="AE40" s="732"/>
      <c r="AF40" s="732"/>
      <c r="AG40" s="732">
        <f t="shared" si="2"/>
        <v>0.10913712268227743</v>
      </c>
      <c r="AH40" s="545"/>
      <c r="AI40" s="737">
        <f t="shared" si="0"/>
        <v>1.8260477773980377E-2</v>
      </c>
      <c r="AJ40" s="735">
        <f>(SUM(Q14:X14)-SUM(Y14:AF14)-V14-T14)/'PIB corriente base 1993'!$V17/1000</f>
        <v>1.970040707664002E-2</v>
      </c>
      <c r="AK40" s="735">
        <f t="shared" si="1"/>
        <v>1.4399293026596434E-3</v>
      </c>
      <c r="AL40" s="1">
        <f>'Exogenous tax and expenses'!AL39+1</f>
        <v>2001</v>
      </c>
      <c r="AM40" s="455">
        <f>'Exogenous tax and expenses'!AN13/'PIB corriente base 1993'!V16/1000</f>
        <v>3.7556394940934663E-2</v>
      </c>
      <c r="AN40" s="455">
        <f>'Exogenous tax and expenses'!AO13/'PIB corriente base 1993'!V16/1000</f>
        <v>5.713135380935061E-2</v>
      </c>
      <c r="AO40" s="455">
        <f>'Exogenous tax and expenses'!AP13/'PIB corriente base 1993'!V16/1000</f>
        <v>1.2726717103591018E-2</v>
      </c>
      <c r="AP40" s="455">
        <f>'Exogenous tax and expenses'!AQ13/'PIB corriente base 1993'!V16/1000</f>
        <v>8.4055104608402942E-4</v>
      </c>
      <c r="AQ40" s="455">
        <f>'Exogenous tax and expenses'!AR13/'PIB corriente base 1993'!V16/1000</f>
        <v>1.0915958043270495E-2</v>
      </c>
      <c r="AR40" s="455">
        <f>'Exogenous tax and expenses'!AS13/'PIB corriente base 1993'!V16/1000</f>
        <v>1.1252612706412596E-3</v>
      </c>
      <c r="AS40" s="455">
        <f>'Exogenous tax and expenses'!AT13/'PIB corriente base 1993'!V16/1000</f>
        <v>1.2445044343194066E-2</v>
      </c>
      <c r="AT40" s="455">
        <v>0</v>
      </c>
      <c r="AU40" s="455">
        <v>0</v>
      </c>
    </row>
    <row r="41" spans="1:47">
      <c r="A41">
        <f>'Cuenta Ahorro-Inversión-Financi'!AV82</f>
        <v>1994</v>
      </c>
      <c r="B41" s="1"/>
      <c r="C41" s="1"/>
      <c r="D41" s="702">
        <f>'Cuenta Ahorro-Inversión-Financi'!AW43</f>
        <v>-2.6570673333472301E-2</v>
      </c>
      <c r="E41" s="702">
        <f>'Cuenta Ahorro-Inversión-Financi'!AX82</f>
        <v>-1.3085329461061546E-2</v>
      </c>
      <c r="F41" s="1"/>
      <c r="G41" s="1"/>
      <c r="H41" s="1"/>
      <c r="I41" s="833"/>
      <c r="J41" s="833"/>
      <c r="K41" s="833"/>
      <c r="L41" s="833"/>
      <c r="M41" s="833"/>
      <c r="N41" s="833"/>
      <c r="O41" s="1"/>
      <c r="P41" s="1">
        <f>'Exogenous tax and expenses'!P40+1</f>
        <v>2003</v>
      </c>
      <c r="Q41" s="732">
        <f>'Exogenous tax and expenses'!Q15/'PIB corriente base 1993'!V18/1000</f>
        <v>7.7860865035538629E-3</v>
      </c>
      <c r="R41" s="732">
        <f>'Exogenous tax and expenses'!R15/'PIB corriente base 1993'!$V18/1000</f>
        <v>5.4871466377330472E-4</v>
      </c>
      <c r="S41" s="732">
        <f>'Exogenous tax and expenses'!S15/'PIB corriente base 1993'!V18/1000</f>
        <v>5.7454211506813117E-3</v>
      </c>
      <c r="T41" s="732">
        <f>'Exogenous tax and expenses'!T15/'PIB corriente base 1993'!V18/1000</f>
        <v>1.3229723733196535E-2</v>
      </c>
      <c r="U41" s="732">
        <f>'Exogenous tax and expenses'!U15/'PIB corriente base 1993'!V18/1000</f>
        <v>6.8182588373891142E-4</v>
      </c>
      <c r="V41" s="732">
        <f>'Exogenous tax and expenses'!V15/'PIB corriente base 1993'!V18/1000</f>
        <v>1.5695903337119173E-2</v>
      </c>
      <c r="W41" s="732">
        <f>'Exogenous tax and expenses'!W15/'PIB corriente base 1993'!$V18/1000</f>
        <v>1.1802672712088739E-2</v>
      </c>
      <c r="X41" s="732">
        <f>'Exogenous tax and expenses'!X15/'PIB corriente base 1993'!$V18/1000</f>
        <v>4.9658082987013375E-3</v>
      </c>
      <c r="Y41" s="733">
        <f>'Exogenous tax and expenses'!Y15/'PIB corriente base 1993'!V18/1000</f>
        <v>6.8255806829791614E-4</v>
      </c>
      <c r="Z41" s="733"/>
      <c r="AA41" s="733">
        <f>'Exogenous tax and expenses'!AA15/'PIB corriente base 1993'!V18/1000</f>
        <v>3.9228524087326589E-3</v>
      </c>
      <c r="AB41" s="733">
        <f>'Exogenous tax and expenses'!AB15/'PIB corriente base 1993'!V18/1000</f>
        <v>2.8733230522032653E-3</v>
      </c>
      <c r="AC41" s="733"/>
      <c r="AD41" s="733"/>
      <c r="AE41" s="733"/>
      <c r="AF41" s="733"/>
      <c r="AG41" s="734">
        <f t="shared" si="2"/>
        <v>0.12597567033609405</v>
      </c>
      <c r="AH41" s="723"/>
      <c r="AI41" s="740">
        <f t="shared" si="0"/>
        <v>2.2830864041981369E-2</v>
      </c>
      <c r="AJ41" s="735">
        <f>(SUM(Q15:X15)-SUM(Y15:AF15)-V15-T15)/'PIB corriente base 1993'!$V18/1000</f>
        <v>2.4051795683303623E-2</v>
      </c>
      <c r="AK41" s="735">
        <f t="shared" si="1"/>
        <v>1.2209316413222537E-3</v>
      </c>
      <c r="AL41" s="1">
        <f>'Exogenous tax and expenses'!AL40+1</f>
        <v>2002</v>
      </c>
      <c r="AM41" s="455">
        <f>'Exogenous tax and expenses'!AN14/'PIB corriente base 1993'!V17/1000</f>
        <v>2.8534566306695309E-2</v>
      </c>
      <c r="AN41" s="455">
        <f>'Exogenous tax and expenses'!AO14/'PIB corriente base 1993'!V17/1000</f>
        <v>4.8762451855639447E-2</v>
      </c>
      <c r="AO41" s="455">
        <f>'Exogenous tax and expenses'!AP14/'PIB corriente base 1993'!V17/1000</f>
        <v>1.4342468925354011E-2</v>
      </c>
      <c r="AP41" s="455">
        <f>'Exogenous tax and expenses'!AQ14/'PIB corriente base 1993'!V17/1000</f>
        <v>6.96250533678235E-4</v>
      </c>
      <c r="AQ41" s="455">
        <f>'Exogenous tax and expenses'!AR14/'PIB corriente base 1993'!V17/1000</f>
        <v>1.553948673774309E-2</v>
      </c>
      <c r="AR41" s="455">
        <f>'Exogenous tax and expenses'!AS14/'PIB corriente base 1993'!V17/1000</f>
        <v>7.1423922595586034E-4</v>
      </c>
      <c r="AS41" s="455">
        <f>'Exogenous tax and expenses'!AT14/'PIB corriente base 1993'!V17/1000</f>
        <v>9.6369580470071613E-3</v>
      </c>
      <c r="AT41" s="455">
        <v>0</v>
      </c>
      <c r="AU41" s="455">
        <v>0</v>
      </c>
    </row>
    <row r="42" spans="1:47">
      <c r="A42">
        <f>'Cuenta Ahorro-Inversión-Financi'!AV83</f>
        <v>1995</v>
      </c>
      <c r="B42" s="1"/>
      <c r="C42" s="1"/>
      <c r="D42" s="701">
        <f>'Cuenta Ahorro-Inversión-Financi'!AW44</f>
        <v>-2.2325678019504344E-2</v>
      </c>
      <c r="E42" s="701">
        <f>'Cuenta Ahorro-Inversión-Financi'!AX83</f>
        <v>-6.3793495975881928E-3</v>
      </c>
      <c r="F42" s="1"/>
      <c r="G42" s="1"/>
      <c r="H42" s="1"/>
      <c r="I42" s="833"/>
      <c r="J42" s="833"/>
      <c r="K42" s="833"/>
      <c r="L42" s="833"/>
      <c r="M42" s="833"/>
      <c r="N42" s="833"/>
      <c r="O42" s="1"/>
      <c r="P42" s="1">
        <f>'Exogenous tax and expenses'!P41+1</f>
        <v>2004</v>
      </c>
      <c r="Q42" s="736">
        <f>'Exogenous tax and expenses'!Q16/1000/'PIB corriente base 2004'!$X8</f>
        <v>9.1641635742256942E-3</v>
      </c>
      <c r="R42" s="736">
        <f>'Exogenous tax and expenses'!R16/1000/'PIB corriente base 2004'!$X8</f>
        <v>6.5796374137920294E-4</v>
      </c>
      <c r="S42" s="736">
        <f>'Exogenous tax and expenses'!S16/1000/'PIB corriente base 2004'!X8</f>
        <v>6.5836247147816303E-3</v>
      </c>
      <c r="T42" s="736">
        <f>'Exogenous tax and expenses'!T16/1000/'PIB corriente base 2004'!X8</f>
        <v>1.1087088300855372E-2</v>
      </c>
      <c r="U42" s="736">
        <f>'Exogenous tax and expenses'!U16/1000/'PIB corriente base 2004'!X8</f>
        <v>7.0787282642185403E-4</v>
      </c>
      <c r="V42" s="736">
        <f>'Exogenous tax and expenses'!V16/1000/'PIB corriente base 2004'!X8</f>
        <v>1.5835129642472957E-2</v>
      </c>
      <c r="W42" s="736">
        <f>'Exogenous tax and expenses'!W16/1000/'PIB corriente base 2004'!$X8</f>
        <v>1.3632691904897867E-2</v>
      </c>
      <c r="X42" s="736">
        <f>'Exogenous tax and expenses'!X16/1000/'PIB corriente base 2004'!$X8</f>
        <v>4.1734312034522412E-3</v>
      </c>
      <c r="Y42" s="732">
        <f>'Exogenous tax and expenses'!Y16/1000/'PIB corriente base 2004'!X8</f>
        <v>6.0271452698135847E-4</v>
      </c>
      <c r="Z42" s="732"/>
      <c r="AA42" s="732">
        <f>'Exogenous tax and expenses'!AA16/1000/'PIB corriente base 2004'!X8</f>
        <v>3.0288636152567459E-3</v>
      </c>
      <c r="AB42" s="732">
        <f>'Exogenous tax and expenses'!AB16/1000/'PIB corriente base 2004'!X8</f>
        <v>3.2133623358560513E-3</v>
      </c>
      <c r="AC42" s="732"/>
      <c r="AD42" s="732"/>
      <c r="AE42" s="732"/>
      <c r="AF42" s="732"/>
      <c r="AG42" s="545"/>
      <c r="AH42" s="545"/>
      <c r="AI42" s="737">
        <f t="shared" si="0"/>
        <v>2.5706701373012352E-2</v>
      </c>
      <c r="AJ42" s="735">
        <f>(SUM(Q16:X16)-SUM(Y16:AF16)-V16-T16)/1000/'PIB corriente base 2004'!X8</f>
        <v>2.8074807487064337E-2</v>
      </c>
      <c r="AK42" s="735">
        <f t="shared" si="1"/>
        <v>2.3681061140519849E-3</v>
      </c>
      <c r="AL42" s="1">
        <f>'Exogenous tax and expenses'!AL41+1</f>
        <v>2003</v>
      </c>
      <c r="AM42" s="455">
        <f>'Exogenous tax and expenses'!AN15/'PIB corriente base 1993'!V18/1000</f>
        <v>3.9240141734819517E-2</v>
      </c>
      <c r="AN42" s="455">
        <f>'Exogenous tax and expenses'!AO15/'PIB corriente base 1993'!V18/1000</f>
        <v>5.572506280788446E-2</v>
      </c>
      <c r="AO42" s="455">
        <f>'Exogenous tax and expenses'!AP15/'PIB corriente base 1993'!V18/1000</f>
        <v>1.3229723733196535E-2</v>
      </c>
      <c r="AP42" s="455">
        <f>'Exogenous tax and expenses'!AQ15/'PIB corriente base 1993'!V18/1000</f>
        <v>6.8182588373891142E-4</v>
      </c>
      <c r="AQ42" s="455">
        <f>'Exogenous tax and expenses'!AR15/'PIB corriente base 1993'!V18/1000</f>
        <v>1.5695903337119173E-2</v>
      </c>
      <c r="AR42" s="455">
        <f>'Exogenous tax and expenses'!AS15/'PIB corriente base 1993'!V18/1000</f>
        <v>7.5215205854280295E-4</v>
      </c>
      <c r="AS42" s="455">
        <f>'Exogenous tax and expenses'!AT15/'PIB corriente base 1993'!V18/1000</f>
        <v>1.1802672712088739E-2</v>
      </c>
      <c r="AT42" s="455">
        <v>0</v>
      </c>
      <c r="AU42" s="455">
        <v>0</v>
      </c>
    </row>
    <row r="43" spans="1:47">
      <c r="A43">
        <f>'Cuenta Ahorro-Inversión-Financi'!AV84</f>
        <v>1996</v>
      </c>
      <c r="B43" s="1"/>
      <c r="C43" s="1"/>
      <c r="D43" s="702">
        <f>'Cuenta Ahorro-Inversión-Financi'!AW45</f>
        <v>-2.3274800117190686E-2</v>
      </c>
      <c r="E43" s="702">
        <f>'Cuenta Ahorro-Inversión-Financi'!AX84</f>
        <v>-5.2873047307913854E-3</v>
      </c>
      <c r="F43" s="1"/>
      <c r="G43" s="1"/>
      <c r="H43" s="1"/>
      <c r="I43" s="1"/>
      <c r="J43" s="1"/>
      <c r="K43" s="1"/>
      <c r="L43" s="1"/>
      <c r="M43" s="1"/>
      <c r="N43" s="1"/>
      <c r="O43" s="1"/>
      <c r="P43" s="1">
        <f>'Exogenous tax and expenses'!P42+1</f>
        <v>2005</v>
      </c>
      <c r="Q43" s="732">
        <f>'Exogenous tax and expenses'!Q17/1000/'PIB corriente base 2004'!X9</f>
        <v>9.6188022298125779E-3</v>
      </c>
      <c r="R43" s="732">
        <f>'Exogenous tax and expenses'!R17/1000/'PIB corriente base 2004'!$X9</f>
        <v>7.1085576625480444E-4</v>
      </c>
      <c r="S43" s="732">
        <f>'Exogenous tax and expenses'!S17/1000/'PIB corriente base 2004'!X9</f>
        <v>6.5226080026218325E-3</v>
      </c>
      <c r="T43" s="732">
        <f>'Exogenous tax and expenses'!T17/1000/'PIB corriente base 2004'!X9</f>
        <v>1.032958744945274E-2</v>
      </c>
      <c r="U43" s="732">
        <f>'Exogenous tax and expenses'!U17/1000/'PIB corriente base 2004'!X9</f>
        <v>6.7306492383670518E-4</v>
      </c>
      <c r="V43" s="732">
        <f>'Exogenous tax and expenses'!V17/1000/'PIB corriente base 2004'!X9</f>
        <v>1.6195146409771585E-2</v>
      </c>
      <c r="W43" s="732">
        <f>'Exogenous tax and expenses'!W17/1000/'PIB corriente base 2004'!$X9</f>
        <v>1.398416770415137E-2</v>
      </c>
      <c r="X43" s="732">
        <f>'Exogenous tax and expenses'!X17/1000/'PIB corriente base 2004'!$X9</f>
        <v>3.9193083403362486E-3</v>
      </c>
      <c r="Y43" s="733">
        <f>'Exogenous tax and expenses'!Y17/1000/'PIB corriente base 2004'!X9</f>
        <v>7.6095665052276567E-4</v>
      </c>
      <c r="Z43" s="733"/>
      <c r="AA43" s="733">
        <f>'Exogenous tax and expenses'!AA17/1000/'PIB corriente base 2004'!X9</f>
        <v>2.6402676017175139E-3</v>
      </c>
      <c r="AB43" s="733">
        <f>'Exogenous tax and expenses'!AB17/1000/'PIB corriente base 2004'!X9</f>
        <v>3.3308477816936626E-3</v>
      </c>
      <c r="AC43" s="733"/>
      <c r="AD43" s="733"/>
      <c r="AE43" s="733"/>
      <c r="AF43" s="733"/>
      <c r="AG43" s="723"/>
      <c r="AH43" s="723"/>
      <c r="AI43" s="734">
        <f t="shared" si="0"/>
        <v>2.5481748301837654E-2</v>
      </c>
      <c r="AJ43" s="735">
        <f>(SUM(Q17:X17)-SUM(Y17:AF17)-V17-T17)/1000/'PIB corriente base 2004'!X9</f>
        <v>2.8696734933079598E-2</v>
      </c>
      <c r="AK43" s="735">
        <f t="shared" si="1"/>
        <v>3.2149866312419437E-3</v>
      </c>
      <c r="AL43" s="1">
        <f>'Exogenous tax and expenses'!AL42+1</f>
        <v>2004</v>
      </c>
      <c r="AM43" s="455">
        <f>'Exogenous tax and expenses'!AN16/1000/'PIB corriente base 2004'!X8</f>
        <v>4.5945982199437047E-2</v>
      </c>
      <c r="AN43" s="455">
        <f>'Exogenous tax and expenses'!AO16/1000/'PIB corriente base 2004'!X8</f>
        <v>6.38548317195584E-2</v>
      </c>
      <c r="AO43" s="455">
        <f>'Exogenous tax and expenses'!AP16/1000/'PIB corriente base 2004'!X8</f>
        <v>1.1087088300855372E-2</v>
      </c>
      <c r="AP43" s="455">
        <f>'Exogenous tax and expenses'!AQ16/1000/'PIB corriente base 2004'!X8</f>
        <v>7.0787282642185403E-4</v>
      </c>
      <c r="AQ43" s="455">
        <f>'Exogenous tax and expenses'!AR16/1000/'PIB corriente base 2004'!X8</f>
        <v>1.5835129642472957E-2</v>
      </c>
      <c r="AR43" s="455">
        <f>'Exogenous tax and expenses'!AS16/1000/'PIB corriente base 2004'!X8</f>
        <v>1.0293988014193978E-3</v>
      </c>
      <c r="AS43" s="455">
        <f>'Exogenous tax and expenses'!AT16/1000/'PIB corriente base 2004'!X8</f>
        <v>1.3632691904897867E-2</v>
      </c>
      <c r="AT43" s="455">
        <v>0</v>
      </c>
      <c r="AU43" s="455">
        <v>0</v>
      </c>
    </row>
    <row r="44" spans="1:47">
      <c r="A44">
        <f>'Cuenta Ahorro-Inversión-Financi'!AV85</f>
        <v>1997</v>
      </c>
      <c r="B44" s="1"/>
      <c r="C44" s="1"/>
      <c r="D44" s="701">
        <f>'Cuenta Ahorro-Inversión-Financi'!AW46</f>
        <v>-2.0802089765627335E-2</v>
      </c>
      <c r="E44" s="701">
        <f>'Cuenta Ahorro-Inversión-Financi'!AX85</f>
        <v>-3.155945288112247E-3</v>
      </c>
      <c r="F44" s="1"/>
      <c r="G44" s="455"/>
      <c r="H44" s="1"/>
      <c r="I44" s="1"/>
      <c r="J44" s="1"/>
      <c r="K44" s="1"/>
      <c r="L44" s="1"/>
      <c r="M44" s="1"/>
      <c r="N44" s="1"/>
      <c r="O44" s="1"/>
      <c r="P44" s="1">
        <f>'Exogenous tax and expenses'!P43+1</f>
        <v>2006</v>
      </c>
      <c r="Q44" s="736">
        <f>'Exogenous tax and expenses'!Q18/1000/'PIB corriente base 2004'!X10</f>
        <v>9.4056053587752812E-3</v>
      </c>
      <c r="R44" s="736">
        <f>'Exogenous tax and expenses'!R18/1000/'PIB corriente base 2004'!$X10</f>
        <v>6.4680556649499661E-4</v>
      </c>
      <c r="S44" s="736">
        <f>'Exogenous tax and expenses'!S18/1000/'PIB corriente base 2004'!X10</f>
        <v>6.7838617004261506E-3</v>
      </c>
      <c r="T44" s="736">
        <f>'Exogenous tax and expenses'!T18/1000/'PIB corriente base 2004'!X10</f>
        <v>9.1808727221053699E-3</v>
      </c>
      <c r="U44" s="736">
        <f>'Exogenous tax and expenses'!U18/1000/'PIB corriente base 2004'!X10</f>
        <v>5.5628041599122457E-4</v>
      </c>
      <c r="V44" s="736">
        <f>'Exogenous tax and expenses'!V18/1000/'PIB corriente base 2004'!X10</f>
        <v>1.6322971466140913E-2</v>
      </c>
      <c r="W44" s="736">
        <f>'Exogenous tax and expenses'!W18/1000/'PIB corriente base 2004'!$X10</f>
        <v>1.4113123533386727E-2</v>
      </c>
      <c r="X44" s="736">
        <f>'Exogenous tax and expenses'!X18/1000/'PIB corriente base 2004'!$X10</f>
        <v>3.4053769968938612E-3</v>
      </c>
      <c r="Y44" s="732">
        <f>'Exogenous tax and expenses'!Y18/1000/'PIB corriente base 2004'!X10</f>
        <v>8.3350027070635689E-4</v>
      </c>
      <c r="Z44" s="732"/>
      <c r="AA44" s="732">
        <f>'Exogenous tax and expenses'!AA18/1000/'PIB corriente base 2004'!X10</f>
        <v>2.3549708100174308E-3</v>
      </c>
      <c r="AB44" s="732">
        <f>'Exogenous tax and expenses'!AB18/1000/'PIB corriente base 2004'!X10</f>
        <v>3.9087534319118033E-3</v>
      </c>
      <c r="AC44" s="732"/>
      <c r="AD44" s="732"/>
      <c r="AE44" s="732"/>
      <c r="AF44" s="732"/>
      <c r="AG44" s="545"/>
      <c r="AH44" s="545"/>
      <c r="AI44" s="737">
        <f t="shared" si="0"/>
        <v>2.5691511813156084E-2</v>
      </c>
      <c r="AJ44" s="735">
        <f>(SUM(Q18:X18)-SUM(Y18:AF18)-V18-T18)/1000/'PIB corriente base 2004'!X10</f>
        <v>2.7813829059332648E-2</v>
      </c>
      <c r="AK44" s="735">
        <f t="shared" si="1"/>
        <v>2.1223172461765638E-3</v>
      </c>
      <c r="AL44" s="1">
        <f>'Exogenous tax and expenses'!AL43+1</f>
        <v>2005</v>
      </c>
      <c r="AM44" s="455">
        <f>'Exogenous tax and expenses'!AN17/1000/'PIB corriente base 2004'!X9</f>
        <v>4.8143452833536153E-2</v>
      </c>
      <c r="AN44" s="455">
        <f>'Exogenous tax and expenses'!AO17/1000/'PIB corriente base 2004'!X9</f>
        <v>6.3263028259331278E-2</v>
      </c>
      <c r="AO44" s="455">
        <f>'Exogenous tax and expenses'!AP17/1000/'PIB corriente base 2004'!X9</f>
        <v>1.032958744945274E-2</v>
      </c>
      <c r="AP44" s="455">
        <f>'Exogenous tax and expenses'!AQ17/1000/'PIB corriente base 2004'!X9</f>
        <v>6.7306492383670518E-4</v>
      </c>
      <c r="AQ44" s="455">
        <f>'Exogenous tax and expenses'!AR17/1000/'PIB corriente base 2004'!X9</f>
        <v>1.6195146409771585E-2</v>
      </c>
      <c r="AR44" s="455">
        <f>'Exogenous tax and expenses'!AS17/1000/'PIB corriente base 2004'!X9</f>
        <v>1.2993517595309631E-3</v>
      </c>
      <c r="AS44" s="455">
        <f>'Exogenous tax and expenses'!AT17/1000/'PIB corriente base 2004'!X9</f>
        <v>1.398416770415137E-2</v>
      </c>
      <c r="AT44" s="455">
        <v>0</v>
      </c>
      <c r="AU44" s="455">
        <v>0</v>
      </c>
    </row>
    <row r="45" spans="1:47">
      <c r="A45">
        <f>'Cuenta Ahorro-Inversión-Financi'!AV86</f>
        <v>1998</v>
      </c>
      <c r="B45" s="1"/>
      <c r="C45" s="1"/>
      <c r="D45" s="702">
        <f>'Cuenta Ahorro-Inversión-Financi'!AW47</f>
        <v>-2.7145082304134878E-2</v>
      </c>
      <c r="E45" s="702">
        <f>'Cuenta Ahorro-Inversión-Financi'!AX86</f>
        <v>-2.6600621239856077E-3</v>
      </c>
      <c r="F45" s="1"/>
      <c r="G45" s="28"/>
      <c r="H45" s="1"/>
      <c r="I45" s="1"/>
      <c r="J45" s="1"/>
      <c r="K45" s="1"/>
      <c r="L45" s="1"/>
      <c r="M45" s="1"/>
      <c r="N45" s="455">
        <f t="shared" ref="N45:N57" si="3">Q43+R43+T43+U43+X43</f>
        <v>2.5251618709693075E-2</v>
      </c>
      <c r="O45" s="1"/>
      <c r="P45" s="1">
        <f>'Exogenous tax and expenses'!P44+1</f>
        <v>2007</v>
      </c>
      <c r="Q45" s="732">
        <f>'Exogenous tax and expenses'!Q19/1000/'PIB corriente base 2004'!X11</f>
        <v>9.4636936758866752E-3</v>
      </c>
      <c r="R45" s="732">
        <f>'Exogenous tax and expenses'!R19/1000/'PIB corriente base 2004'!$X11</f>
        <v>5.8547587539198212E-4</v>
      </c>
      <c r="S45" s="732">
        <f>'Exogenous tax and expenses'!S19/1000/'PIB corriente base 2004'!X11</f>
        <v>7.2034977367443275E-3</v>
      </c>
      <c r="T45" s="732">
        <f>'Exogenous tax and expenses'!T19/1000/'PIB corriente base 2004'!X11</f>
        <v>8.3231226461885442E-3</v>
      </c>
      <c r="U45" s="732">
        <f>'Exogenous tax and expenses'!U19/1000/'PIB corriente base 2004'!X11</f>
        <v>4.9842263284423697E-4</v>
      </c>
      <c r="V45" s="732">
        <f>'Exogenous tax and expenses'!V19/1000/'PIB corriente base 2004'!X11</f>
        <v>1.6795199532238902E-2</v>
      </c>
      <c r="W45" s="732">
        <f>'Exogenous tax and expenses'!W19/1000/'PIB corriente base 2004'!$X11</f>
        <v>1.4907296256715387E-2</v>
      </c>
      <c r="X45" s="732">
        <f>'Exogenous tax and expenses'!X19/1000/'PIB corriente base 2004'!$X11</f>
        <v>3.014916128958183E-3</v>
      </c>
      <c r="Y45" s="733">
        <f>'Exogenous tax and expenses'!Y19/1000/'PIB corriente base 2004'!X11</f>
        <v>9.3443366631513894E-4</v>
      </c>
      <c r="Z45" s="733"/>
      <c r="AA45" s="733">
        <f>'Exogenous tax and expenses'!AA19/1000/'PIB corriente base 2004'!X11</f>
        <v>2.2965237377084685E-3</v>
      </c>
      <c r="AB45" s="733">
        <f>'Exogenous tax and expenses'!AB19/1000/'PIB corriente base 2004'!X11</f>
        <v>4.6481084210070692E-3</v>
      </c>
      <c r="AC45" s="733"/>
      <c r="AD45" s="733"/>
      <c r="AE45" s="733"/>
      <c r="AF45" s="733"/>
      <c r="AG45" s="723"/>
      <c r="AH45" s="723"/>
      <c r="AI45" s="734">
        <f t="shared" si="0"/>
        <v>2.6712680632826655E-2</v>
      </c>
      <c r="AJ45" s="735">
        <f>(SUM(Q19:X19)-SUM(Y19:AF19)-V19-T19)/1000/'PIB corriente base 2004'!X11</f>
        <v>2.779423648151011E-2</v>
      </c>
      <c r="AK45" s="735">
        <f t="shared" si="1"/>
        <v>1.0815558486834548E-3</v>
      </c>
      <c r="AL45" s="1">
        <f>'Exogenous tax and expenses'!AL44+1</f>
        <v>2006</v>
      </c>
      <c r="AM45" s="455">
        <f>'Exogenous tax and expenses'!AN18/1000/'PIB corriente base 2004'!X10</f>
        <v>4.6954730407150126E-2</v>
      </c>
      <c r="AN45" s="455">
        <f>'Exogenous tax and expenses'!AO18/1000/'PIB corriente base 2004'!X10</f>
        <v>6.579693801757612E-2</v>
      </c>
      <c r="AO45" s="455">
        <f>'Exogenous tax and expenses'!AP18/1000/'PIB corriente base 2004'!X10</f>
        <v>9.1808727221053699E-3</v>
      </c>
      <c r="AP45" s="455">
        <f>'Exogenous tax and expenses'!AQ18/1000/'PIB corriente base 2004'!X10</f>
        <v>5.5628041599122457E-4</v>
      </c>
      <c r="AQ45" s="455">
        <f>'Exogenous tax and expenses'!AR18/1000/'PIB corriente base 2004'!X10</f>
        <v>1.6322971466140913E-2</v>
      </c>
      <c r="AR45" s="455">
        <f>'Exogenous tax and expenses'!AS18/1000/'PIB corriente base 2004'!X10</f>
        <v>1.2134946448859483E-3</v>
      </c>
      <c r="AS45" s="455">
        <f>'Exogenous tax and expenses'!AT18/1000/'PIB corriente base 2004'!X10</f>
        <v>1.4113123533386727E-2</v>
      </c>
      <c r="AT45" s="455">
        <v>0</v>
      </c>
      <c r="AU45" s="455">
        <v>0</v>
      </c>
    </row>
    <row r="46" spans="1:47">
      <c r="A46">
        <f>'Cuenta Ahorro-Inversión-Financi'!AV87</f>
        <v>1999</v>
      </c>
      <c r="B46" s="1"/>
      <c r="C46" s="1"/>
      <c r="D46" s="701">
        <f>'Cuenta Ahorro-Inversión-Financi'!AW48</f>
        <v>-3.2151636866645905E-2</v>
      </c>
      <c r="E46" s="701">
        <f>'Cuenta Ahorro-Inversión-Financi'!AX87</f>
        <v>-7.7596880146274961E-3</v>
      </c>
      <c r="F46" s="28"/>
      <c r="G46" s="28"/>
      <c r="H46" s="28"/>
      <c r="I46" s="28"/>
      <c r="J46" s="28"/>
      <c r="K46" s="28"/>
      <c r="L46" s="28"/>
      <c r="M46" s="1"/>
      <c r="N46" s="455">
        <f t="shared" si="3"/>
        <v>2.3194941060260734E-2</v>
      </c>
      <c r="O46" s="1"/>
      <c r="P46" s="1">
        <f>'Exogenous tax and expenses'!P45+1</f>
        <v>2008</v>
      </c>
      <c r="Q46" s="736">
        <f>'Exogenous tax and expenses'!Q20/1000/'PIB corriente base 2004'!X12</f>
        <v>9.3382400186738136E-3</v>
      </c>
      <c r="R46" s="736">
        <f>'Exogenous tax and expenses'!R20/1000/'PIB corriente base 2004'!$X12</f>
        <v>6.1766098679856454E-4</v>
      </c>
      <c r="S46" s="736">
        <f>'Exogenous tax and expenses'!S20/1000/'PIB corriente base 2004'!X12</f>
        <v>7.1951192992214001E-3</v>
      </c>
      <c r="T46" s="736">
        <f>'Exogenous tax and expenses'!T20/1000/'PIB corriente base 2004'!X12</f>
        <v>8.4320297171443185E-3</v>
      </c>
      <c r="U46" s="736">
        <f>'Exogenous tax and expenses'!U20/1000/'PIB corriente base 2004'!X12</f>
        <v>4.8284265951637005E-4</v>
      </c>
      <c r="V46" s="736">
        <f>'Exogenous tax and expenses'!V20/1000/'PIB corriente base 2004'!X12</f>
        <v>1.695752906888327E-2</v>
      </c>
      <c r="W46" s="736">
        <f>'Exogenous tax and expenses'!W20/1000/'PIB corriente base 2004'!$X12</f>
        <v>1.4573037647607418E-2</v>
      </c>
      <c r="X46" s="736">
        <f>'Exogenous tax and expenses'!X20/1000/'PIB corriente base 2004'!$X12</f>
        <v>2.8442858232450258E-3</v>
      </c>
      <c r="Y46" s="732">
        <f>'Exogenous tax and expenses'!Y20/1000/'PIB corriente base 2004'!X12</f>
        <v>1.1011291376003744E-3</v>
      </c>
      <c r="Z46" s="732"/>
      <c r="AA46" s="732">
        <f>'Exogenous tax and expenses'!AA20/1000/'PIB corriente base 2004'!X12</f>
        <v>2.1984030617517559E-3</v>
      </c>
      <c r="AB46" s="732">
        <f>'Exogenous tax and expenses'!AB20/1000/'PIB corriente base 2004'!X12</f>
        <v>5.3563144314559162E-3</v>
      </c>
      <c r="AC46" s="732">
        <f>'Exogenous tax and expenses'!AC20/1000/'PIB corriente base 2004'!X12</f>
        <v>1.1668965370281548E-3</v>
      </c>
      <c r="AD46" s="732"/>
      <c r="AE46" s="732"/>
      <c r="AF46" s="732"/>
      <c r="AG46" s="732">
        <f>'Exogenous tax and expenses'!AG20/1000/'PIB corriente base 2004'!X11</f>
        <v>1.2457729525696573E-3</v>
      </c>
      <c r="AH46" s="732">
        <f>'Exogenous tax and expenses'!AH20/1000/'PIB corriente base 2004'!X11</f>
        <v>0.1095052074050928</v>
      </c>
      <c r="AI46" s="732">
        <f t="shared" si="0"/>
        <v>2.3031811185786594E-2</v>
      </c>
      <c r="AJ46" s="735">
        <f>(SUM(Q20:X20)-SUM(Y20:AF20)-V20-T20)/1000/'PIB corriente base 2004'!X12</f>
        <v>2.522844326722639E-2</v>
      </c>
      <c r="AK46" s="735">
        <f t="shared" si="1"/>
        <v>2.1966320814397963E-3</v>
      </c>
      <c r="AL46" s="1">
        <f>'Exogenous tax and expenses'!AL45+1</f>
        <v>2007</v>
      </c>
      <c r="AM46" s="455">
        <f>'Exogenous tax and expenses'!AN19/1000/'PIB corriente base 2004'!X11</f>
        <v>4.7776870287218512E-2</v>
      </c>
      <c r="AN46" s="455">
        <f>'Exogenous tax and expenses'!AO19/1000/'PIB corriente base 2004'!X11</f>
        <v>6.9867004226301141E-2</v>
      </c>
      <c r="AO46" s="455">
        <f>'Exogenous tax and expenses'!AP19/1000/'PIB corriente base 2004'!X11</f>
        <v>8.3231226461885442E-3</v>
      </c>
      <c r="AP46" s="455">
        <f>'Exogenous tax and expenses'!AQ19/1000/'PIB corriente base 2004'!X11</f>
        <v>4.9842263284423697E-4</v>
      </c>
      <c r="AQ46" s="455">
        <f>'Exogenous tax and expenses'!AR19/1000/'PIB corriente base 2004'!X11</f>
        <v>1.6795199532238902E-2</v>
      </c>
      <c r="AR46" s="455">
        <f>'Exogenous tax and expenses'!AS19/1000/'PIB corriente base 2004'!X11</f>
        <v>1.1854531802781654E-3</v>
      </c>
      <c r="AS46" s="455">
        <f>'Exogenous tax and expenses'!AT19/1000/'PIB corriente base 2004'!X11</f>
        <v>1.4907296256715387E-2</v>
      </c>
      <c r="AT46" s="455">
        <v>0</v>
      </c>
      <c r="AU46" s="455">
        <v>0</v>
      </c>
    </row>
    <row r="47" spans="1:47">
      <c r="A47">
        <f>'Cuenta Ahorro-Inversión-Financi'!AV88</f>
        <v>2000</v>
      </c>
      <c r="B47" s="1"/>
      <c r="C47" s="1"/>
      <c r="D47" s="702">
        <f>'Cuenta Ahorro-Inversión-Financi'!AW49</f>
        <v>-3.3775496536600766E-2</v>
      </c>
      <c r="E47" s="702">
        <f>'Cuenta Ahorro-Inversión-Financi'!AX88</f>
        <v>-6.7385444537740782E-3</v>
      </c>
      <c r="F47" s="455"/>
      <c r="G47" s="455"/>
      <c r="H47" s="455"/>
      <c r="I47" s="455"/>
      <c r="J47" s="455"/>
      <c r="K47" s="455"/>
      <c r="L47" s="455"/>
      <c r="M47" s="28"/>
      <c r="N47" s="455">
        <f t="shared" si="3"/>
        <v>2.1885630959269622E-2</v>
      </c>
      <c r="O47" s="1"/>
      <c r="P47" s="1">
        <f>'Exogenous tax and expenses'!P46+1</f>
        <v>2009</v>
      </c>
      <c r="Q47" s="732">
        <f>'Exogenous tax and expenses'!Q21/1000/'PIB corriente base 2004'!X13</f>
        <v>8.8970241644898054E-3</v>
      </c>
      <c r="R47" s="732">
        <f>'Exogenous tax and expenses'!R21/1000/'PIB corriente base 2004'!$X13</f>
        <v>7.2127365101016876E-4</v>
      </c>
      <c r="S47" s="732">
        <f>'Exogenous tax and expenses'!S21/1000/'PIB corriente base 2004'!X13</f>
        <v>7.2197451040314827E-3</v>
      </c>
      <c r="T47" s="732">
        <f>'Exogenous tax and expenses'!T21/1000/'PIB corriente base 2004'!X13</f>
        <v>9.2900128947104345E-3</v>
      </c>
      <c r="U47" s="732">
        <f>'Exogenous tax and expenses'!U21/1000/'PIB corriente base 2004'!X13</f>
        <v>5.2758198432763747E-4</v>
      </c>
      <c r="V47" s="732">
        <f>'Exogenous tax and expenses'!V21/1000/'PIB corriente base 2004'!X13</f>
        <v>1.6476471473188443E-2</v>
      </c>
      <c r="W47" s="732">
        <f>'Exogenous tax and expenses'!W21/1000/'PIB corriente base 2004'!$X13</f>
        <v>1.4617359798054395E-2</v>
      </c>
      <c r="X47" s="732">
        <f>'Exogenous tax and expenses'!X21/1000/'PIB corriente base 2004'!$X13</f>
        <v>3.0502126721323858E-3</v>
      </c>
      <c r="Y47" s="733">
        <f>'Exogenous tax and expenses'!Y21/1000/'PIB corriente base 2004'!$X13</f>
        <v>1.7777468490590351E-3</v>
      </c>
      <c r="Z47" s="733"/>
      <c r="AA47" s="733">
        <f>'Exogenous tax and expenses'!AA21/1000/'PIB corriente base 2004'!X13</f>
        <v>2.7640262390121462E-3</v>
      </c>
      <c r="AB47" s="733">
        <f>'Exogenous tax and expenses'!AB21/1000/'PIB corriente base 2004'!X13</f>
        <v>6.868638363305357E-3</v>
      </c>
      <c r="AC47" s="733">
        <f>'Exogenous tax and expenses'!AC21/1000/'PIB corriente base 2004'!X13</f>
        <v>1.6750269346199568E-3</v>
      </c>
      <c r="AD47" s="733"/>
      <c r="AE47" s="733"/>
      <c r="AF47" s="733"/>
      <c r="AG47" s="734">
        <f>'Exogenous tax and expenses'!AG21/1000/'PIB corriente base 2004'!X12</f>
        <v>7.3823704272776586E-3</v>
      </c>
      <c r="AH47" s="734">
        <f>'Exogenous tax and expenses'!AH21/1000/'PIB corriente base 2004'!X12</f>
        <v>0.11802996012113047</v>
      </c>
      <c r="AI47" s="734">
        <f t="shared" si="0"/>
        <v>1.9149937471044192E-2</v>
      </c>
      <c r="AJ47" s="735">
        <f>(SUM(Q21:X21)-SUM(Y21:AF21)-V21-T21)/1000/'PIB corriente base 2004'!X13</f>
        <v>2.1947758988049383E-2</v>
      </c>
      <c r="AK47" s="735">
        <f t="shared" si="1"/>
        <v>2.7978215170051911E-3</v>
      </c>
      <c r="AL47" s="1">
        <f>'Exogenous tax and expenses'!AL46+1</f>
        <v>2008</v>
      </c>
      <c r="AM47" s="455">
        <f>'Exogenous tax and expenses'!AN20/1000/'PIB corriente base 2004'!X12</f>
        <v>4.6663056448942308E-2</v>
      </c>
      <c r="AN47" s="455">
        <f>'Exogenous tax and expenses'!AO20/1000/'PIB corriente base 2004'!X12</f>
        <v>6.9785741435471324E-2</v>
      </c>
      <c r="AO47" s="455">
        <f>'Exogenous tax and expenses'!AP20/1000/'PIB corriente base 2004'!X12</f>
        <v>8.4320297171443185E-3</v>
      </c>
      <c r="AP47" s="455">
        <f>'Exogenous tax and expenses'!AQ20/1000/'PIB corriente base 2004'!X12</f>
        <v>4.8284265951637005E-4</v>
      </c>
      <c r="AQ47" s="455">
        <f>'Exogenous tax and expenses'!AR20/1000/'PIB corriente base 2004'!X12</f>
        <v>1.695752906888327E-2</v>
      </c>
      <c r="AR47" s="455">
        <f>'Exogenous tax and expenses'!AS20/1000/'PIB corriente base 2004'!X12</f>
        <v>1.1783704664382947E-3</v>
      </c>
      <c r="AS47" s="455">
        <f>'Exogenous tax and expenses'!AT20/1000/'PIB corriente base 2004'!X12</f>
        <v>1.4573037647607418E-2</v>
      </c>
      <c r="AT47" s="455">
        <f>'Exogenous tax and expenses'!AU20/1000/'PIB corriente base 2004'!X12</f>
        <v>9.7198055036460665E-4</v>
      </c>
      <c r="AU47" s="455">
        <f>'Exogenous tax and expenses'!AV20/1000/'PIB corriente base 2004'!X12</f>
        <v>8.5438467372280738E-2</v>
      </c>
    </row>
    <row r="48" spans="1:47">
      <c r="A48">
        <f>'Cuenta Ahorro-Inversión-Financi'!AV89</f>
        <v>2001</v>
      </c>
      <c r="B48" s="1"/>
      <c r="C48" s="1"/>
      <c r="D48" s="701">
        <f>'Cuenta Ahorro-Inversión-Financi'!AW50</f>
        <v>-3.4332497652917543E-2</v>
      </c>
      <c r="E48" s="701">
        <f>'Cuenta Ahorro-Inversión-Financi'!AX89</f>
        <v>-1.0164928737260199E-2</v>
      </c>
      <c r="F48" s="1"/>
      <c r="G48" s="455"/>
      <c r="H48" s="1"/>
      <c r="I48" s="1"/>
      <c r="J48" s="1"/>
      <c r="K48" s="1"/>
      <c r="L48" s="1"/>
      <c r="M48" s="1"/>
      <c r="N48" s="455">
        <f t="shared" si="3"/>
        <v>2.1715059205378091E-2</v>
      </c>
      <c r="O48" s="1"/>
      <c r="P48" s="1">
        <f>'Exogenous tax and expenses'!P47+1</f>
        <v>2010</v>
      </c>
      <c r="Q48" s="736">
        <f>'Exogenous tax and expenses'!Q22/1000/'PIB corriente base 2004'!X14</f>
        <v>9.1854878057839786E-3</v>
      </c>
      <c r="R48" s="736">
        <f>'Exogenous tax and expenses'!R22/1000/'PIB corriente base 2004'!$X14</f>
        <v>8.8041257539582334E-4</v>
      </c>
      <c r="S48" s="736">
        <f>'Exogenous tax and expenses'!S22/1000/'PIB corriente base 2004'!X14</f>
        <v>7.0658675693848674E-3</v>
      </c>
      <c r="T48" s="736">
        <f>'Exogenous tax and expenses'!T22/1000/'PIB corriente base 2004'!X14</f>
        <v>9.1886716726038483E-3</v>
      </c>
      <c r="U48" s="736">
        <f>'Exogenous tax and expenses'!U22/1000/'PIB corriente base 2004'!X14</f>
        <v>4.6427771833074349E-4</v>
      </c>
      <c r="V48" s="736">
        <f>'Exogenous tax and expenses'!V22/1000/'PIB corriente base 2004'!X14</f>
        <v>1.6178849637292606E-2</v>
      </c>
      <c r="W48" s="736">
        <f>'Exogenous tax and expenses'!W22/1000/'PIB corriente base 2004'!$X14</f>
        <v>1.4744221894204591E-2</v>
      </c>
      <c r="X48" s="736">
        <f>'Exogenous tax and expenses'!X22/1000/'PIB corriente base 2004'!$X14</f>
        <v>2.9853388270838009E-3</v>
      </c>
      <c r="Y48" s="732">
        <f>'Exogenous tax and expenses'!Y22/1000/'PIB corriente base 2004'!X14</f>
        <v>1.928228457006783E-3</v>
      </c>
      <c r="Z48" s="732"/>
      <c r="AA48" s="732">
        <f>'Exogenous tax and expenses'!AA22/1000/'PIB corriente base 2004'!X14</f>
        <v>2.7535524612949374E-3</v>
      </c>
      <c r="AB48" s="732">
        <f>'Exogenous tax and expenses'!AB22/1000/'PIB corriente base 2004'!X14</f>
        <v>7.2100383619767812E-3</v>
      </c>
      <c r="AC48" s="732">
        <f>'Exogenous tax and expenses'!AC22/1000/'PIB corriente base 2004'!X14</f>
        <v>1.2916127891811728E-3</v>
      </c>
      <c r="AD48" s="732"/>
      <c r="AE48" s="732"/>
      <c r="AF48" s="732"/>
      <c r="AG48" s="732">
        <f>'Exogenous tax and expenses'!AG22/1000/'PIB corriente base 2004'!X13</f>
        <v>6.9833505529339514E-3</v>
      </c>
      <c r="AH48" s="732">
        <f>'Exogenous tax and expenses'!AH22/1000/'PIB corriente base 2004'!X13</f>
        <v>0.14264911035650676</v>
      </c>
      <c r="AI48" s="732">
        <f t="shared" si="0"/>
        <v>1.9916351646295488E-2</v>
      </c>
      <c r="AJ48" s="735">
        <f>(SUM(Q22:X22)-SUM(Y22:AF22)-V22-T22)/1000/'PIB corriente base 2004'!X14</f>
        <v>2.2142174320724121E-2</v>
      </c>
      <c r="AK48" s="735">
        <f t="shared" si="1"/>
        <v>2.2258226744286333E-3</v>
      </c>
      <c r="AL48" s="1">
        <f>'Exogenous tax and expenses'!AL47+1</f>
        <v>2009</v>
      </c>
      <c r="AM48" s="455">
        <f>'Exogenous tax and expenses'!AN21/1000/'PIB corriente base 2004'!X13</f>
        <v>4.4515548583817836E-2</v>
      </c>
      <c r="AN48" s="455">
        <f>'Exogenous tax and expenses'!AO21/1000/'PIB corriente base 2004'!X13</f>
        <v>7.0024588072427396E-2</v>
      </c>
      <c r="AO48" s="455">
        <f>'Exogenous tax and expenses'!AP21/1000/'PIB corriente base 2004'!X13</f>
        <v>9.2900128947104345E-3</v>
      </c>
      <c r="AP48" s="455">
        <f>'Exogenous tax and expenses'!AQ21/1000/'PIB corriente base 2004'!X13</f>
        <v>5.2758198432763747E-4</v>
      </c>
      <c r="AQ48" s="455">
        <f>'Exogenous tax and expenses'!AR21/1000/'PIB corriente base 2004'!X13</f>
        <v>1.6476471473188443E-2</v>
      </c>
      <c r="AR48" s="455">
        <f>'Exogenous tax and expenses'!AS21/1000/'PIB corriente base 2004'!X13</f>
        <v>1.2419333680145619E-3</v>
      </c>
      <c r="AS48" s="455">
        <f>'Exogenous tax and expenses'!AT21/1000/'PIB corriente base 2004'!X13</f>
        <v>1.4617359798054395E-2</v>
      </c>
      <c r="AT48" s="455">
        <f>'Exogenous tax and expenses'!AU21/1000/'PIB corriente base 2004'!X13</f>
        <v>6.8009570031728585E-3</v>
      </c>
      <c r="AU48" s="455">
        <f>'Exogenous tax and expenses'!AV21/1000/'PIB corriente base 2004'!X13</f>
        <v>0.10873427333096143</v>
      </c>
    </row>
    <row r="49" spans="1:47">
      <c r="A49">
        <f>'Cuenta Ahorro-Inversión-Financi'!AV90</f>
        <v>2002</v>
      </c>
      <c r="B49" s="1"/>
      <c r="C49" s="1"/>
      <c r="D49" s="702">
        <f>'Cuenta Ahorro-Inversión-Financi'!AW51</f>
        <v>-2.9700339572263892E-2</v>
      </c>
      <c r="E49" s="702">
        <f>'Cuenta Ahorro-Inversión-Financi'!AX90</f>
        <v>-1.1439861798283517E-2</v>
      </c>
      <c r="F49" s="1"/>
      <c r="G49" s="1"/>
      <c r="H49" s="1"/>
      <c r="I49" s="1"/>
      <c r="J49" s="1"/>
      <c r="K49" s="1"/>
      <c r="L49" s="1"/>
      <c r="M49" s="1"/>
      <c r="N49" s="455">
        <f t="shared" si="3"/>
        <v>2.2486105366670429E-2</v>
      </c>
      <c r="O49" s="1"/>
      <c r="P49" s="1">
        <f>'Exogenous tax and expenses'!P48+1</f>
        <v>2011</v>
      </c>
      <c r="Q49" s="732">
        <f>'Exogenous tax and expenses'!Q23/1000/'PIB corriente base 2004'!X15</f>
        <v>9.8953669833491634E-3</v>
      </c>
      <c r="R49" s="732">
        <f>'Exogenous tax and expenses'!R23/1000/'PIB corriente base 2004'!$X15</f>
        <v>9.5712571353611439E-4</v>
      </c>
      <c r="S49" s="732">
        <f>'Exogenous tax and expenses'!S23/1000/'PIB corriente base 2004'!X15</f>
        <v>6.9891379240018484E-3</v>
      </c>
      <c r="T49" s="732">
        <f>'Exogenous tax and expenses'!T23/1000/'PIB corriente base 2004'!X15</f>
        <v>8.3209162164790216E-3</v>
      </c>
      <c r="U49" s="732">
        <f>'Exogenous tax and expenses'!U23/1000/'PIB corriente base 2004'!X15</f>
        <v>4.6493290198668851E-4</v>
      </c>
      <c r="V49" s="732">
        <f>'Exogenous tax and expenses'!V23/1000/'PIB corriente base 2004'!X15</f>
        <v>1.6603499217707776E-2</v>
      </c>
      <c r="W49" s="732">
        <f>'Exogenous tax and expenses'!W23/1000/'PIB corriente base 2004'!$X15</f>
        <v>1.4885606544660831E-2</v>
      </c>
      <c r="X49" s="732">
        <f>'Exogenous tax and expenses'!X23/1000/'PIB corriente base 2004'!$X15</f>
        <v>2.6227337230815564E-3</v>
      </c>
      <c r="Y49" s="733">
        <f>'Exogenous tax and expenses'!Y23/1000/'PIB corriente base 2004'!X15</f>
        <v>2.1887240522090738E-3</v>
      </c>
      <c r="Z49" s="733">
        <f>'Exogenous tax and expenses'!Z23/1000/'PIB corriente base 2004'!$X15</f>
        <v>3.3486492664040751E-4</v>
      </c>
      <c r="AA49" s="733">
        <f>'Exogenous tax and expenses'!AA23/1000/'PIB corriente base 2004'!X15</f>
        <v>2.4644887802259688E-3</v>
      </c>
      <c r="AB49" s="733">
        <f>'Exogenous tax and expenses'!AB23/1000/'PIB corriente base 2004'!X15</f>
        <v>8.059963636315939E-3</v>
      </c>
      <c r="AC49" s="733">
        <f>'Exogenous tax and expenses'!AC23/1000/'PIB corriente base 2004'!X15</f>
        <v>1.0313332451235664E-3</v>
      </c>
      <c r="AD49" s="733"/>
      <c r="AE49" s="733">
        <f>'Exogenous tax and expenses'!AE23/1000/'PIB corriente base 2004'!$X15</f>
        <v>3.2890870679484714E-4</v>
      </c>
      <c r="AF49" s="733"/>
      <c r="AG49" s="734">
        <f>'Exogenous tax and expenses'!AG23/1000/'PIB corriente base 2004'!X14</f>
        <v>6.6429199884061336E-3</v>
      </c>
      <c r="AH49" s="734">
        <f>'Exogenous tax and expenses'!AH23/1000/'PIB corriente base 2004'!X14</f>
        <v>0.12005024242359044</v>
      </c>
      <c r="AI49" s="734">
        <f t="shared" si="0"/>
        <v>1.9486314922267062E-2</v>
      </c>
      <c r="AJ49" s="735">
        <f>(SUM(Q23:X23)-SUM(Y23:AF23)-V23-T23)/1000/'PIB corriente base 2004'!X15</f>
        <v>2.1406620443306403E-2</v>
      </c>
      <c r="AK49" s="735">
        <f t="shared" si="1"/>
        <v>1.9203055210393408E-3</v>
      </c>
      <c r="AL49" s="1">
        <f>'Exogenous tax and expenses'!AL48+1</f>
        <v>2010</v>
      </c>
      <c r="AM49" s="455">
        <f>'Exogenous tax and expenses'!AN22/1000/'PIB corriente base 2004'!X14</f>
        <v>4.6127858657390705E-2</v>
      </c>
      <c r="AN49" s="455">
        <f>'Exogenous tax and expenses'!AO22/1000/'PIB corriente base 2004'!X14</f>
        <v>7.0039430317604109E-2</v>
      </c>
      <c r="AO49" s="455">
        <f>'Exogenous tax and expenses'!AP22/1000/'PIB corriente base 2004'!X14</f>
        <v>9.1886716726038483E-3</v>
      </c>
      <c r="AP49" s="455">
        <f>'Exogenous tax and expenses'!AQ22/1000/'PIB corriente base 2004'!X14</f>
        <v>4.6427771833074349E-4</v>
      </c>
      <c r="AQ49" s="455">
        <f>'Exogenous tax and expenses'!AR22/1000/'PIB corriente base 2004'!X14</f>
        <v>1.6178849637292606E-2</v>
      </c>
      <c r="AR49" s="455">
        <f>'Exogenous tax and expenses'!AS22/1000/'PIB corriente base 2004'!X14</f>
        <v>1.2592686096256024E-3</v>
      </c>
      <c r="AS49" s="455">
        <f>'Exogenous tax and expenses'!AT22/1000/'PIB corriente base 2004'!X14</f>
        <v>1.4744221894204591E-2</v>
      </c>
      <c r="AT49" s="455">
        <f>'Exogenous tax and expenses'!AU22/1000/'PIB corriente base 2004'!X14</f>
        <v>5.2443989926986359E-3</v>
      </c>
      <c r="AU49" s="455">
        <f>'Exogenous tax and expenses'!AV22/1000/'PIB corriente base 2004'!X14</f>
        <v>0.10712749488835469</v>
      </c>
    </row>
    <row r="50" spans="1:47">
      <c r="A50">
        <f>'Cuenta Ahorro-Inversión-Financi'!AV91</f>
        <v>2003</v>
      </c>
      <c r="B50" s="1"/>
      <c r="C50" s="1"/>
      <c r="D50" s="701">
        <f>'Cuenta Ahorro-Inversión-Financi'!AW52</f>
        <v>-2.7757938036131639E-2</v>
      </c>
      <c r="E50" s="701">
        <f>'Cuenta Ahorro-Inversión-Financi'!AX91</f>
        <v>-4.9270739941502687E-3</v>
      </c>
      <c r="F50" s="1"/>
      <c r="G50" s="1"/>
      <c r="H50" s="1"/>
      <c r="I50" s="1"/>
      <c r="J50" s="1"/>
      <c r="K50" s="1"/>
      <c r="L50" s="1"/>
      <c r="M50" s="1"/>
      <c r="N50" s="455">
        <f t="shared" si="3"/>
        <v>2.2704188599198195E-2</v>
      </c>
      <c r="O50" s="1"/>
      <c r="P50" s="1">
        <f>'Exogenous tax and expenses'!P49+1</f>
        <v>2012</v>
      </c>
      <c r="Q50" s="736">
        <f>'Exogenous tax and expenses'!Q24/1000/'PIB corriente base 2004'!X16</f>
        <v>1.0460664356065503E-2</v>
      </c>
      <c r="R50" s="736">
        <f>'Exogenous tax and expenses'!R24/1000/'PIB corriente base 2004'!$X16</f>
        <v>1.013224901870108E-3</v>
      </c>
      <c r="S50" s="736">
        <f>'Exogenous tax and expenses'!S24/1000/'PIB corriente base 2004'!X16</f>
        <v>7.3216189425841403E-3</v>
      </c>
      <c r="T50" s="736">
        <f>'Exogenous tax and expenses'!T24/1000/'PIB corriente base 2004'!X16</f>
        <v>9.7749238541064778E-3</v>
      </c>
      <c r="U50" s="736">
        <f>'Exogenous tax and expenses'!U24/1000/'PIB corriente base 2004'!X16</f>
        <v>4.6593636893465634E-4</v>
      </c>
      <c r="V50" s="736">
        <f>'Exogenous tax and expenses'!V24/1000/'PIB corriente base 2004'!X16</f>
        <v>1.6653776630998707E-2</v>
      </c>
      <c r="W50" s="736">
        <f>'Exogenous tax and expenses'!W24/1000/'PIB corriente base 2004'!$X16</f>
        <v>1.5558304996599116E-2</v>
      </c>
      <c r="X50" s="736">
        <f>'Exogenous tax and expenses'!X24/1000/'PIB corriente base 2004'!$X16</f>
        <v>3.1231497592588563E-3</v>
      </c>
      <c r="Y50" s="732">
        <f>'Exogenous tax and expenses'!Y24/1000/'PIB corriente base 2004'!X16</f>
        <v>2.3648638828822933E-3</v>
      </c>
      <c r="Z50" s="732">
        <f>'Exogenous tax and expenses'!Z24/1000/'PIB corriente base 2004'!$X16</f>
        <v>3.6155954156167177E-4</v>
      </c>
      <c r="AA50" s="732">
        <f>'Exogenous tax and expenses'!AA24/1000/'PIB corriente base 2004'!X16</f>
        <v>2.5335602896436552E-3</v>
      </c>
      <c r="AB50" s="732">
        <f>'Exogenous tax and expenses'!AB24/1000/'PIB corriente base 2004'!X16</f>
        <v>1.0086288022214399E-2</v>
      </c>
      <c r="AC50" s="732">
        <f>'Exogenous tax and expenses'!AC24/1000/'PIB corriente base 2004'!X16</f>
        <v>1.2353701400083462E-3</v>
      </c>
      <c r="AD50" s="732"/>
      <c r="AE50" s="732">
        <f>'Exogenous tax and expenses'!AE24/1000/'PIB corriente base 2004'!$X16</f>
        <v>0</v>
      </c>
      <c r="AF50" s="732"/>
      <c r="AG50" s="732">
        <f>'Exogenous tax and expenses'!AG24/1000/'PIB corriente base 2004'!X15</f>
        <v>7.9619526695652049E-3</v>
      </c>
      <c r="AH50" s="732">
        <f>'Exogenous tax and expenses'!AH24/1000/'PIB corriente base 2004'!X15</f>
        <v>0.11234341079206332</v>
      </c>
      <c r="AI50" s="732">
        <f t="shared" si="0"/>
        <v>2.05852034417702E-2</v>
      </c>
      <c r="AJ50" s="735">
        <f>(SUM(Q24:X24)-SUM(Y24:AF24)-V24-T24)/1000/'PIB corriente base 2004'!X16</f>
        <v>2.1361257449002028E-2</v>
      </c>
      <c r="AK50" s="735">
        <f t="shared" si="1"/>
        <v>7.7605400723182796E-4</v>
      </c>
      <c r="AL50" s="1">
        <f>'Exogenous tax and expenses'!AL49+1</f>
        <v>2011</v>
      </c>
      <c r="AM50" s="455">
        <f>'Exogenous tax and expenses'!AN23/1000/'PIB corriente base 2004'!X15</f>
        <v>4.983785118257749E-2</v>
      </c>
      <c r="AN50" s="455">
        <f>'Exogenous tax and expenses'!AO23/1000/'PIB corriente base 2004'!X15</f>
        <v>7.0782543315149354E-2</v>
      </c>
      <c r="AO50" s="455">
        <f>'Exogenous tax and expenses'!AP23/1000/'PIB corriente base 2004'!X15</f>
        <v>8.3209162164790216E-3</v>
      </c>
      <c r="AP50" s="455">
        <f>'Exogenous tax and expenses'!AQ23/1000/'PIB corriente base 2004'!X15</f>
        <v>4.6493290198668851E-4</v>
      </c>
      <c r="AQ50" s="455">
        <f>'Exogenous tax and expenses'!AR23/1000/'PIB corriente base 2004'!X15</f>
        <v>1.6603499217707776E-2</v>
      </c>
      <c r="AR50" s="455">
        <f>'Exogenous tax and expenses'!AS23/1000/'PIB corriente base 2004'!X15</f>
        <v>1.3689784316885452E-3</v>
      </c>
      <c r="AS50" s="455">
        <f>'Exogenous tax and expenses'!AT23/1000/'PIB corriente base 2004'!X15</f>
        <v>1.4885606544660831E-2</v>
      </c>
      <c r="AT50" s="455">
        <f>'Exogenous tax and expenses'!AU23/1000/'PIB corriente base 2004'!X15</f>
        <v>5.065882077998545E-3</v>
      </c>
      <c r="AU50" s="455">
        <f>'Exogenous tax and expenses'!AV23/1000/'PIB corriente base 2004'!X15</f>
        <v>9.1550157553375269E-2</v>
      </c>
    </row>
    <row r="51" spans="1:47">
      <c r="A51">
        <f>'Cuenta Ahorro-Inversión-Financi'!AV92</f>
        <v>2004</v>
      </c>
      <c r="B51" s="1"/>
      <c r="C51" s="1"/>
      <c r="D51" s="702">
        <f>'Cuenta Ahorro-Inversión-Financi'!AW53</f>
        <v>-2.1885368915817719E-2</v>
      </c>
      <c r="E51" s="702">
        <f>'Cuenta Ahorro-Inversión-Financi'!AX92</f>
        <v>3.821332457194633E-3</v>
      </c>
      <c r="F51" s="1"/>
      <c r="G51" s="455"/>
      <c r="H51" s="1"/>
      <c r="I51" s="1"/>
      <c r="J51" s="1"/>
      <c r="K51" s="1"/>
      <c r="L51" s="1"/>
      <c r="M51" s="1"/>
      <c r="N51" s="455">
        <f t="shared" si="3"/>
        <v>2.226107553843254E-2</v>
      </c>
      <c r="O51" s="1"/>
      <c r="P51" s="1">
        <f>'Exogenous tax and expenses'!P50+1</f>
        <v>2013</v>
      </c>
      <c r="Q51" s="732">
        <f>'Exogenous tax and expenses'!Q25/1000/'PIB corriente base 2004'!X17</f>
        <v>1.0923831683551271E-2</v>
      </c>
      <c r="R51" s="732">
        <f>'Exogenous tax and expenses'!R25/1000/'PIB corriente base 2004'!$X17</f>
        <v>9.2554195973764525E-4</v>
      </c>
      <c r="S51" s="732">
        <f>'Exogenous tax and expenses'!S25/1000/'PIB corriente base 2004'!X17</f>
        <v>7.4386216465936053E-3</v>
      </c>
      <c r="T51" s="732">
        <f>'Exogenous tax and expenses'!T25/1000/'PIB corriente base 2004'!X17</f>
        <v>9.2614874373235286E-3</v>
      </c>
      <c r="U51" s="732">
        <f>'Exogenous tax and expenses'!U25/1000/'PIB corriente base 2004'!X17</f>
        <v>3.9793227078232932E-4</v>
      </c>
      <c r="V51" s="732">
        <f>'Exogenous tax and expenses'!V25/1000/'PIB corriente base 2004'!X17</f>
        <v>1.6878623698714911E-2</v>
      </c>
      <c r="W51" s="732">
        <f>'Exogenous tax and expenses'!W25/1000/'PIB corriente base 2004'!$X17</f>
        <v>1.5914800261768496E-2</v>
      </c>
      <c r="X51" s="732">
        <f>'Exogenous tax and expenses'!X25/1000/'PIB corriente base 2004'!$X17</f>
        <v>2.5929510469319896E-3</v>
      </c>
      <c r="Y51" s="733">
        <f>'Exogenous tax and expenses'!Y25/1000/'PIB corriente base 2004'!X17</f>
        <v>2.1033902153498639E-3</v>
      </c>
      <c r="Z51" s="733">
        <f>'Exogenous tax and expenses'!Z25/1000/'PIB corriente base 2004'!$X17</f>
        <v>3.7439027318050887E-4</v>
      </c>
      <c r="AA51" s="733">
        <f>'Exogenous tax and expenses'!AA25/1000/'PIB corriente base 2004'!X17</f>
        <v>2.6450338256733034E-3</v>
      </c>
      <c r="AB51" s="733">
        <f>'Exogenous tax and expenses'!AB25/1000/'PIB corriente base 2004'!X17</f>
        <v>1.0788137134026486E-2</v>
      </c>
      <c r="AC51" s="733">
        <f>'Exogenous tax and expenses'!AC25/1000/'PIB corriente base 2004'!X17</f>
        <v>1.6696788899997676E-3</v>
      </c>
      <c r="AD51" s="733"/>
      <c r="AE51" s="733">
        <f>'Exogenous tax and expenses'!AE25/1000/'PIB corriente base 2004'!$X17</f>
        <v>0</v>
      </c>
      <c r="AF51" s="733"/>
      <c r="AG51" s="734">
        <f>'Exogenous tax and expenses'!AG25/1000/'PIB corriente base 2004'!X16</f>
        <v>8.6709130018907954E-3</v>
      </c>
      <c r="AH51" s="734">
        <f>'Exogenous tax and expenses'!AH25/1000/'PIB corriente base 2004'!X16</f>
        <v>0.12489869607488334</v>
      </c>
      <c r="AI51" s="734">
        <f t="shared" si="0"/>
        <v>2.0147459936048859E-2</v>
      </c>
      <c r="AJ51" s="735">
        <f>(SUM(Q25:X25)-SUM(Y25:AF25)-V25-T25)/1000/'PIB corriente base 2004'!X17</f>
        <v>2.0613048531135405E-2</v>
      </c>
      <c r="AK51" s="735">
        <f t="shared" si="1"/>
        <v>4.6558859508654543E-4</v>
      </c>
      <c r="AL51" s="1">
        <f>'Exogenous tax and expenses'!AL50+1</f>
        <v>2012</v>
      </c>
      <c r="AM51" s="455">
        <f>'Exogenous tax and expenses'!AN24/1000/'PIB corriente base 2004'!X16</f>
        <v>5.2480713552157589E-2</v>
      </c>
      <c r="AN51" s="455">
        <f>'Exogenous tax and expenses'!AO24/1000/'PIB corriente base 2004'!X16</f>
        <v>7.2214807349373328E-2</v>
      </c>
      <c r="AO51" s="455">
        <f>'Exogenous tax and expenses'!AP24/1000/'PIB corriente base 2004'!X16</f>
        <v>9.7749238541064778E-3</v>
      </c>
      <c r="AP51" s="455">
        <f>'Exogenous tax and expenses'!AQ24/1000/'PIB corriente base 2004'!X16</f>
        <v>4.6593636893465634E-4</v>
      </c>
      <c r="AQ51" s="455">
        <f>'Exogenous tax and expenses'!AR24/1000/'PIB corriente base 2004'!X16</f>
        <v>1.6653776630998707E-2</v>
      </c>
      <c r="AR51" s="455">
        <f>'Exogenous tax and expenses'!AS24/1000/'PIB corriente base 2004'!X16</f>
        <v>1.4500500092478534E-3</v>
      </c>
      <c r="AS51" s="455">
        <f>'Exogenous tax and expenses'!AT24/1000/'PIB corriente base 2004'!X16</f>
        <v>1.5558304996599116E-2</v>
      </c>
      <c r="AT51" s="455">
        <f>'Exogenous tax and expenses'!AU24/1000/'PIB corriente base 2004'!X16</f>
        <v>6.5768966604751464E-3</v>
      </c>
      <c r="AU51" s="455">
        <f>'Exogenous tax and expenses'!AV24/1000/'PIB corriente base 2004'!X16</f>
        <v>9.2800225513656298E-2</v>
      </c>
    </row>
    <row r="52" spans="1:47">
      <c r="A52">
        <f>'Cuenta Ahorro-Inversión-Financi'!AV93</f>
        <v>2005</v>
      </c>
      <c r="B52" s="1"/>
      <c r="C52" s="1"/>
      <c r="D52" s="701">
        <f>'Cuenta Ahorro-Inversión-Financi'!AW54</f>
        <v>-1.7904057274325678E-2</v>
      </c>
      <c r="E52" s="701">
        <f>'Cuenta Ahorro-Inversión-Financi'!AX93</f>
        <v>7.5776910275119763E-3</v>
      </c>
      <c r="F52" s="1"/>
      <c r="G52" s="1"/>
      <c r="H52" s="1"/>
      <c r="I52" s="1"/>
      <c r="J52" s="1"/>
      <c r="K52" s="1"/>
      <c r="L52" s="1"/>
      <c r="M52" s="1"/>
      <c r="N52" s="455">
        <f t="shared" si="3"/>
        <v>2.4837899240235602E-2</v>
      </c>
      <c r="O52" s="1"/>
      <c r="P52" s="1">
        <f>'Exogenous tax and expenses'!P51+1</f>
        <v>2014</v>
      </c>
      <c r="Q52" s="736">
        <f>'Exogenous tax and expenses'!Q26/1000/'PIB corriente base 2004'!X18</f>
        <v>1.1638715611107287E-2</v>
      </c>
      <c r="R52" s="736">
        <f>'Exogenous tax and expenses'!R26/1000/'PIB corriente base 2004'!$X18</f>
        <v>6.4222417460413491E-4</v>
      </c>
      <c r="S52" s="736">
        <f>'Exogenous tax and expenses'!S26/1000/'PIB corriente base 2004'!X18</f>
        <v>7.1458795401682053E-3</v>
      </c>
      <c r="T52" s="736">
        <f>'Exogenous tax and expenses'!T26/1000/'PIB corriente base 2004'!X18</f>
        <v>9.7159317092416521E-3</v>
      </c>
      <c r="U52" s="736">
        <f>'Exogenous tax and expenses'!U26/1000/'PIB corriente base 2004'!X18</f>
        <v>4.3347074407363553E-4</v>
      </c>
      <c r="V52" s="736">
        <f>'Exogenous tax and expenses'!V26/1000/'PIB corriente base 2004'!X18</f>
        <v>1.6758761654761131E-2</v>
      </c>
      <c r="W52" s="736">
        <f>'Exogenous tax and expenses'!W26/1000/'PIB corriente base 2004'!$X18</f>
        <v>1.5871302582137044E-2</v>
      </c>
      <c r="X52" s="736">
        <f>'Exogenous tax and expenses'!X26/1000/'PIB corriente base 2004'!$X18</f>
        <v>2.6572330962087638E-3</v>
      </c>
      <c r="Y52" s="732">
        <f>'Exogenous tax and expenses'!Y26/1000/'PIB corriente base 2004'!X18</f>
        <v>2.0783202615700098E-3</v>
      </c>
      <c r="Z52" s="732">
        <f>'Exogenous tax and expenses'!Z26/1000/'PIB corriente base 2004'!$X18</f>
        <v>3.5165218625367772E-4</v>
      </c>
      <c r="AA52" s="732">
        <f>'Exogenous tax and expenses'!AA26/1000/'PIB corriente base 2004'!X18</f>
        <v>2.5927578064890333E-3</v>
      </c>
      <c r="AB52" s="732">
        <f>'Exogenous tax and expenses'!AB26/1000/'PIB corriente base 2004'!X18</f>
        <v>1.0710129862612883E-2</v>
      </c>
      <c r="AC52" s="732">
        <f>'Exogenous tax and expenses'!AC26/1000/'PIB corriente base 2004'!X18</f>
        <v>1.80520724704594E-3</v>
      </c>
      <c r="AD52" s="732"/>
      <c r="AE52" s="732">
        <f>'Exogenous tax and expenses'!AE26/1000/'PIB corriente base 2004'!$X18</f>
        <v>0</v>
      </c>
      <c r="AF52" s="732"/>
      <c r="AG52" s="732">
        <f>'Exogenous tax and expenses'!AG26/1000/'PIB corriente base 2004'!X17</f>
        <v>1.1463640257481976E-2</v>
      </c>
      <c r="AH52" s="732">
        <f>'Exogenous tax and expenses'!AH26/1000/'PIB corriente base 2004'!X17</f>
        <v>0.14104584498725364</v>
      </c>
      <c r="AI52" s="732">
        <f t="shared" si="0"/>
        <v>2.0448995735812929E-2</v>
      </c>
      <c r="AJ52" s="735">
        <f>(SUM(Q26:X26)-SUM(Y26:AF26)-V26-T26)/1000/'PIB corriente base 2004'!X18</f>
        <v>2.0850758384327536E-2</v>
      </c>
      <c r="AK52" s="735">
        <f t="shared" si="1"/>
        <v>4.0176264851460655E-4</v>
      </c>
      <c r="AL52" s="1">
        <f>'Exogenous tax and expenses'!AL51+1</f>
        <v>2013</v>
      </c>
      <c r="AM52" s="455">
        <f>'Exogenous tax and expenses'!AN25/1000/'PIB corriente base 2004'!X17</f>
        <v>5.4833260329966819E-2</v>
      </c>
      <c r="AN52" s="455">
        <f>'Exogenous tax and expenses'!AO25/1000/'PIB corriente base 2004'!X17</f>
        <v>7.4367774616800247E-2</v>
      </c>
      <c r="AO52" s="455">
        <f>'Exogenous tax and expenses'!AP25/1000/'PIB corriente base 2004'!X17</f>
        <v>9.2614874373235286E-3</v>
      </c>
      <c r="AP52" s="455">
        <f>'Exogenous tax and expenses'!AQ25/1000/'PIB corriente base 2004'!X17</f>
        <v>3.9793227078232932E-4</v>
      </c>
      <c r="AQ52" s="455">
        <f>'Exogenous tax and expenses'!AR25/1000/'PIB corriente base 2004'!X17</f>
        <v>1.6878623698714911E-2</v>
      </c>
      <c r="AR52" s="455">
        <f>'Exogenous tax and expenses'!AS25/1000/'PIB corriente base 2004'!X17</f>
        <v>1.3209329473526923E-3</v>
      </c>
      <c r="AS52" s="455">
        <f>'Exogenous tax and expenses'!AT25/1000/'PIB corriente base 2004'!X17</f>
        <v>1.5914800261768496E-2</v>
      </c>
      <c r="AT52" s="455">
        <f>'Exogenous tax and expenses'!AU25/1000/'PIB corriente base 2004'!X17</f>
        <v>6.8312467518398812E-3</v>
      </c>
      <c r="AU52" s="455">
        <f>'Exogenous tax and expenses'!AV25/1000/'PIB corriente base 2004'!X17</f>
        <v>9.8399535514256689E-2</v>
      </c>
    </row>
    <row r="53" spans="1:47">
      <c r="A53">
        <f>'Cuenta Ahorro-Inversión-Financi'!AV94</f>
        <v>2006</v>
      </c>
      <c r="B53" s="1"/>
      <c r="C53" s="1"/>
      <c r="D53" s="702">
        <f>'Cuenta Ahorro-Inversión-Financi'!AW55</f>
        <v>-1.651359349578671E-2</v>
      </c>
      <c r="E53" s="702">
        <f>'Cuenta Ahorro-Inversión-Financi'!AX94</f>
        <v>9.177918317369374E-3</v>
      </c>
      <c r="F53" s="1"/>
      <c r="G53" s="1"/>
      <c r="H53" s="1"/>
      <c r="I53" s="1"/>
      <c r="J53" s="1"/>
      <c r="K53" s="1"/>
      <c r="L53" s="1"/>
      <c r="M53" s="1"/>
      <c r="N53" s="455">
        <f t="shared" si="3"/>
        <v>2.4101744398326765E-2</v>
      </c>
      <c r="O53" s="1"/>
      <c r="P53" s="1">
        <f>'Exogenous tax and expenses'!P52+1</f>
        <v>2015</v>
      </c>
      <c r="Q53" s="732">
        <f>'Exogenous tax and expenses'!Q27/1000/'PIB corriente base 2004'!X19</f>
        <v>1.2729476934005482E-2</v>
      </c>
      <c r="R53" s="732">
        <f>'Exogenous tax and expenses'!R27/1000/'PIB corriente base 2004'!$X19</f>
        <v>6.6660386882010764E-4</v>
      </c>
      <c r="S53" s="732">
        <f>'Exogenous tax and expenses'!S27/1000/'PIB corriente base 2004'!X19</f>
        <v>7.2671627876782366E-3</v>
      </c>
      <c r="T53" s="732">
        <f>'Exogenous tax and expenses'!T27/1000/'PIB corriente base 2004'!X19</f>
        <v>9.4849538424487435E-3</v>
      </c>
      <c r="U53" s="732">
        <f>'Exogenous tax and expenses'!U27/1000/'PIB corriente base 2004'!X19</f>
        <v>4.8977994181013322E-4</v>
      </c>
      <c r="V53" s="732">
        <f>'Exogenous tax and expenses'!V27/1000/'PIB corriente base 2004'!X19</f>
        <v>1.6370714691364394E-2</v>
      </c>
      <c r="W53" s="732">
        <f>'Exogenous tax and expenses'!W27/1000/'PIB corriente base 2004'!$X19</f>
        <v>1.6055108102521049E-2</v>
      </c>
      <c r="X53" s="732">
        <f>'Exogenous tax and expenses'!X27/1000/'PIB corriente base 2004'!$X19</f>
        <v>2.3847130769837914E-3</v>
      </c>
      <c r="Y53" s="733">
        <f>'Exogenous tax and expenses'!Y27/1000/'PIB corriente base 2004'!X19</f>
        <v>2.0968109153637359E-3</v>
      </c>
      <c r="Z53" s="733">
        <f>'Exogenous tax and expenses'!Z27/1000/'PIB corriente base 2004'!$X19</f>
        <v>3.6587449139711237E-4</v>
      </c>
      <c r="AA53" s="733">
        <f>'Exogenous tax and expenses'!AA27/1000/'PIB corriente base 2004'!X19</f>
        <v>2.6934949053922554E-3</v>
      </c>
      <c r="AB53" s="733">
        <f>'Exogenous tax and expenses'!AB27/1000/'PIB corriente base 2004'!X19</f>
        <v>1.1480656018477475E-2</v>
      </c>
      <c r="AC53" s="733">
        <f>'Exogenous tax and expenses'!AC27/1000/'PIB corriente base 2004'!X19</f>
        <v>1.7142465903260647E-3</v>
      </c>
      <c r="AD53" s="733"/>
      <c r="AE53" s="733">
        <f>'Exogenous tax and expenses'!AE27/1000/'PIB corriente base 2004'!$X19</f>
        <v>0</v>
      </c>
      <c r="AF53" s="733">
        <f>'Exogenous tax and expenses'!AF27/1000/'PIB corriente base 2004'!$X19</f>
        <v>0</v>
      </c>
      <c r="AG53" s="734">
        <f>'Exogenous tax and expenses'!AG27/1000/'PIB corriente base 2004'!X18</f>
        <v>1.1613885018994186E-2</v>
      </c>
      <c r="AH53" s="734">
        <f>'Exogenous tax and expenses'!AH27/1000/'PIB corriente base 2004'!X18</f>
        <v>0.14501342370722561</v>
      </c>
      <c r="AI53" s="734">
        <f t="shared" si="0"/>
        <v>2.0801726256046781E-2</v>
      </c>
      <c r="AJ53" s="735">
        <f>(SUM(Q27:X27)-SUM(Y27:AF27)-V27-T27)/1000/'PIB corriente base 2004'!X19</f>
        <v>2.1241761790862155E-2</v>
      </c>
      <c r="AK53" s="735">
        <f t="shared" si="1"/>
        <v>4.4003553481537436E-4</v>
      </c>
      <c r="AL53" s="1">
        <f>'Exogenous tax and expenses'!AL52+1</f>
        <v>2014</v>
      </c>
      <c r="AM53" s="455">
        <f>'Exogenous tax and expenses'!AN26/1000/'PIB corriente base 2004'!X18</f>
        <v>5.8324974719401783E-2</v>
      </c>
      <c r="AN53" s="455">
        <f>'Exogenous tax and expenses'!AO26/1000/'PIB corriente base 2004'!X18</f>
        <v>7.2329450949451701E-2</v>
      </c>
      <c r="AO53" s="455">
        <f>'Exogenous tax and expenses'!AP26/1000/'PIB corriente base 2004'!X18</f>
        <v>9.7159317092416521E-3</v>
      </c>
      <c r="AP53" s="455">
        <f>'Exogenous tax and expenses'!AQ26/1000/'PIB corriente base 2004'!X18</f>
        <v>4.3347074407363553E-4</v>
      </c>
      <c r="AQ53" s="455">
        <f>'Exogenous tax and expenses'!AR26/1000/'PIB corriente base 2004'!X18</f>
        <v>1.6758761654761131E-2</v>
      </c>
      <c r="AR53" s="455">
        <f>'Exogenous tax and expenses'!AS26/1000/'PIB corriente base 2004'!X18</f>
        <v>9.3016130387155562E-4</v>
      </c>
      <c r="AS53" s="455">
        <f>'Exogenous tax and expenses'!AT26/1000/'PIB corriente base 2004'!X18</f>
        <v>1.5871302582137044E-2</v>
      </c>
      <c r="AT53" s="455">
        <f>'Exogenous tax and expenses'!AU26/1000/'PIB corriente base 2004'!X18</f>
        <v>8.38241527111434E-3</v>
      </c>
      <c r="AU53" s="455">
        <f>'Exogenous tax and expenses'!AV26/1000/'PIB corriente base 2004'!X18</f>
        <v>0.10313520124436268</v>
      </c>
    </row>
    <row r="54" spans="1:47">
      <c r="A54">
        <f>'Cuenta Ahorro-Inversión-Financi'!AV95</f>
        <v>2007</v>
      </c>
      <c r="B54" s="1"/>
      <c r="C54" s="1"/>
      <c r="D54" s="701">
        <f>'Cuenta Ahorro-Inversión-Financi'!AW56</f>
        <v>-1.5865651263535306E-2</v>
      </c>
      <c r="E54" s="701">
        <f>'Cuenta Ahorro-Inversión-Financi'!AX95</f>
        <v>1.0847029369291347E-2</v>
      </c>
      <c r="F54" s="1"/>
      <c r="G54" s="1"/>
      <c r="H54" s="1"/>
      <c r="I54" s="1"/>
      <c r="J54" s="1"/>
      <c r="K54" s="1"/>
      <c r="L54" s="1"/>
      <c r="M54" s="1"/>
      <c r="N54" s="455">
        <f t="shared" si="3"/>
        <v>2.5087575335235472E-2</v>
      </c>
      <c r="O54" s="1"/>
      <c r="P54" s="1">
        <f>'Exogenous tax and expenses'!P53+1</f>
        <v>2016</v>
      </c>
      <c r="Q54" s="736">
        <f>'Exogenous tax and expenses'!Q28/1000/'PIB corriente base 2004'!X20</f>
        <v>1.0510970262808748E-2</v>
      </c>
      <c r="R54" s="736">
        <f>'Exogenous tax and expenses'!R28/1000/'PIB corriente base 2004'!$X20</f>
        <v>5.8459002489552722E-4</v>
      </c>
      <c r="S54" s="736">
        <f>'Exogenous tax and expenses'!S28/1000/'PIB corriente base 2004'!X20</f>
        <v>7.080501976133754E-3</v>
      </c>
      <c r="T54" s="736">
        <f>'Exogenous tax and expenses'!T28/1000/'PIB corriente base 2004'!X20</f>
        <v>9.1957341711844595E-3</v>
      </c>
      <c r="U54" s="736">
        <f>'Exogenous tax and expenses'!U28/1000/'PIB corriente base 2004'!X20</f>
        <v>5.0893519641015991E-4</v>
      </c>
      <c r="V54" s="736">
        <f>'Exogenous tax and expenses'!V28/1000/'PIB corriente base 2004'!X20</f>
        <v>1.6002251547905685E-2</v>
      </c>
      <c r="W54" s="736">
        <f>'Exogenous tax and expenses'!W28/1000/'PIB corriente base 2004'!$X20</f>
        <v>1.5337475684188417E-2</v>
      </c>
      <c r="X54" s="736">
        <f>'Exogenous tax and expenses'!X28/1000/'PIB corriente base 2004'!$X20</f>
        <v>2.4260589336946247E-3</v>
      </c>
      <c r="Y54" s="732">
        <f>'Exogenous tax and expenses'!Y28/1000/'PIB corriente base 2004'!X20</f>
        <v>1.7688620748497715E-3</v>
      </c>
      <c r="Z54" s="732">
        <f>'Exogenous tax and expenses'!Z28/1000/'PIB corriente base 2004'!$X20</f>
        <v>3.5450334578439411E-4</v>
      </c>
      <c r="AA54" s="732">
        <f>'Exogenous tax and expenses'!AA28/1000/'PIB corriente base 2004'!X20</f>
        <v>2.7242444867677821E-3</v>
      </c>
      <c r="AB54" s="732">
        <f>'Exogenous tax and expenses'!AB28/1000/'PIB corriente base 2004'!X20</f>
        <v>1.0743826187704851E-2</v>
      </c>
      <c r="AC54" s="732">
        <f>'Exogenous tax and expenses'!AC28/1000/'PIB corriente base 2004'!X20</f>
        <v>1.9710726181915404E-3</v>
      </c>
      <c r="AD54" s="732"/>
      <c r="AE54" s="732">
        <f>'Exogenous tax and expenses'!AE28/1000/'PIB corriente base 2004'!$X20</f>
        <v>1.4704867980335008E-3</v>
      </c>
      <c r="AF54" s="732">
        <f>'Exogenous tax and expenses'!AF28/1000/'PIB corriente base 2004'!$X20</f>
        <v>3.8040776213845808E-3</v>
      </c>
      <c r="AG54" s="732">
        <f>'Exogenous tax and expenses'!AG28/1000/'PIB corriente base 2004'!X19</f>
        <v>1.2170640999249319E-2</v>
      </c>
      <c r="AH54" s="732">
        <f>'Exogenous tax and expenses'!AH28/1000/'PIB corriente base 2004'!X19</f>
        <v>0.14701123489979234</v>
      </c>
      <c r="AI54" s="732">
        <f t="shared" si="0"/>
        <v>1.2286914034545616E-2</v>
      </c>
      <c r="AJ54" s="735">
        <f>(SUM(Q28:X28)-SUM(Y28:AF28)-V28-T28)/1000/'PIB corriente base 2004'!X20</f>
        <v>1.3611458945414814E-2</v>
      </c>
      <c r="AK54" s="735">
        <f t="shared" si="1"/>
        <v>1.3245449108691982E-3</v>
      </c>
      <c r="AL54" s="1">
        <f>'Exogenous tax and expenses'!AL53+1</f>
        <v>2015</v>
      </c>
      <c r="AM54" s="455">
        <f>'Exogenous tax and expenses'!AN27/1000/'PIB corriente base 2004'!X19</f>
        <v>6.4062897806763774E-2</v>
      </c>
      <c r="AN54" s="455">
        <f>'Exogenous tax and expenses'!AO27/1000/'PIB corriente base 2004'!X19</f>
        <v>7.2730783197205884E-2</v>
      </c>
      <c r="AO54" s="455">
        <f>'Exogenous tax and expenses'!AP27/1000/'PIB corriente base 2004'!X19</f>
        <v>9.4849538424487435E-3</v>
      </c>
      <c r="AP54" s="455">
        <f>'Exogenous tax and expenses'!AQ27/1000/'PIB corriente base 2004'!X19</f>
        <v>4.8977994181013322E-4</v>
      </c>
      <c r="AQ54" s="455">
        <f>'Exogenous tax and expenses'!AR27/1000/'PIB corriente base 2004'!X19</f>
        <v>1.6370714691364394E-2</v>
      </c>
      <c r="AR54" s="455">
        <f>'Exogenous tax and expenses'!AS27/1000/'PIB corriente base 2004'!X19</f>
        <v>9.4451519167907609E-4</v>
      </c>
      <c r="AS54" s="455">
        <f>'Exogenous tax and expenses'!AT27/1000/'PIB corriente base 2004'!X19</f>
        <v>1.6055108102521049E-2</v>
      </c>
      <c r="AT54" s="455">
        <f>'Exogenous tax and expenses'!AU27/1000/'PIB corriente base 2004'!X19</f>
        <v>8.9312093248872185E-3</v>
      </c>
      <c r="AU54" s="455">
        <f>'Exogenous tax and expenses'!AV27/1000/'PIB corriente base 2004'!X19</f>
        <v>0.11151696783028424</v>
      </c>
    </row>
    <row r="55" spans="1:47">
      <c r="A55">
        <f>'Cuenta Ahorro-Inversión-Financi'!AV96</f>
        <v>2008</v>
      </c>
      <c r="B55" s="1"/>
      <c r="C55" s="1"/>
      <c r="D55" s="702">
        <f>'Cuenta Ahorro-Inversión-Financi'!AW57</f>
        <v>-1.8301337163690701E-2</v>
      </c>
      <c r="E55" s="702">
        <f>'Cuenta Ahorro-Inversión-Financi'!AY96</f>
        <v>4.730474022095893E-3</v>
      </c>
      <c r="F55" s="1"/>
      <c r="G55" s="455"/>
      <c r="H55" s="1"/>
      <c r="I55" s="1"/>
      <c r="J55" s="1"/>
      <c r="K55" s="1"/>
      <c r="L55" s="1"/>
      <c r="M55" s="1"/>
      <c r="N55" s="455">
        <f t="shared" si="3"/>
        <v>2.5755527664068259E-2</v>
      </c>
      <c r="O55" s="1"/>
      <c r="P55" s="1">
        <f>'Exogenous tax and expenses'!P54+1</f>
        <v>2017</v>
      </c>
      <c r="Q55" s="732">
        <f>'Exogenous tax and expenses'!Q29/1000/'PIB corriente base 2004'!X21</f>
        <v>1.0262856211277281E-2</v>
      </c>
      <c r="R55" s="732">
        <f>'Exogenous tax and expenses'!R29/1000/'PIB corriente base 2004'!$X21</f>
        <v>6.8411244022795344E-4</v>
      </c>
      <c r="S55" s="732">
        <f>'Exogenous tax and expenses'!S29/1000/'PIB corriente base 2004'!X21</f>
        <v>7.0201114130782139E-3</v>
      </c>
      <c r="T55" s="732">
        <f>'Exogenous tax and expenses'!T29/1000/'PIB corriente base 2004'!X21</f>
        <v>9.6616000144441848E-3</v>
      </c>
      <c r="U55" s="732">
        <f>'Exogenous tax and expenses'!U29/1000/'PIB corriente base 2004'!X21</f>
        <v>5.2848322225620861E-4</v>
      </c>
      <c r="V55" s="732">
        <f>'Exogenous tax and expenses'!V29/1000/'PIB corriente base 2004'!X21</f>
        <v>1.6236925657221495E-2</v>
      </c>
      <c r="W55" s="732">
        <f>'Exogenous tax and expenses'!W29/1000/'PIB corriente base 2004'!$X21</f>
        <v>1.5637900532243249E-2</v>
      </c>
      <c r="X55" s="732">
        <f>'Exogenous tax and expenses'!X29/1000/'PIB corriente base 2004'!$X21</f>
        <v>2.7671488049346824E-3</v>
      </c>
      <c r="Y55" s="733">
        <f>'Exogenous tax and expenses'!Y29/1000/'PIB corriente base 2004'!X21</f>
        <v>1.7212995286051318E-3</v>
      </c>
      <c r="Z55" s="733">
        <f>'Exogenous tax and expenses'!Z29/1000/'PIB corriente base 2004'!$X21</f>
        <v>4.7136456246063628E-4</v>
      </c>
      <c r="AA55" s="733">
        <f>'Exogenous tax and expenses'!AA29/1000/'PIB corriente base 2004'!X21</f>
        <v>2.9059394837247904E-3</v>
      </c>
      <c r="AB55" s="733">
        <f>'Exogenous tax and expenses'!AB29/1000/'PIB corriente base 2004'!X21</f>
        <v>9.8274645867492943E-3</v>
      </c>
      <c r="AC55" s="733">
        <f>'Exogenous tax and expenses'!AC29/1000/'PIB corriente base 2004'!$X21</f>
        <v>1.6931827770299091E-3</v>
      </c>
      <c r="AD55" s="733">
        <f>'Exogenous tax and expenses'!AD29/1000/'PIB corriente base 2004'!$X21</f>
        <v>8.8059397840320767E-4</v>
      </c>
      <c r="AE55" s="733">
        <f>'Exogenous tax and expenses'!AE29/1000/'PIB corriente base 2004'!$X21</f>
        <v>1.0188093340959055E-3</v>
      </c>
      <c r="AF55" s="733">
        <f>'Exogenous tax and expenses'!AF29/1000/'PIB corriente base 2004'!$X21</f>
        <v>7.3255002555776237E-3</v>
      </c>
      <c r="AG55" s="734">
        <f>'Exogenous tax and expenses'!AG29/1000/'PIB corriente base 2004'!X20</f>
        <v>1.340233882693811E-2</v>
      </c>
      <c r="AH55" s="734">
        <f>'Exogenous tax and expenses'!AH29/1000/'PIB corriente base 2004'!X20</f>
        <v>0.14615406905237693</v>
      </c>
      <c r="AI55" s="734">
        <f t="shared" si="0"/>
        <v>8.2252598436872784E-3</v>
      </c>
      <c r="AJ55" s="735">
        <f>(SUM(Q29:X29)-SUM(Y29:AF29)-V29-T29)/1000/'PIB corriente base 2004'!X21</f>
        <v>1.1056458117371094E-2</v>
      </c>
      <c r="AK55" s="735">
        <f t="shared" si="1"/>
        <v>2.8311982736838152E-3</v>
      </c>
      <c r="AL55" s="1">
        <f>'Exogenous tax and expenses'!AL54+1</f>
        <v>2016</v>
      </c>
      <c r="AM55" s="455">
        <f>'Exogenous tax and expenses'!AN28/1000/'PIB corriente base 2004'!X20</f>
        <v>5.2612877889090005E-2</v>
      </c>
      <c r="AN55" s="455">
        <f>'Exogenous tax and expenses'!AO28/1000/'PIB corriente base 2004'!X20</f>
        <v>7.0880606044725292E-2</v>
      </c>
      <c r="AO55" s="455">
        <f>'Exogenous tax and expenses'!AP28/1000/'PIB corriente base 2004'!X20</f>
        <v>9.1957341711844595E-3</v>
      </c>
      <c r="AP55" s="455">
        <f>'Exogenous tax and expenses'!AQ28/1000/'PIB corriente base 2004'!X20</f>
        <v>5.0893519641015991E-4</v>
      </c>
      <c r="AQ55" s="455">
        <f>'Exogenous tax and expenses'!AR28/1000/'PIB corriente base 2004'!X20</f>
        <v>1.6002251547905685E-2</v>
      </c>
      <c r="AR55" s="455">
        <f>'Exogenous tax and expenses'!AS28/1000/'PIB corriente base 2004'!X20</f>
        <v>8.3530684508178717E-4</v>
      </c>
      <c r="AS55" s="455">
        <f>'Exogenous tax and expenses'!AT28/1000/'PIB corriente base 2004'!X20</f>
        <v>1.5337475684188417E-2</v>
      </c>
      <c r="AT55" s="455">
        <f>'Exogenous tax and expenses'!AU28/1000/'PIB corriente base 2004'!X20</f>
        <v>8.8075849695962542E-3</v>
      </c>
      <c r="AU55" s="455">
        <f>'Exogenous tax and expenses'!AV28/1000/'PIB corriente base 2004'!X20</f>
        <v>0.10638831126027455</v>
      </c>
    </row>
    <row r="56" spans="1:47">
      <c r="A56">
        <f>'Cuenta Ahorro-Inversión-Financi'!AV97</f>
        <v>2009</v>
      </c>
      <c r="B56" s="1"/>
      <c r="C56" s="1"/>
      <c r="D56" s="701">
        <f>'Cuenta Ahorro-Inversión-Financi'!AW58</f>
        <v>-1.567109090325778E-2</v>
      </c>
      <c r="E56" s="701">
        <f>'Cuenta Ahorro-Inversión-Financi'!AY97</f>
        <v>3.4788465677864115E-3</v>
      </c>
      <c r="F56" s="1"/>
      <c r="G56" s="1"/>
      <c r="H56" s="1"/>
      <c r="I56" s="1"/>
      <c r="J56" s="1"/>
      <c r="K56" s="1"/>
      <c r="L56" s="1"/>
      <c r="M56" s="1"/>
      <c r="N56" s="455">
        <f t="shared" si="3"/>
        <v>2.3226288588993518E-2</v>
      </c>
      <c r="O56" s="455">
        <f>SUM(Q56:X56)-W56-S56</f>
        <v>2.726820813006537E-2</v>
      </c>
      <c r="P56" s="1">
        <v>2018</v>
      </c>
      <c r="Q56" s="741">
        <f>'Exogenous tax and expenses'!Q30/1000/'PIB corriente base 2004'!X22</f>
        <v>0</v>
      </c>
      <c r="R56" s="741">
        <f>'Exogenous tax and expenses'!R30/1000/'PIB corriente base 2004'!$X22</f>
        <v>7.5631386805743138E-4</v>
      </c>
      <c r="S56" s="741">
        <f>'Exogenous tax and expenses'!S30/1000/'PIB corriente base 2004'!X22</f>
        <v>7.3445240173062084E-3</v>
      </c>
      <c r="T56" s="741">
        <f>'Exogenous tax and expenses'!T30/1000/'PIB corriente base 2004'!X22</f>
        <v>7.9915062303693059E-3</v>
      </c>
      <c r="U56" s="741">
        <f>'Exogenous tax and expenses'!U30/1000/'PIB corriente base 2004'!X22</f>
        <v>4.6997537652454686E-4</v>
      </c>
      <c r="V56" s="741">
        <f>'Exogenous tax and expenses'!V30/1000/'PIB corriente base 2004'!X22</f>
        <v>1.5967485716743356E-2</v>
      </c>
      <c r="W56" s="741">
        <f>'Exogenous tax and expenses'!W30/1000/'PIB corriente base 2004'!$X22</f>
        <v>1.7878642576356487E-2</v>
      </c>
      <c r="X56" s="741">
        <f>'Exogenous tax and expenses'!X30/1000/'PIB corriente base 2004'!$X22</f>
        <v>2.0829269383707324E-3</v>
      </c>
      <c r="Y56" s="732">
        <f>'Exogenous tax and expenses'!Y30/1000/'PIB corriente base 2004'!X22</f>
        <v>1.4777314871301885E-3</v>
      </c>
      <c r="Z56" s="732">
        <f>'Exogenous tax and expenses'!Z30/1000/'PIB corriente base 2004'!$X22</f>
        <v>4.3001533434985537E-4</v>
      </c>
      <c r="AA56" s="732">
        <f>'Exogenous tax and expenses'!AA30/1000/'PIB corriente base 2004'!X22</f>
        <v>2.6979480135393297E-3</v>
      </c>
      <c r="AB56" s="732">
        <f>'Exogenous tax and expenses'!AB30/1000/'PIB corriente base 2004'!X22</f>
        <v>6.9520391621970623E-3</v>
      </c>
      <c r="AC56" s="732">
        <f>'Exogenous tax and expenses'!AC30/1000/'PIB corriente base 2004'!$X22</f>
        <v>1.5558204318447749E-3</v>
      </c>
      <c r="AD56" s="732">
        <f>'Exogenous tax and expenses'!AD30/1000/'PIB corriente base 2004'!$X22</f>
        <v>2.6223455762509791E-3</v>
      </c>
      <c r="AE56" s="732">
        <f>'Exogenous tax and expenses'!AE30/1000/'PIB corriente base 2004'!$X22</f>
        <v>1.340707860010736E-3</v>
      </c>
      <c r="AF56" s="732">
        <f>'Exogenous tax and expenses'!AF30/1000/'PIB corriente base 2004'!$X22</f>
        <v>1.1542993870071799E-2</v>
      </c>
      <c r="AG56" s="732"/>
      <c r="AH56" s="732"/>
      <c r="AI56" s="732">
        <f t="shared" si="0"/>
        <v>1.5217611355898629E-2</v>
      </c>
      <c r="AJ56" s="735">
        <f>(SUM(Q30:X30)-SUM(Y30:AF30)-T30)/1000/'PIB corriente base 2004'!X22</f>
        <v>1.5880266757964036E-2</v>
      </c>
      <c r="AK56" s="735">
        <f t="shared" si="1"/>
        <v>6.6265540206540685E-4</v>
      </c>
      <c r="AL56" s="1"/>
      <c r="AM56" s="455"/>
      <c r="AN56" s="455"/>
      <c r="AO56" s="455"/>
      <c r="AP56" s="455"/>
      <c r="AQ56" s="455"/>
      <c r="AR56" s="455"/>
      <c r="AS56" s="455"/>
      <c r="AT56" s="455"/>
      <c r="AU56" s="455"/>
    </row>
    <row r="57" spans="1:47">
      <c r="A57">
        <f>'Cuenta Ahorro-Inversión-Financi'!AV98</f>
        <v>2010</v>
      </c>
      <c r="B57" s="1"/>
      <c r="C57" s="1"/>
      <c r="D57" s="702">
        <f>'Cuenta Ahorro-Inversión-Financi'!AW59</f>
        <v>-1.5803995730361203E-2</v>
      </c>
      <c r="E57" s="702">
        <f>'Cuenta Ahorro-Inversión-Financi'!AY98</f>
        <v>4.1123559159342866E-3</v>
      </c>
      <c r="F57" s="1"/>
      <c r="G57" s="1"/>
      <c r="H57" s="1"/>
      <c r="I57" s="1"/>
      <c r="J57" s="1"/>
      <c r="K57" s="1"/>
      <c r="L57" s="1"/>
      <c r="M57" s="1"/>
      <c r="N57" s="455">
        <f t="shared" si="3"/>
        <v>2.3904200693140313E-2</v>
      </c>
      <c r="O57" s="455">
        <f>(R30+S30+U30+V30+X30)/1000/'PIB corriente base 2004'!X22</f>
        <v>2.6621225917002271E-2</v>
      </c>
      <c r="P57" s="1"/>
      <c r="Q57" s="741"/>
      <c r="R57" s="741"/>
      <c r="S57" s="741"/>
      <c r="T57" s="741"/>
      <c r="U57" s="741"/>
      <c r="V57" s="741"/>
      <c r="W57" s="741"/>
      <c r="X57" s="741"/>
      <c r="Y57" s="732"/>
      <c r="Z57" s="732"/>
      <c r="AA57" s="732"/>
      <c r="AB57" s="732">
        <f>AC56+AB56+AA56</f>
        <v>1.1205807607581168E-2</v>
      </c>
      <c r="AC57" s="732"/>
      <c r="AD57" s="732"/>
      <c r="AE57" s="734"/>
      <c r="AF57" s="734"/>
      <c r="AG57" s="1"/>
      <c r="AH57" s="455"/>
      <c r="AI57" s="1"/>
      <c r="AJ57" s="1"/>
      <c r="AK57" s="455"/>
      <c r="AL57" s="455"/>
      <c r="AM57" s="455"/>
      <c r="AN57" s="455"/>
      <c r="AO57" s="455"/>
      <c r="AP57" s="455"/>
      <c r="AQ57" s="455"/>
      <c r="AR57" s="455"/>
      <c r="AS57" s="455"/>
    </row>
    <row r="58" spans="1:47">
      <c r="A58">
        <f>'Cuenta Ahorro-Inversión-Financi'!AV99</f>
        <v>2011</v>
      </c>
      <c r="B58" s="1"/>
      <c r="C58" s="1"/>
      <c r="D58" s="701">
        <f>'Cuenta Ahorro-Inversión-Financi'!AW60</f>
        <v>-1.6223235863456968E-2</v>
      </c>
      <c r="E58" s="701">
        <f>'Cuenta Ahorro-Inversión-Financi'!AY99</f>
        <v>3.2630790588100951E-3</v>
      </c>
      <c r="F58" s="1"/>
      <c r="G58" s="1"/>
      <c r="H58" s="1"/>
      <c r="I58" s="1"/>
      <c r="J58" s="1"/>
      <c r="K58" s="1"/>
      <c r="L58" s="1"/>
      <c r="M58" s="1"/>
      <c r="N58" s="455">
        <f>R56+T56+U56+V56+X56</f>
        <v>2.726820813006537E-2</v>
      </c>
      <c r="O58" s="455">
        <f>R30/1000/'PIB corriente base 2004'!X22+S30/1000/'PIB corriente base 2004'!X22+U30/1000/'PIB corriente base 2004'!X22+V30/1000/'PIB corriente base 2004'!X22+X30/1000/'PIB corriente base 2004'!X22</f>
        <v>2.6621225917002278E-2</v>
      </c>
      <c r="Q58" s="741"/>
      <c r="R58" s="741"/>
      <c r="S58" s="741"/>
      <c r="T58" s="741">
        <f>T56*0.2896</f>
        <v>2.314340204314951E-3</v>
      </c>
      <c r="U58" s="741"/>
      <c r="V58" s="741"/>
      <c r="W58" s="741"/>
      <c r="X58" s="741"/>
      <c r="Y58" s="732"/>
      <c r="Z58" s="732"/>
      <c r="AA58" s="732"/>
      <c r="AB58" s="732"/>
      <c r="AC58" s="742"/>
      <c r="AD58" s="742"/>
      <c r="AE58" s="734"/>
      <c r="AF58" s="734"/>
      <c r="AG58" s="1"/>
      <c r="AH58" s="1"/>
      <c r="AI58" s="1"/>
      <c r="AJ58" s="1"/>
      <c r="AK58" s="455"/>
      <c r="AL58" s="455"/>
      <c r="AM58" s="455"/>
      <c r="AN58" s="455"/>
      <c r="AO58" s="455"/>
      <c r="AP58" s="455"/>
      <c r="AQ58" s="455"/>
      <c r="AR58" s="455"/>
      <c r="AS58" s="455"/>
    </row>
    <row r="59" spans="1:47" ht="26.25">
      <c r="A59">
        <f>'Cuenta Ahorro-Inversión-Financi'!AV100</f>
        <v>2012</v>
      </c>
      <c r="B59" s="1"/>
      <c r="C59" s="1"/>
      <c r="D59" s="702">
        <f>'Cuenta Ahorro-Inversión-Financi'!AW61</f>
        <v>-1.9533585931480177E-2</v>
      </c>
      <c r="E59" s="702">
        <f>'Cuenta Ahorro-Inversión-Financi'!AY100</f>
        <v>1.0516175102900241E-3</v>
      </c>
      <c r="F59" s="819" t="s">
        <v>1041</v>
      </c>
      <c r="G59" s="819"/>
      <c r="H59" s="819"/>
      <c r="I59" s="819"/>
      <c r="J59" s="819"/>
      <c r="K59" s="819"/>
      <c r="L59" s="819" t="s">
        <v>1042</v>
      </c>
      <c r="M59" s="819"/>
      <c r="N59" s="819"/>
      <c r="O59" s="819"/>
      <c r="P59" s="819"/>
      <c r="Q59" s="819"/>
      <c r="R59" s="583"/>
      <c r="S59" s="1"/>
      <c r="T59" s="28">
        <f>T30*0.2869</f>
        <v>33397669.268016431</v>
      </c>
      <c r="U59" s="1"/>
      <c r="V59" s="454" t="s">
        <v>1043</v>
      </c>
      <c r="W59" s="1" t="s">
        <v>1044</v>
      </c>
      <c r="X59" s="1"/>
      <c r="Y59" s="1"/>
      <c r="Z59" s="1"/>
      <c r="AA59" s="1"/>
      <c r="AB59" s="1"/>
      <c r="AC59" s="1"/>
      <c r="AD59" s="1"/>
      <c r="AE59" s="455">
        <f>AVERAGE('Exogenous tax and expenses'!AG47:AG55)</f>
        <v>9.5880013047485932E-3</v>
      </c>
      <c r="AF59" s="1"/>
      <c r="AG59" s="1"/>
      <c r="AH59" s="1"/>
      <c r="AI59" s="1">
        <f>'Exogenous tax and expenses'!AL55+1</f>
        <v>2017</v>
      </c>
      <c r="AJ59" s="1"/>
      <c r="AK59" s="455">
        <f>'Exogenous tax and expenses'!AN29/1000/'PIB corriente base 2004'!X21</f>
        <v>5.2140395161831228E-2</v>
      </c>
      <c r="AL59" s="455">
        <f>'Exogenous tax and expenses'!AO29/1000/'PIB corriente base 2004'!X21</f>
        <v>7.1897810319769731E-2</v>
      </c>
      <c r="AM59" s="455">
        <f>'Exogenous tax and expenses'!AP29/1000/'PIB corriente base 2004'!X21</f>
        <v>9.6616000144441848E-3</v>
      </c>
      <c r="AN59" s="455">
        <f>'Exogenous tax and expenses'!AQ29/1000/'PIB corriente base 2004'!X21</f>
        <v>5.2848322225620861E-4</v>
      </c>
      <c r="AO59" s="455">
        <f>'Exogenous tax and expenses'!AR29/1000/'PIB corriente base 2004'!X21</f>
        <v>1.6236925657221495E-2</v>
      </c>
      <c r="AP59" s="455">
        <f>'Exogenous tax and expenses'!AS29/1000/'PIB corriente base 2004'!X21</f>
        <v>9.9053678793243542E-4</v>
      </c>
      <c r="AQ59" s="455">
        <f>'Exogenous tax and expenses'!AT29/1000/'PIB corriente base 2004'!X21</f>
        <v>1.5637900532243249E-2</v>
      </c>
      <c r="AR59" s="455">
        <f>'Exogenous tax and expenses'!AU29/1000/'PIB corriente base 2004'!X21</f>
        <v>1.0359687540638353E-2</v>
      </c>
      <c r="AS59" s="455">
        <f>'Exogenous tax and expenses'!AV29/1000/'PIB corriente base 2004'!X21</f>
        <v>0.11297360167706039</v>
      </c>
    </row>
    <row r="60" spans="1:47">
      <c r="A60">
        <f>'Cuenta Ahorro-Inversión-Financi'!AV101</f>
        <v>2013</v>
      </c>
      <c r="B60" s="1"/>
      <c r="C60" s="1"/>
      <c r="D60" s="701">
        <f>'Cuenta Ahorro-Inversión-Financi'!AW62</f>
        <v>-2.1099128494210036E-2</v>
      </c>
      <c r="E60" s="701">
        <f>'Cuenta Ahorro-Inversión-Financi'!AY101</f>
        <v>-9.5166855816117626E-4</v>
      </c>
      <c r="F60" s="1" t="s">
        <v>1045</v>
      </c>
      <c r="G60" s="1" t="s">
        <v>1046</v>
      </c>
      <c r="H60" s="1" t="s">
        <v>1047</v>
      </c>
      <c r="I60" s="1" t="s">
        <v>1048</v>
      </c>
      <c r="J60" s="1" t="s">
        <v>1049</v>
      </c>
      <c r="K60" s="1" t="s">
        <v>1050</v>
      </c>
      <c r="L60" s="1" t="s">
        <v>1045</v>
      </c>
      <c r="M60" s="1" t="s">
        <v>1051</v>
      </c>
      <c r="N60" s="1" t="s">
        <v>1047</v>
      </c>
      <c r="O60" s="1" t="s">
        <v>1052</v>
      </c>
      <c r="P60" s="1" t="s">
        <v>1049</v>
      </c>
      <c r="Q60" s="1" t="s">
        <v>1050</v>
      </c>
      <c r="R60" s="657">
        <f>AVERAGE('Exogenous tax and expenses'!R46:R56)</f>
        <v>7.6809856045032541E-4</v>
      </c>
      <c r="S60" s="657">
        <f>AVERAGE('Exogenous tax and expenses'!S46:S56)</f>
        <v>7.1898445654710874E-3</v>
      </c>
      <c r="T60" s="657">
        <f>AVERAGE('Exogenous tax and expenses'!T46:T55)*0.2869</f>
        <v>2.6488404432867107E-3</v>
      </c>
      <c r="U60" s="455">
        <f>AVERAGE('Exogenous tax and expenses'!U46:U56)/3</f>
        <v>1.5861055711979122E-4</v>
      </c>
      <c r="V60" s="455">
        <f>AVERAGE('Exogenous tax and expenses'!V46:V56)</f>
        <v>1.6462262635889253E-2</v>
      </c>
      <c r="W60" s="455">
        <f>AVERAGE('Exogenous tax and expenses'!W46:W56)</f>
        <v>1.5552160056394643E-2</v>
      </c>
      <c r="X60" s="455">
        <f>AVERAGE('Exogenous tax and expenses'!X46:X56)</f>
        <v>2.6851593365387464E-3</v>
      </c>
      <c r="Y60" s="455">
        <f>AVERAGE('Exogenous tax and expenses'!Y46:Y55)</f>
        <v>1.9129375374496074E-3</v>
      </c>
      <c r="Z60" s="455">
        <f>AVERAGE(Z49:Z56)</f>
        <v>3.8052808270353297E-4</v>
      </c>
      <c r="AA60" s="455">
        <f>AVERAGE('Exogenous tax and expenses'!AA46:AA55)</f>
        <v>2.6275501339975628E-3</v>
      </c>
      <c r="AB60" s="455">
        <f>AB56</f>
        <v>6.9520391621970623E-3</v>
      </c>
      <c r="AC60" s="455">
        <f>AVERAGE('Exogenous tax and expenses'!AC46:AC55)</f>
        <v>1.5253627768554421E-3</v>
      </c>
      <c r="AD60" s="455">
        <f>AD56</f>
        <v>2.6223455762509791E-3</v>
      </c>
      <c r="AE60" s="455"/>
      <c r="AF60" s="455">
        <f>AVERAGE('Exogenous tax and expenses'!AG47:AG55)/AVERAGE('Exogenous tax and expenses'!AH47:AH55)</f>
        <v>7.2078433514199028E-2</v>
      </c>
      <c r="AG60" s="455"/>
      <c r="AH60" s="1"/>
      <c r="AI60" s="1"/>
      <c r="AJ60" s="1"/>
      <c r="AK60" s="1"/>
      <c r="AL60" s="1"/>
      <c r="AM60" s="1"/>
      <c r="AN60" s="1"/>
      <c r="AO60" s="1"/>
      <c r="AP60" s="1"/>
      <c r="AQ60" s="1"/>
      <c r="AR60" s="1"/>
      <c r="AS60" s="1"/>
      <c r="AT60" s="1"/>
    </row>
    <row r="61" spans="1:47">
      <c r="B61" s="743"/>
      <c r="C61" s="1">
        <v>2014</v>
      </c>
      <c r="D61" s="702">
        <f>'Cuenta Ahorro-Inversión-Financi'!AW63</f>
        <v>-2.1741859491781389E-2</v>
      </c>
      <c r="E61" s="702">
        <f>'Cuenta Ahorro-Inversión-Financi'!AY102</f>
        <v>-1.2928637559684597E-3</v>
      </c>
      <c r="H61" s="744">
        <v>-1.9692504721512499E-2</v>
      </c>
      <c r="I61" s="745"/>
      <c r="J61" s="1"/>
      <c r="K61" s="1"/>
      <c r="L61" s="455"/>
      <c r="M61" s="1"/>
      <c r="N61" s="455">
        <f>'Exogenous tax and expenses'!H61+SUM('Exogenous tax and expenses'!Q52:S52)+'Exogenous tax and expenses'!W52+'Exogenous tax and expenses'!U52+'Cuenta Ahorro-Inversión-Financi'!L30/1000/'PIB corriente base 2004'!X18-SUM('Exogenous tax and expenses'!Y52:AD52)</f>
        <v>1.15825366281503E-3</v>
      </c>
      <c r="O61" s="1"/>
      <c r="P61" s="1"/>
      <c r="Q61" s="1"/>
      <c r="R61" s="657"/>
      <c r="S61" s="746"/>
      <c r="T61" s="455"/>
      <c r="U61" s="455"/>
      <c r="V61" s="455"/>
      <c r="W61" s="455"/>
      <c r="X61" s="455"/>
      <c r="Y61" s="455"/>
      <c r="Z61" s="455"/>
      <c r="AA61" s="455"/>
      <c r="AB61" s="455"/>
      <c r="AC61" s="455"/>
      <c r="AD61" s="1"/>
      <c r="AE61" s="455"/>
      <c r="AF61" s="1"/>
      <c r="AG61" s="1"/>
      <c r="AH61" s="1"/>
      <c r="AI61" s="1"/>
      <c r="AJ61" s="1"/>
      <c r="AK61" s="1"/>
      <c r="AL61" s="1"/>
      <c r="AM61" s="1"/>
      <c r="AN61" s="1"/>
      <c r="AO61" s="1"/>
      <c r="AP61" s="1"/>
      <c r="AQ61" s="1"/>
      <c r="AR61" s="1"/>
    </row>
    <row r="62" spans="1:47">
      <c r="B62" s="743"/>
      <c r="C62" s="1">
        <f>'Exogenous tax and expenses'!C61+1</f>
        <v>2015</v>
      </c>
      <c r="D62" s="701">
        <f>'Cuenta Ahorro-Inversión-Financi'!AW64</f>
        <v>-2.830905931781999E-2</v>
      </c>
      <c r="E62" s="701">
        <f>'Cuenta Ahorro-Inversión-Financi'!AY103</f>
        <v>-7.5073330617732078E-3</v>
      </c>
      <c r="H62" s="744">
        <v>-3.2874367663993001E-2</v>
      </c>
      <c r="I62" s="745"/>
      <c r="J62" s="1"/>
      <c r="K62" s="1"/>
      <c r="L62" s="1"/>
      <c r="M62" s="1"/>
      <c r="N62" s="455">
        <f>'Exogenous tax and expenses'!H62+SUM('Exogenous tax and expenses'!Q53:S53)+'Exogenous tax and expenses'!W53+'Exogenous tax and expenses'!U53+'Cuenta Ahorro-Inversión-Financi'!L31/1000/'PIB corriente base 2004'!X19-SUM('Exogenous tax and expenses'!Y53:AD53)</f>
        <v>-1.1632605873130844E-2</v>
      </c>
      <c r="O62" s="1"/>
      <c r="P62" s="1"/>
      <c r="Q62" s="1"/>
      <c r="R62" s="657"/>
      <c r="S62" s="657"/>
      <c r="T62" s="455"/>
      <c r="U62" s="455"/>
      <c r="V62" s="455"/>
      <c r="W62" s="455"/>
      <c r="X62" s="455"/>
      <c r="Y62" s="455"/>
      <c r="Z62" s="455"/>
      <c r="AA62" s="455"/>
      <c r="AB62" s="455"/>
      <c r="AC62" s="455"/>
      <c r="AD62" s="1"/>
      <c r="AE62" s="455"/>
      <c r="AF62" s="1"/>
      <c r="AG62" s="1"/>
      <c r="AH62" s="1"/>
      <c r="AI62" s="1"/>
      <c r="AJ62" s="1"/>
      <c r="AK62" s="1"/>
      <c r="AL62" s="1"/>
      <c r="AM62" s="1"/>
      <c r="AN62" s="1"/>
      <c r="AO62" s="1"/>
      <c r="AP62" s="1"/>
      <c r="AQ62" s="1"/>
      <c r="AR62" s="1"/>
    </row>
    <row r="63" spans="1:47">
      <c r="B63" s="743"/>
      <c r="C63" s="1">
        <f>'Exogenous tax and expenses'!C62+1</f>
        <v>2016</v>
      </c>
      <c r="D63" s="702">
        <f>'Cuenta Ahorro-Inversión-Financi'!AW65</f>
        <v>-3.2633713730394545E-2</v>
      </c>
      <c r="E63" s="702">
        <f>'Cuenta Ahorro-Inversión-Financi'!AZ104</f>
        <v>-2.0346799695848929E-2</v>
      </c>
      <c r="H63" s="744">
        <v>-3.2769767104184097E-2</v>
      </c>
      <c r="I63" s="744">
        <v>-3.2809735076633303E-2</v>
      </c>
      <c r="J63" s="1"/>
      <c r="K63" s="1"/>
      <c r="L63" s="1"/>
      <c r="M63" s="1"/>
      <c r="N63" s="455">
        <f>'Exogenous tax and expenses'!H63+SUM('Exogenous tax and expenses'!Q54:S54)+'Exogenous tax and expenses'!W54+'Exogenous tax and expenses'!U54+'Cuenta Ahorro-Inversión-Financi'!L32/1000/'PIB corriente base 2004'!X20-SUM('Exogenous tax and expenses'!Y54:AD54)</f>
        <v>-1.3883743739351206E-2</v>
      </c>
      <c r="O63" s="455">
        <f>'Exogenous tax and expenses'!I63+SUM('Exogenous tax and expenses'!Q54:S54)+'Exogenous tax and expenses'!W54+'Exogenous tax and expenses'!U54+'Cuenta Ahorro-Inversión-Financi'!L32/1000/'PIB corriente base 2004'!X20-SUM('Exogenous tax and expenses'!Y54:AF54)</f>
        <v>-1.9198276131218495E-2</v>
      </c>
      <c r="P63" s="1"/>
      <c r="Q63" s="1"/>
      <c r="R63" s="657"/>
      <c r="S63" s="657"/>
      <c r="T63" s="455"/>
      <c r="U63" s="455"/>
      <c r="V63" s="455"/>
      <c r="W63" s="455"/>
      <c r="X63" s="455"/>
      <c r="Y63" s="455"/>
      <c r="Z63" s="455"/>
      <c r="AA63" s="455"/>
      <c r="AB63" s="455"/>
      <c r="AC63" s="455"/>
      <c r="AD63" s="1"/>
      <c r="AE63" s="455"/>
      <c r="AF63" s="1"/>
      <c r="AG63" s="1"/>
      <c r="AH63" s="1"/>
      <c r="AI63" s="1"/>
      <c r="AJ63" s="1"/>
      <c r="AK63" s="1"/>
      <c r="AL63" s="1"/>
      <c r="AM63" s="1"/>
      <c r="AN63" s="1"/>
      <c r="AO63" s="1"/>
      <c r="AP63" s="1"/>
      <c r="AQ63" s="1"/>
      <c r="AR63" s="1"/>
    </row>
    <row r="64" spans="1:47">
      <c r="B64" s="743"/>
      <c r="C64" s="1">
        <f>'Exogenous tax and expenses'!C63+1</f>
        <v>2017</v>
      </c>
      <c r="D64" s="701">
        <f>'Cuenta Ahorro-Inversión-Financi'!AW66</f>
        <v>-3.2329961851876914E-2</v>
      </c>
      <c r="E64" s="701">
        <f>'Cuenta Ahorro-Inversión-Financi'!AZ105</f>
        <v>-2.4104702008189635E-2</v>
      </c>
      <c r="F64" s="747">
        <v>-3.6563964922451599E-2</v>
      </c>
      <c r="G64" s="747">
        <v>-3.7107579581564402E-2</v>
      </c>
      <c r="H64" s="744">
        <v>-3.6570287279404902E-2</v>
      </c>
      <c r="I64" s="744">
        <v>-3.7113901938517699E-2</v>
      </c>
      <c r="J64" s="455">
        <v>-3.6559160254587497E-2</v>
      </c>
      <c r="K64" s="455">
        <v>-3.7102774913700398E-2</v>
      </c>
      <c r="L64" s="455"/>
      <c r="M64" s="455"/>
      <c r="N64" s="455">
        <f>'Exogenous tax and expenses'!$H64+SUM('Exogenous tax and expenses'!Q55:S55)+'Exogenous tax and expenses'!W55+'Exogenous tax and expenses'!U55+'Cuenta Ahorro-Inversión-Financi'!L33/1000/'PIB corriente base 2004'!X21-SUM('Exogenous tax and expenses'!Y55:AD55)</f>
        <v>-1.7169519572360282E-2</v>
      </c>
      <c r="O64" s="455">
        <f>'Exogenous tax and expenses'!I64+SUM('Exogenous tax and expenses'!Q55:S55)+'Exogenous tax and expenses'!W55+'Exogenous tax and expenses'!U55+'Cuenta Ahorro-Inversión-Financi'!L33/1000/'PIB corriente base 2004'!X21-SUM('Exogenous tax and expenses'!Y55:AF55)</f>
        <v>-2.6057443821146609E-2</v>
      </c>
      <c r="P64" s="1"/>
      <c r="Q64" s="1"/>
      <c r="R64" s="657"/>
      <c r="S64" s="657"/>
      <c r="T64" s="455"/>
      <c r="U64" s="455"/>
      <c r="V64" s="455"/>
      <c r="W64" s="455"/>
      <c r="X64" s="455"/>
      <c r="Y64" s="455"/>
      <c r="Z64" s="455"/>
      <c r="AA64" s="455"/>
      <c r="AB64" s="455"/>
      <c r="AC64" s="455"/>
      <c r="AD64" s="1"/>
      <c r="AE64" s="455"/>
      <c r="AF64" s="1"/>
      <c r="AG64" s="1"/>
      <c r="AH64" s="1"/>
      <c r="AI64" s="1"/>
      <c r="AJ64" s="1"/>
      <c r="AK64" s="1"/>
      <c r="AL64" s="1"/>
      <c r="AM64" s="1"/>
      <c r="AN64" s="1"/>
      <c r="AO64" s="1"/>
      <c r="AP64" s="1"/>
      <c r="AQ64" s="1"/>
      <c r="AR64" s="1"/>
    </row>
    <row r="65" spans="2:44">
      <c r="B65" s="743"/>
      <c r="C65" s="1">
        <v>2018</v>
      </c>
      <c r="D65" s="702">
        <f>'Cuenta Ahorro-Inversión-Financi'!AW67</f>
        <v>-3.3489409156111087E-2</v>
      </c>
      <c r="E65" s="702">
        <f>'Cuenta Ahorro-Inversión-Financi'!AZ106</f>
        <v>-1.8271797800212458E-2</v>
      </c>
      <c r="F65" s="747">
        <v>-3.5763229135361098E-2</v>
      </c>
      <c r="G65" s="747">
        <v>-3.67149758741444E-2</v>
      </c>
      <c r="H65" s="744">
        <v>-3.5809277647813102E-2</v>
      </c>
      <c r="I65" s="744">
        <v>-3.6761024386596397E-2</v>
      </c>
      <c r="J65" s="455">
        <v>-3.6616948084882799E-2</v>
      </c>
      <c r="K65" s="455">
        <v>-3.75686948236661E-2</v>
      </c>
      <c r="L65" s="455">
        <f>'Exogenous tax and expenses'!F65+SUM('Exogenous tax and expenses'!Q56:W56)+'Cuenta Ahorro-Inversión-Financi'!L34/1000/'PIB corriente base 2004'!X22-SUM('Exogenous tax and expenses'!Y56:AD56)-T56</f>
        <v>-6.9992606473145286E-3</v>
      </c>
      <c r="M65" s="455">
        <f>'Exogenous tax and expenses'!G65+SUM('Exogenous tax and expenses'!Q56:W56)+'Cuenta Ahorro-Inversión-Financi'!L34/1000/'PIB corriente base 2004'!X22-SUM('Exogenous tax and expenses'!Y56:AF56)-T56</f>
        <v>-2.0834709116180367E-2</v>
      </c>
      <c r="N65" s="455">
        <f>'Exogenous tax and expenses'!H65+SUM('Exogenous tax and expenses'!Q56:W56)+'Cuenta Ahorro-Inversión-Financi'!L34/1000/'PIB corriente base 2004'!X22-SUM('Exogenous tax and expenses'!Y56:AD56)-T56</f>
        <v>-7.0453091597665329E-3</v>
      </c>
      <c r="O65" s="455">
        <f>'Exogenous tax and expenses'!I65+SUM('Exogenous tax and expenses'!Q56:W56)+'Cuenta Ahorro-Inversión-Financi'!L34/1000/'PIB corriente base 2004'!X22-SUM('Exogenous tax and expenses'!Y56:AF56)-T56</f>
        <v>-2.0880757628632365E-2</v>
      </c>
      <c r="P65" s="455">
        <f>'Exogenous tax and expenses'!J65+SUM('Exogenous tax and expenses'!Q56:W56)+'Cuenta Ahorro-Inversión-Financi'!L34/1000/'PIB corriente base 2004'!X22-SUM('Exogenous tax and expenses'!Y56:AD56)-T56</f>
        <v>-7.8529795968362293E-3</v>
      </c>
      <c r="Q65" s="455">
        <f>'Exogenous tax and expenses'!K65+SUM('Exogenous tax and expenses'!Q56:W56)+'Cuenta Ahorro-Inversión-Financi'!L34/1000/'PIB corriente base 2004'!X22-SUM('Exogenous tax and expenses'!Y56:AF56)-T56</f>
        <v>-2.1688428065702071E-2</v>
      </c>
      <c r="R65" s="657"/>
      <c r="S65" s="657"/>
      <c r="T65" s="455"/>
      <c r="U65" s="455"/>
      <c r="V65" s="455"/>
      <c r="W65" s="455"/>
      <c r="X65" s="455"/>
      <c r="Y65" s="455"/>
      <c r="Z65" s="455"/>
      <c r="AA65" s="455"/>
      <c r="AB65" s="455"/>
      <c r="AC65" s="455"/>
      <c r="AD65" s="455">
        <f>'Exogenous tax and expenses'!AF60*'Exogenous tax and expenses'!AH55</f>
        <v>1.0534556349021404E-2</v>
      </c>
      <c r="AE65" s="455">
        <f>('Exogenous tax and expenses'!AH55+'Exogenous tax and expenses'!AD65+'Exogenous tax and expenses'!O92)</f>
        <v>0.14655824044489046</v>
      </c>
      <c r="AF65" s="455">
        <f>'Exogenous tax and expenses'!AD65+'Exogenous tax and expenses'!N92</f>
        <v>1.304171392513525E-3</v>
      </c>
      <c r="AG65" s="455"/>
      <c r="AH65" s="1"/>
      <c r="AI65" s="1"/>
      <c r="AJ65" s="1"/>
      <c r="AK65" s="1"/>
      <c r="AL65" s="1"/>
      <c r="AM65" s="1"/>
      <c r="AN65" s="1"/>
      <c r="AO65" s="1"/>
      <c r="AP65" s="1"/>
      <c r="AQ65" s="1"/>
      <c r="AR65" s="1"/>
    </row>
    <row r="66" spans="2:44">
      <c r="B66" s="743" t="s">
        <v>1053</v>
      </c>
      <c r="C66" s="1">
        <f>'Exogenous tax and expenses'!C65+1</f>
        <v>2019</v>
      </c>
      <c r="D66" s="701"/>
      <c r="E66" s="701"/>
      <c r="F66" s="747">
        <v>-3.6459782911971897E-2</v>
      </c>
      <c r="G66" s="747">
        <v>-3.7318050924186399E-2</v>
      </c>
      <c r="H66" s="744">
        <v>-3.6525418175620002E-2</v>
      </c>
      <c r="I66" s="744">
        <v>-3.7383686187834601E-2</v>
      </c>
      <c r="J66" s="455">
        <v>-3.7073435601666697E-2</v>
      </c>
      <c r="K66" s="455">
        <v>-3.7924905006946799E-2</v>
      </c>
      <c r="L66" s="455">
        <f>'Exogenous tax and expenses'!F66+$S$60+$T$60+$U$60+$V$60+$W$60-$Y$60-$AA$60-$AB$60-$AC$60-$AD$60</f>
        <v>-1.0088299840561064E-2</v>
      </c>
      <c r="M66" s="455">
        <f>'Exogenous tax and expenses'!G66+$S$60+$T$60+$U$60+$V$60+$W$60-$Y$60-$AA$60-$AB$60-$AC$60-$AD$60-$W$60*12/15</f>
        <v>-2.3388295897891279E-2</v>
      </c>
      <c r="N66" s="455">
        <f>'Exogenous tax and expenses'!H66+$S$60+$T$60+$U$60+$V$60+$W$60-$Y$60-$AA$60-$AB$60-$AC$60-$AD$60</f>
        <v>-1.0153935104209168E-2</v>
      </c>
      <c r="O66" s="455">
        <f>'Exogenous tax and expenses'!I66+$S$60+$T$60+$U$60+$V$60+$W$60-$Y$60-$AA$60-$AB$60-$AC$60-$AD$60-$W$60*12/15</f>
        <v>-2.345393116153948E-2</v>
      </c>
      <c r="P66" s="455">
        <f>'Exogenous tax and expenses'!J66+$S$60+$T$60+$U$60+$V$60+$W$60-$Y$60-$AA$60-$AB$60-$AC$60-$AD$60</f>
        <v>-1.0701952530255864E-2</v>
      </c>
      <c r="Q66" s="455">
        <f>'Exogenous tax and expenses'!K66+$S$60+$T$60+$U$60+$V$60+$W$60-$Y$60-$AA$60-$AB$60-$AC$60-$AD$60-$W$60*12/15</f>
        <v>-2.3995149980651678E-2</v>
      </c>
      <c r="R66" s="657"/>
      <c r="S66" s="657"/>
      <c r="T66" s="455"/>
      <c r="U66" s="455"/>
      <c r="V66" s="455"/>
      <c r="W66" s="455"/>
      <c r="X66" s="455"/>
      <c r="Y66" s="455"/>
      <c r="Z66" s="455"/>
      <c r="AA66" s="455"/>
      <c r="AB66" s="455"/>
      <c r="AC66" s="455"/>
      <c r="AD66" s="455">
        <f>'Exogenous tax and expenses'!AF60*'Exogenous tax and expenses'!AE65</f>
        <v>1.0563688389865033E-2</v>
      </c>
      <c r="AE66" s="455">
        <f>('Exogenous tax and expenses'!AE65+'Exogenous tax and expenses'!AD66+'Exogenous tax and expenses'!O93)</f>
        <v>0.1392308524280616</v>
      </c>
      <c r="AF66" s="455">
        <f>'Exogenous tax and expenses'!AD66+'Exogenous tax and expenses'!N93</f>
        <v>-6.0273880168288576E-3</v>
      </c>
      <c r="AG66" s="455"/>
      <c r="AH66" s="1"/>
      <c r="AI66" s="1"/>
      <c r="AJ66" s="1">
        <f>'Exogenous tax and expenses'!AJ65+1</f>
        <v>1</v>
      </c>
      <c r="AK66" s="1"/>
      <c r="AL66" s="1"/>
      <c r="AM66" s="1"/>
      <c r="AN66" s="1"/>
      <c r="AO66" s="1"/>
      <c r="AP66" s="1"/>
      <c r="AQ66" s="1"/>
      <c r="AR66" s="1"/>
    </row>
    <row r="67" spans="2:44">
      <c r="B67" s="743"/>
      <c r="C67" s="1">
        <f>'Exogenous tax and expenses'!C66+1</f>
        <v>2020</v>
      </c>
      <c r="D67" s="701"/>
      <c r="E67" s="701"/>
      <c r="F67" s="747">
        <v>-3.7402774631339702E-2</v>
      </c>
      <c r="G67" s="747">
        <v>-3.8520524100006399E-2</v>
      </c>
      <c r="H67" s="744">
        <v>-3.7019997435329202E-2</v>
      </c>
      <c r="I67" s="744">
        <v>-3.8138560042437201E-2</v>
      </c>
      <c r="J67" s="455">
        <v>-3.5133424205926501E-2</v>
      </c>
      <c r="K67" s="455">
        <v>-3.6246596574846801E-2</v>
      </c>
      <c r="L67" s="455">
        <f>'Exogenous tax and expenses'!F67+$S$60+$T$60+$U$60+$V$60+$W$60-$Y$60-$AA$60-$AB$60-$AC$60-$AD$60</f>
        <v>-1.1031291559928869E-2</v>
      </c>
      <c r="M67" s="455">
        <f>'Exogenous tax and expenses'!G67+$S$60+$T$60+$U$60+$V$60+$W$60-$Y$60-$AA$60-$AB$60-$AC$60-$AD$60-$W$60*15/15</f>
        <v>-2.7701201084990211E-2</v>
      </c>
      <c r="N67" s="455">
        <f>'Exogenous tax and expenses'!H67+$S$60+$T$60+$U$60+$V$60+$W$60-$Y$60-$AA$60-$AB$60-$AC$60-$AD$60</f>
        <v>-1.0648514363918369E-2</v>
      </c>
      <c r="O67" s="455">
        <f>'Exogenous tax and expenses'!I67+$S$60+$T$60+$U$60+$V$60+$W$60-$Y$60-$AA$60-$AB$60-$AC$60-$AD$60-$W$60*15/15</f>
        <v>-2.7319237027421013E-2</v>
      </c>
      <c r="P67" s="455">
        <f>'Exogenous tax and expenses'!J67+$S$60+$T$60+$U$60+$V$60+$W$60-$Y$60-$AA$60-$AB$60-$AC$60-$AD$60</f>
        <v>-8.7619411345156682E-3</v>
      </c>
      <c r="Q67" s="455">
        <f>'Exogenous tax and expenses'!K67+$S$60+$T$60+$U$60+$V$60+$W$60-$Y$60-$AA$60-$AB$60-$AC$60-$AD$60-$W$60*15/15</f>
        <v>-2.5427273559830613E-2</v>
      </c>
      <c r="R67" s="657"/>
      <c r="S67" s="657"/>
      <c r="T67" s="455"/>
      <c r="U67" s="455"/>
      <c r="V67" s="455"/>
      <c r="W67" s="455"/>
      <c r="X67" s="455"/>
      <c r="Y67" s="455"/>
      <c r="Z67" s="455"/>
      <c r="AA67" s="455"/>
      <c r="AB67" s="455"/>
      <c r="AC67" s="455"/>
      <c r="AD67" s="455">
        <f>'Exogenous tax and expenses'!AE66*0.0696</f>
        <v>9.6904673289930875E-3</v>
      </c>
      <c r="AE67" s="455">
        <f>('Exogenous tax and expenses'!AE66+'Exogenous tax and expenses'!AD67+'Exogenous tax and expenses'!O94)</f>
        <v>0.12433779082318294</v>
      </c>
      <c r="AF67" s="455">
        <f>'Exogenous tax and expenses'!AD67+'Exogenous tax and expenses'!N94</f>
        <v>-1.3293061604878652E-2</v>
      </c>
      <c r="AG67" s="455"/>
      <c r="AH67" s="1"/>
      <c r="AI67" s="1"/>
      <c r="AJ67" s="1">
        <f>'Exogenous tax and expenses'!AJ66+1</f>
        <v>2</v>
      </c>
      <c r="AK67" s="1"/>
      <c r="AL67" s="1"/>
      <c r="AM67" s="1"/>
      <c r="AN67" s="1"/>
      <c r="AO67" s="1"/>
      <c r="AP67" s="1"/>
      <c r="AQ67" s="1"/>
      <c r="AR67" s="1"/>
    </row>
    <row r="68" spans="2:44">
      <c r="B68" s="743"/>
      <c r="C68" s="1">
        <f>'Exogenous tax and expenses'!C67+1</f>
        <v>2021</v>
      </c>
      <c r="D68" s="701"/>
      <c r="E68" s="701"/>
      <c r="F68" s="747">
        <v>-4.4228445687878801E-2</v>
      </c>
      <c r="G68" s="747">
        <v>-4.5764778415114601E-2</v>
      </c>
      <c r="H68" s="744">
        <v>-4.2427483321216E-2</v>
      </c>
      <c r="I68" s="744">
        <v>-4.3970977430338599E-2</v>
      </c>
      <c r="J68" s="455">
        <v>-3.82079180664949E-2</v>
      </c>
      <c r="K68" s="455">
        <v>-3.9753631974375099E-2</v>
      </c>
      <c r="L68" s="455">
        <f>'Exogenous tax and expenses'!F68+$S$60+$T$60+$U$60+$V$60+$W$60-$Y$60-$AA$60-$AB$60-$AC$60-$AD$60</f>
        <v>-1.7856962616467964E-2</v>
      </c>
      <c r="M68" s="455">
        <f>'Exogenous tax and expenses'!G68+$S$60+$T$60+$U$60+$V$60+$W$60-$Y$60-$AA$60-$AB$60-$AC$60-$AD$60-$W$60*15/15</f>
        <v>-3.4945455400098413E-2</v>
      </c>
      <c r="N68" s="455">
        <f>'Exogenous tax and expenses'!H68+$S$60+$T$60+$U$60+$V$60+$W$60-$Y$60-$AA$60-$AB$60-$AC$60-$AD$60</f>
        <v>-1.6056000249805163E-2</v>
      </c>
      <c r="O68" s="455">
        <f>'Exogenous tax and expenses'!I68+$S$60+$T$60+$U$60+$V$60+$W$60-$Y$60-$AA$60-$AB$60-$AC$60-$AD$60-$W$60*15/15</f>
        <v>-3.3151654415322404E-2</v>
      </c>
      <c r="P68" s="455">
        <f>'Exogenous tax and expenses'!J68+$S$60+$T$60+$U$60+$V$60+$W$60-$Y$60-$AA$60-$AB$60-$AC$60-$AD$60</f>
        <v>-1.1836434995084067E-2</v>
      </c>
      <c r="Q68" s="455">
        <f>'Exogenous tax and expenses'!K68+$S$60+$T$60+$U$60+$V$60+$W$60-$Y$60-$AA$60-$AB$60-$AC$60-$AD$60-$W$60*15/15</f>
        <v>-2.8934308959358911E-2</v>
      </c>
      <c r="R68" s="657"/>
      <c r="S68" s="657"/>
      <c r="T68" s="455"/>
      <c r="U68" s="455"/>
      <c r="V68" s="455"/>
      <c r="W68" s="455"/>
      <c r="X68" s="455"/>
      <c r="Y68" s="455"/>
      <c r="Z68" s="455"/>
      <c r="AA68" s="455"/>
      <c r="AB68" s="455"/>
      <c r="AC68" s="455"/>
      <c r="AD68" s="455">
        <f>'Exogenous tax and expenses'!AE67*0.0696</f>
        <v>8.6539102412935328E-3</v>
      </c>
      <c r="AE68" s="455">
        <f>('Exogenous tax and expenses'!AE67+'Exogenous tax and expenses'!AD68+'Exogenous tax and expenses'!O95)</f>
        <v>0.10331571960342688</v>
      </c>
      <c r="AF68" s="455">
        <f>'Exogenous tax and expenses'!AD68+'Exogenous tax and expenses'!N95</f>
        <v>-1.8922071219756059E-2</v>
      </c>
      <c r="AG68" s="455"/>
      <c r="AH68" s="1"/>
      <c r="AI68" s="1"/>
      <c r="AJ68" s="1">
        <f>'Exogenous tax and expenses'!AJ67+1</f>
        <v>3</v>
      </c>
      <c r="AK68" s="1"/>
      <c r="AL68" s="1"/>
      <c r="AM68" s="1"/>
      <c r="AN68" s="1"/>
      <c r="AO68" s="1"/>
      <c r="AP68" s="1"/>
      <c r="AQ68" s="1"/>
      <c r="AR68" s="1"/>
    </row>
    <row r="69" spans="2:44">
      <c r="B69" s="743"/>
      <c r="C69" s="1">
        <f>'Exogenous tax and expenses'!C68+1</f>
        <v>2022</v>
      </c>
      <c r="D69" s="701"/>
      <c r="E69" s="701"/>
      <c r="F69" s="747">
        <v>-4.86890568314624E-2</v>
      </c>
      <c r="G69" s="747">
        <v>-5.06250125633642E-2</v>
      </c>
      <c r="H69" s="744">
        <v>-4.6197506993216203E-2</v>
      </c>
      <c r="I69" s="744">
        <v>-4.8177018712303003E-2</v>
      </c>
      <c r="J69" s="455">
        <v>-4.0934831071331799E-2</v>
      </c>
      <c r="K69" s="455">
        <v>-4.2869797278495402E-2</v>
      </c>
      <c r="L69" s="455">
        <f>'Exogenous tax and expenses'!F69+$S$60+$T$60+$U$60+$V$60+$W$60-$Y$60-$AA$60-$AB$60-$AC$60-$AD$60</f>
        <v>-2.2317573760051567E-2</v>
      </c>
      <c r="M69" s="455">
        <f>'Exogenous tax and expenses'!G69+$S$60+$T$60+$U$60+$V$60+$W$60-$Y$60-$AA$60-$AB$60-$AC$60-$AD$60-$W$60*15/15</f>
        <v>-3.9805689548348011E-2</v>
      </c>
      <c r="N69" s="455">
        <f>'Exogenous tax and expenses'!H69+$S$60+$T$60+$U$60+$V$60+$W$60-$Y$60-$AA$60-$AB$60-$AC$60-$AD$60</f>
        <v>-1.982602392180537E-2</v>
      </c>
      <c r="O69" s="455">
        <f>'Exogenous tax and expenses'!I69+$S$60+$T$60+$U$60+$V$60+$W$60-$Y$60-$AA$60-$AB$60-$AC$60-$AD$60-$W$60*15/15</f>
        <v>-3.7357695697286815E-2</v>
      </c>
      <c r="P69" s="455">
        <f>'Exogenous tax and expenses'!J69+$S$60+$T$60+$U$60+$V$60+$W$60-$Y$60-$AA$60-$AB$60-$AC$60-$AD$60</f>
        <v>-1.4563347999920966E-2</v>
      </c>
      <c r="Q69" s="455">
        <f>'Exogenous tax and expenses'!K69+$S$60+$T$60+$U$60+$V$60+$W$60-$Y$60-$AA$60-$AB$60-$AC$60-$AD$60-$W$60*15/15</f>
        <v>-3.2050474263479206E-2</v>
      </c>
      <c r="R69" s="657"/>
      <c r="S69" s="657"/>
      <c r="T69" s="455"/>
      <c r="U69" s="455"/>
      <c r="V69" s="455"/>
      <c r="W69" s="455"/>
      <c r="X69" s="455"/>
      <c r="Y69" s="455"/>
      <c r="Z69" s="455"/>
      <c r="AA69" s="455"/>
      <c r="AB69" s="455"/>
      <c r="AC69" s="455"/>
      <c r="AD69" s="455">
        <f>'Exogenous tax and expenses'!AE68*0.0696</f>
        <v>7.1907740843985104E-3</v>
      </c>
      <c r="AE69" s="455">
        <f>('Exogenous tax and expenses'!AE68+'Exogenous tax and expenses'!AD69+'Exogenous tax and expenses'!O96)</f>
        <v>7.5738059699597945E-2</v>
      </c>
      <c r="AF69" s="455">
        <f>'Exogenous tax and expenses'!AD69+'Exogenous tax and expenses'!N96</f>
        <v>-2.5077659903828934E-2</v>
      </c>
      <c r="AG69" s="455"/>
      <c r="AH69" s="1"/>
      <c r="AI69" s="1"/>
      <c r="AJ69" s="1">
        <f>'Exogenous tax and expenses'!AJ68+1</f>
        <v>4</v>
      </c>
      <c r="AK69" s="1"/>
      <c r="AL69" s="1"/>
      <c r="AM69" s="1"/>
      <c r="AN69" s="1"/>
      <c r="AO69" s="1"/>
      <c r="AP69" s="1"/>
      <c r="AQ69" s="1"/>
      <c r="AR69" s="1"/>
    </row>
    <row r="70" spans="2:44">
      <c r="B70" s="743"/>
      <c r="C70" s="1">
        <f>'Exogenous tax and expenses'!C69+1</f>
        <v>2023</v>
      </c>
      <c r="D70" s="701"/>
      <c r="E70" s="701"/>
      <c r="F70" s="747">
        <v>-5.0407350125001797E-2</v>
      </c>
      <c r="G70" s="747">
        <v>-5.2664288363803602E-2</v>
      </c>
      <c r="H70" s="744">
        <v>-4.5310928060502201E-2</v>
      </c>
      <c r="I70" s="744">
        <v>-4.7574251706687803E-2</v>
      </c>
      <c r="J70" s="455">
        <v>-4.0156949210000403E-2</v>
      </c>
      <c r="K70" s="455">
        <v>-4.2405981091193097E-2</v>
      </c>
      <c r="L70" s="455">
        <f>'Exogenous tax and expenses'!F70+$S$60+$T$60+$U$60+$V$60+$W$60-$Y$60-$AA$60-$AB$60-$AC$60-$AD$60</f>
        <v>-2.4035867053590964E-2</v>
      </c>
      <c r="M70" s="455">
        <f>'Exogenous tax and expenses'!G70+$S$60+$T$60+$U$60+$V$60+$W$60-$Y$60-$AA$60-$AB$60-$AC$60-$AD$60-$W$60*15/15</f>
        <v>-4.1844965348787413E-2</v>
      </c>
      <c r="N70" s="455">
        <f>'Exogenous tax and expenses'!H70+$S$60+$T$60+$U$60+$V$60+$W$60-$Y$60-$AA$60-$AB$60-$AC$60-$AD$60</f>
        <v>-1.8939444989091368E-2</v>
      </c>
      <c r="O70" s="455">
        <f>'Exogenous tax and expenses'!I70+$S$60+$T$60+$U$60+$V$60+$W$60-$Y$60-$AA$60-$AB$60-$AC$60-$AD$60-$W$60*15/15</f>
        <v>-3.6754928691671615E-2</v>
      </c>
      <c r="P70" s="455">
        <f>'Exogenous tax and expenses'!J70+$S$60+$T$60+$U$60+$V$60+$W$60-$Y$60-$AA$60-$AB$60-$AC$60-$AD$60</f>
        <v>-1.378546613858957E-2</v>
      </c>
      <c r="Q70" s="455">
        <f>'Exogenous tax and expenses'!K70+$S$60+$T$60+$U$60+$V$60+$W$60-$Y$60-$AA$60-$AB$60-$AC$60-$AD$60-$W$60*15/15</f>
        <v>-3.1586658076176902E-2</v>
      </c>
      <c r="R70" s="657"/>
      <c r="S70" s="657"/>
      <c r="T70" s="455"/>
      <c r="U70" s="455"/>
      <c r="V70" s="455"/>
      <c r="W70" s="455"/>
      <c r="X70" s="455"/>
      <c r="Y70" s="455"/>
      <c r="Z70" s="455"/>
      <c r="AA70" s="455"/>
      <c r="AB70" s="455"/>
      <c r="AC70" s="455"/>
      <c r="AD70" s="455">
        <f>'Exogenous tax and expenses'!AE69*0.0696</f>
        <v>5.271368955092017E-3</v>
      </c>
      <c r="AE70" s="455">
        <f>('Exogenous tax and expenses'!AE69+'Exogenous tax and expenses'!AD70+'Exogenous tax and expenses'!O97)</f>
        <v>4.8240994666462519E-2</v>
      </c>
      <c r="AF70" s="455">
        <f>'Exogenous tax and expenses'!AD70+'Exogenous tax and expenses'!N97</f>
        <v>-2.4697065033135429E-2</v>
      </c>
      <c r="AG70" s="455"/>
      <c r="AH70" s="1"/>
      <c r="AI70" s="1"/>
      <c r="AJ70" s="1">
        <f>'Exogenous tax and expenses'!AJ69+1</f>
        <v>5</v>
      </c>
      <c r="AK70" s="1"/>
      <c r="AL70" s="1"/>
      <c r="AM70" s="1"/>
      <c r="AN70" s="1"/>
      <c r="AO70" s="1"/>
      <c r="AP70" s="1"/>
      <c r="AQ70" s="1"/>
      <c r="AR70" s="1"/>
    </row>
    <row r="71" spans="2:44">
      <c r="B71" s="743"/>
      <c r="C71" s="1">
        <f>'Exogenous tax and expenses'!C70+1</f>
        <v>2024</v>
      </c>
      <c r="D71" s="701"/>
      <c r="E71" s="701"/>
      <c r="F71" s="747">
        <v>-5.0906686936759003E-2</v>
      </c>
      <c r="G71" s="747">
        <v>-5.35173174380493E-2</v>
      </c>
      <c r="H71" s="748">
        <v>-4.4443916516630502E-2</v>
      </c>
      <c r="I71" s="748">
        <v>-4.70565718617647E-2</v>
      </c>
      <c r="J71" s="455">
        <v>-3.9079594571928097E-2</v>
      </c>
      <c r="K71" s="455">
        <v>-4.1677256655283899E-2</v>
      </c>
      <c r="L71" s="455">
        <f>'Exogenous tax and expenses'!F71+$S$60+$T$60+$U$60+$V$60+$W$60-$Y$60-$AA$60-$AB$60-$AC$60-$AD$60</f>
        <v>-2.453520386534817E-2</v>
      </c>
      <c r="M71" s="455">
        <f>'Exogenous tax and expenses'!G71+$S$60+$T$60+$U$60+$V$60+$W$60-$Y$60-$AA$60-$AB$60-$AC$60-$AD$60-$W$60*15/15</f>
        <v>-4.2697994423033112E-2</v>
      </c>
      <c r="N71" s="455">
        <f>'Exogenous tax and expenses'!H71+$S$60+$T$60+$U$60+$V$60+$W$60-$Y$60-$AA$60-$AB$60-$AC$60-$AD$60</f>
        <v>-1.8072433445219666E-2</v>
      </c>
      <c r="O71" s="455">
        <f>'Exogenous tax and expenses'!I71+$S$60+$T$60+$U$60+$V$60+$W$60-$Y$60-$AA$60-$AB$60-$AC$60-$AD$60-$W$60*15/15</f>
        <v>-3.6237248846748511E-2</v>
      </c>
      <c r="P71" s="455">
        <f>'Exogenous tax and expenses'!J71+$S$60+$T$60+$U$60+$V$60+$W$60-$Y$60-$AA$60-$AB$60-$AC$60-$AD$60</f>
        <v>-1.2708111500517264E-2</v>
      </c>
      <c r="Q71" s="455">
        <f>'Exogenous tax and expenses'!K71+$S$60+$T$60+$U$60+$V$60+$W$60-$Y$60-$AA$60-$AB$60-$AC$60-$AD$60-$W$60*15/15</f>
        <v>-3.0857933640267707E-2</v>
      </c>
      <c r="R71" s="657"/>
      <c r="S71" s="657"/>
      <c r="T71" s="455"/>
      <c r="U71" s="455"/>
      <c r="V71" s="455"/>
      <c r="W71" s="455"/>
      <c r="X71" s="455"/>
      <c r="Y71" s="455"/>
      <c r="Z71" s="455"/>
      <c r="AA71" s="455"/>
      <c r="AB71" s="455"/>
      <c r="AC71" s="455"/>
      <c r="AD71" s="455">
        <f>'Exogenous tax and expenses'!AE70*0.0696</f>
        <v>3.3575732287857911E-3</v>
      </c>
      <c r="AE71" s="455">
        <f>('Exogenous tax and expenses'!AE70+'Exogenous tax and expenses'!AD71+'Exogenous tax and expenses'!O98)</f>
        <v>2.0230133907020866E-2</v>
      </c>
      <c r="AF71" s="455">
        <f>'Exogenous tax and expenses'!AD71+'Exogenous tax and expenses'!N98</f>
        <v>-2.471086075944165E-2</v>
      </c>
      <c r="AG71" s="455"/>
      <c r="AH71" s="1"/>
      <c r="AI71" s="1"/>
      <c r="AJ71" s="1">
        <f>'Exogenous tax and expenses'!AJ70+1</f>
        <v>6</v>
      </c>
      <c r="AK71" s="1"/>
      <c r="AL71" s="1"/>
      <c r="AM71" s="1"/>
      <c r="AN71" s="1"/>
      <c r="AO71" s="1"/>
      <c r="AP71" s="1"/>
      <c r="AQ71" s="1"/>
      <c r="AR71" s="1"/>
    </row>
    <row r="72" spans="2:44">
      <c r="B72" s="743"/>
      <c r="C72" s="1">
        <f>'Exogenous tax and expenses'!C71+1</f>
        <v>2025</v>
      </c>
      <c r="D72" s="701"/>
      <c r="E72" s="701"/>
      <c r="F72" s="747">
        <v>-5.0510492222899397E-2</v>
      </c>
      <c r="G72" s="747">
        <v>-5.4045991580359103E-2</v>
      </c>
      <c r="H72" s="749">
        <v>-4.4588251417390701E-2</v>
      </c>
      <c r="I72" s="749">
        <v>-4.8074888319088599E-2</v>
      </c>
      <c r="J72" s="455">
        <v>-3.7801626802978702E-2</v>
      </c>
      <c r="K72" s="455">
        <v>-4.1195535982525101E-2</v>
      </c>
      <c r="L72" s="455">
        <f>'Exogenous tax and expenses'!F72+$S$60+$T$60+$U$60+$V$60+$W$60-$Y$60-$AA$60-$AB$60-$AC$60-$AD$60</f>
        <v>-2.4139009151488564E-2</v>
      </c>
      <c r="M72" s="455">
        <f>'Exogenous tax and expenses'!G72+$S$60+$T$60+$U$60+$V$60+$W$60-$Y$60-$AA$60-$AB$60-$AC$60-$AD$60-$W$60*15/15</f>
        <v>-4.3226668565342914E-2</v>
      </c>
      <c r="N72" s="455">
        <f>'Exogenous tax and expenses'!H72+$S$60+$T$60+$U$60+$V$60+$W$60-$Y$60-$AA$60-$AB$60-$AC$60-$AD$60</f>
        <v>-1.8216768345979864E-2</v>
      </c>
      <c r="O72" s="455">
        <f>'Exogenous tax and expenses'!I72+$S$60+$T$60+$U$60+$V$60+$W$60-$Y$60-$AA$60-$AB$60-$AC$60-$AD$60-$W$60*15/15</f>
        <v>-3.7255565304072411E-2</v>
      </c>
      <c r="P72" s="455">
        <f>'Exogenous tax and expenses'!J72+$S$60+$T$60+$U$60+$V$60+$W$60-$Y$60-$AA$60-$AB$60-$AC$60-$AD$60</f>
        <v>-1.1430143731567869E-2</v>
      </c>
      <c r="Q72" s="455">
        <f>'Exogenous tax and expenses'!K72+$S$60+$T$60+$U$60+$V$60+$W$60-$Y$60-$AA$60-$AB$60-$AC$60-$AD$60-$W$60*15/15</f>
        <v>-3.0376212967508913E-2</v>
      </c>
      <c r="R72" s="657"/>
      <c r="S72" s="657"/>
      <c r="T72" s="455"/>
      <c r="U72" s="455"/>
      <c r="V72" s="455"/>
      <c r="W72" s="455"/>
      <c r="X72" s="455"/>
      <c r="Y72" s="455"/>
      <c r="Z72" s="455"/>
      <c r="AA72" s="455"/>
      <c r="AB72" s="455"/>
      <c r="AC72" s="455"/>
      <c r="AD72" s="455"/>
      <c r="AE72" s="455"/>
      <c r="AF72" s="1"/>
      <c r="AG72" s="1"/>
      <c r="AH72" s="1"/>
      <c r="AI72" s="1"/>
      <c r="AJ72" s="1">
        <f>'Exogenous tax and expenses'!AJ71+1</f>
        <v>7</v>
      </c>
      <c r="AK72" s="1"/>
      <c r="AL72" s="1"/>
      <c r="AM72" s="1"/>
      <c r="AN72" s="1"/>
      <c r="AO72" s="1"/>
      <c r="AP72" s="1"/>
      <c r="AQ72" s="1"/>
      <c r="AR72" s="1"/>
    </row>
    <row r="73" spans="2:44">
      <c r="B73" s="743"/>
      <c r="C73" s="1">
        <f>'Exogenous tax and expenses'!C72+1</f>
        <v>2026</v>
      </c>
      <c r="D73" s="701"/>
      <c r="E73" s="701"/>
      <c r="F73" s="747">
        <v>-4.8401563992596798E-2</v>
      </c>
      <c r="G73" s="747">
        <v>-5.3013308553284601E-2</v>
      </c>
      <c r="H73" s="750">
        <v>-4.2422780432138901E-2</v>
      </c>
      <c r="I73" s="750">
        <v>-4.69408691829949E-2</v>
      </c>
      <c r="J73" s="455">
        <v>-3.5321254646276001E-2</v>
      </c>
      <c r="K73" s="455">
        <v>-3.9643591896360603E-2</v>
      </c>
      <c r="L73" s="455">
        <f>'Exogenous tax and expenses'!F73+$S$60+$T$60+$U$60+$V$60+$W$60-$Y$60-$AA$60-$AB$60-$AC$60-$AD$60</f>
        <v>-2.2030080921185965E-2</v>
      </c>
      <c r="M73" s="455">
        <f>'Exogenous tax and expenses'!G73+$S$60+$T$60+$U$60+$V$60+$W$60-$Y$60-$AA$60-$AB$60-$AC$60-$AD$60-$W$60*15/15</f>
        <v>-4.2193985538268412E-2</v>
      </c>
      <c r="N73" s="455">
        <f>'Exogenous tax and expenses'!H73+$S$60+$T$60+$U$60+$V$60+$W$60-$Y$60-$AA$60-$AB$60-$AC$60-$AD$60</f>
        <v>-1.6051297360728065E-2</v>
      </c>
      <c r="O73" s="455">
        <f>'Exogenous tax and expenses'!I73+$S$60+$T$60+$U$60+$V$60+$W$60-$Y$60-$AA$60-$AB$60-$AC$60-$AD$60-$W$60*15/15</f>
        <v>-3.6121546167978712E-2</v>
      </c>
      <c r="P73" s="455">
        <f>'Exogenous tax and expenses'!J73+$S$60+$T$60+$U$60+$V$60+$W$60-$Y$60-$AA$60-$AB$60-$AC$60-$AD$60</f>
        <v>-8.9497715748651681E-3</v>
      </c>
      <c r="Q73" s="455">
        <f>'Exogenous tax and expenses'!K73+$S$60+$T$60+$U$60+$V$60+$W$60-$Y$60-$AA$60-$AB$60-$AC$60-$AD$60-$W$60*15/15</f>
        <v>-2.8824268881344414E-2</v>
      </c>
      <c r="R73" s="657"/>
      <c r="S73" s="657"/>
      <c r="T73" s="455"/>
      <c r="U73" s="455"/>
      <c r="V73" s="455"/>
      <c r="W73" s="455"/>
      <c r="X73" s="455"/>
      <c r="Y73" s="455"/>
      <c r="Z73" s="455"/>
      <c r="AA73" s="455"/>
      <c r="AB73" s="455"/>
      <c r="AC73" s="455"/>
      <c r="AD73" s="455"/>
      <c r="AE73" s="455"/>
      <c r="AF73" s="1"/>
      <c r="AG73" s="1"/>
      <c r="AH73" s="1"/>
      <c r="AI73" s="1"/>
      <c r="AJ73" s="1">
        <f>'Exogenous tax and expenses'!AJ72+1</f>
        <v>8</v>
      </c>
      <c r="AK73" s="1"/>
      <c r="AL73" s="1"/>
      <c r="AM73" s="1"/>
      <c r="AN73" s="1"/>
      <c r="AO73" s="1"/>
      <c r="AP73" s="1"/>
      <c r="AQ73" s="1"/>
      <c r="AR73" s="1"/>
    </row>
    <row r="74" spans="2:44">
      <c r="B74" s="743"/>
      <c r="C74" s="1">
        <f>'Exogenous tax and expenses'!C73+1</f>
        <v>2027</v>
      </c>
      <c r="D74" s="701"/>
      <c r="E74" s="701"/>
      <c r="F74" s="747">
        <v>-4.7648714995515901E-2</v>
      </c>
      <c r="G74" s="747">
        <v>-5.3198606912583601E-2</v>
      </c>
      <c r="H74" s="750">
        <v>-3.9992219644084601E-2</v>
      </c>
      <c r="I74" s="750">
        <v>-4.52069178126948E-2</v>
      </c>
      <c r="J74" s="455">
        <v>-3.3403854581101698E-2</v>
      </c>
      <c r="K74" s="455">
        <v>-3.8374693390013398E-2</v>
      </c>
      <c r="L74" s="455">
        <f>'Exogenous tax and expenses'!F74+$S$60+$T$60+$U$60+$V$60+$W$60-$Y$60-$AA$60-$AB$60-$AC$60-$AD$60</f>
        <v>-2.1277231924105067E-2</v>
      </c>
      <c r="M74" s="455">
        <f>'Exogenous tax and expenses'!G74+$S$60+$T$60+$U$60+$V$60+$W$60-$Y$60-$AA$60-$AB$60-$AC$60-$AD$60-$W$60*15/15</f>
        <v>-4.2379283897567413E-2</v>
      </c>
      <c r="N74" s="455">
        <f>'Exogenous tax and expenses'!H74+$S$60+$T$60+$U$60+$V$60+$W$60-$Y$60-$AA$60-$AB$60-$AC$60-$AD$60</f>
        <v>-1.3620736572673767E-2</v>
      </c>
      <c r="O74" s="455">
        <f>'Exogenous tax and expenses'!I74+$S$60+$T$60+$U$60+$V$60+$W$60-$Y$60-$AA$60-$AB$60-$AC$60-$AD$60-$W$60*15/15</f>
        <v>-3.4387594797678611E-2</v>
      </c>
      <c r="P74" s="455">
        <f>'Exogenous tax and expenses'!J74+$S$60+$T$60+$U$60+$V$60+$W$60-$Y$60-$AA$60-$AB$60-$AC$60-$AD$60</f>
        <v>-7.032371509690865E-3</v>
      </c>
      <c r="Q74" s="455">
        <f>'Exogenous tax and expenses'!K74+$S$60+$T$60+$U$60+$V$60+$W$60-$Y$60-$AA$60-$AB$60-$AC$60-$AD$60-$W$60*15/15</f>
        <v>-2.755537037499721E-2</v>
      </c>
      <c r="R74" s="657"/>
      <c r="S74" s="657"/>
      <c r="T74" s="455"/>
      <c r="U74" s="455"/>
      <c r="V74" s="455"/>
      <c r="W74" s="455"/>
      <c r="X74" s="455"/>
      <c r="Y74" s="455"/>
      <c r="Z74" s="455"/>
      <c r="AA74" s="455"/>
      <c r="AB74" s="455"/>
      <c r="AC74" s="455"/>
      <c r="AD74" s="455"/>
      <c r="AE74" s="455"/>
      <c r="AF74" s="1"/>
      <c r="AG74" s="1"/>
      <c r="AH74" s="1"/>
      <c r="AI74" s="1"/>
      <c r="AJ74" s="1">
        <f>'Exogenous tax and expenses'!AJ73+1</f>
        <v>9</v>
      </c>
      <c r="AK74" s="1"/>
      <c r="AL74" s="1"/>
      <c r="AM74" s="1"/>
      <c r="AN74" s="1"/>
      <c r="AO74" s="1"/>
      <c r="AP74" s="1"/>
      <c r="AQ74" s="1"/>
      <c r="AR74" s="1"/>
    </row>
    <row r="75" spans="2:44">
      <c r="B75" s="743"/>
      <c r="C75" s="1">
        <f>'Exogenous tax and expenses'!C74+1</f>
        <v>2028</v>
      </c>
      <c r="D75" s="701"/>
      <c r="E75" s="701"/>
      <c r="F75" s="747">
        <v>-4.6184787479334001E-2</v>
      </c>
      <c r="G75" s="747">
        <v>-5.2709686251373199E-2</v>
      </c>
      <c r="H75" s="750">
        <v>-3.7970809481512602E-2</v>
      </c>
      <c r="I75" s="750">
        <v>-4.3978712167927002E-2</v>
      </c>
      <c r="J75" s="455">
        <v>-2.9515715961038198E-2</v>
      </c>
      <c r="K75" s="455">
        <v>-3.5223481202534497E-2</v>
      </c>
      <c r="L75" s="455">
        <f>'Exogenous tax and expenses'!F75+$S$60+$T$60+$U$60+$V$60+$W$60-$Y$60-$AA$60-$AB$60-$AC$60-$AD$60</f>
        <v>-1.9813304407923168E-2</v>
      </c>
      <c r="M75" s="455">
        <f>'Exogenous tax and expenses'!G75+$S$60+$T$60+$U$60+$V$60+$W$60-$Y$60-$AA$60-$AB$60-$AC$60-$AD$60-$W$60*15/15</f>
        <v>-4.189036323635701E-2</v>
      </c>
      <c r="N75" s="455">
        <f>'Exogenous tax and expenses'!H75+$S$60+$T$60+$U$60+$V$60+$W$60-$Y$60-$AA$60-$AB$60-$AC$60-$AD$60</f>
        <v>-1.1599326410101769E-2</v>
      </c>
      <c r="O75" s="455">
        <f>'Exogenous tax and expenses'!I75+$S$60+$T$60+$U$60+$V$60+$W$60-$Y$60-$AA$60-$AB$60-$AC$60-$AD$60-$W$60*15/15</f>
        <v>-3.3159389152910806E-2</v>
      </c>
      <c r="P75" s="455">
        <f>'Exogenous tax and expenses'!J75+$S$60+$T$60+$U$60+$V$60+$W$60-$Y$60-$AA$60-$AB$60-$AC$60-$AD$60</f>
        <v>-3.1442328896273647E-3</v>
      </c>
      <c r="Q75" s="455">
        <f>'Exogenous tax and expenses'!K75+$S$60+$T$60+$U$60+$V$60+$W$60-$Y$60-$AA$60-$AB$60-$AC$60-$AD$60-$W$60*15/15</f>
        <v>-2.4404158187518309E-2</v>
      </c>
      <c r="R75" s="657"/>
      <c r="S75" s="657"/>
      <c r="T75" s="455"/>
      <c r="U75" s="455"/>
      <c r="V75" s="455"/>
      <c r="W75" s="455"/>
      <c r="X75" s="455"/>
      <c r="Y75" s="455"/>
      <c r="Z75" s="455"/>
      <c r="AA75" s="455"/>
      <c r="AB75" s="1"/>
      <c r="AC75" s="1"/>
      <c r="AD75" s="455"/>
      <c r="AE75" s="455"/>
      <c r="AF75" s="1"/>
      <c r="AG75" s="1"/>
      <c r="AH75" s="1"/>
      <c r="AI75" s="1"/>
      <c r="AJ75" s="1">
        <f>'Exogenous tax and expenses'!AJ74+1</f>
        <v>10</v>
      </c>
      <c r="AK75" s="1"/>
      <c r="AL75" s="1"/>
      <c r="AM75" s="1"/>
      <c r="AN75" s="1"/>
      <c r="AO75" s="1"/>
      <c r="AP75" s="1"/>
      <c r="AQ75" s="1"/>
      <c r="AR75" s="1"/>
    </row>
    <row r="76" spans="2:44">
      <c r="B76" s="743"/>
      <c r="C76" s="1">
        <f>'Exogenous tax and expenses'!C75+1</f>
        <v>2029</v>
      </c>
      <c r="D76" s="701"/>
      <c r="E76" s="701"/>
      <c r="F76" s="747">
        <v>-4.5620443504527798E-2</v>
      </c>
      <c r="G76" s="747">
        <v>-5.3074335017305102E-2</v>
      </c>
      <c r="H76" s="749">
        <v>-3.5416995113466798E-2</v>
      </c>
      <c r="I76" s="749">
        <v>-4.22243976792777E-2</v>
      </c>
      <c r="J76" s="455">
        <v>-2.6618195035464899E-2</v>
      </c>
      <c r="K76" s="455">
        <v>-3.3040098765779902E-2</v>
      </c>
      <c r="L76" s="455">
        <f>'Exogenous tax and expenses'!F76+$S$60+$T$60+$U$60+$V$60+$W$60-$Y$60-$AA$60-$AB$60-$AC$60-$AD$60</f>
        <v>-1.9248960433116965E-2</v>
      </c>
      <c r="M76" s="455">
        <f>'Exogenous tax and expenses'!G76+$S$60+$T$60+$U$60+$V$60+$W$60-$Y$60-$AA$60-$AB$60-$AC$60-$AD$60-$W$60*15/15</f>
        <v>-4.2255012002288914E-2</v>
      </c>
      <c r="N76" s="455">
        <f>'Exogenous tax and expenses'!H76+$S$60+$T$60+$U$60+$V$60+$W$60-$Y$60-$AA$60-$AB$60-$AC$60-$AD$60</f>
        <v>-9.045512042055965E-3</v>
      </c>
      <c r="O76" s="455">
        <f>'Exogenous tax and expenses'!I76+$S$60+$T$60+$U$60+$V$60+$W$60-$Y$60-$AA$60-$AB$60-$AC$60-$AD$60-$W$60*15/15</f>
        <v>-3.1405074664261505E-2</v>
      </c>
      <c r="P76" s="455">
        <f>'Exogenous tax and expenses'!J76+$S$60+$T$60+$U$60+$V$60+$W$60-$Y$60-$AA$60-$AB$60-$AC$60-$AD$60</f>
        <v>-2.4671196405406546E-4</v>
      </c>
      <c r="Q76" s="455">
        <f>'Exogenous tax and expenses'!K76+$S$60+$T$60+$U$60+$V$60+$W$60-$Y$60-$AA$60-$AB$60-$AC$60-$AD$60-$W$60*15/15</f>
        <v>-2.2220775750763713E-2</v>
      </c>
      <c r="R76" s="657"/>
      <c r="S76" s="657"/>
      <c r="T76" s="455"/>
      <c r="U76" s="455"/>
      <c r="V76" s="455"/>
      <c r="W76" s="455"/>
      <c r="X76" s="455"/>
      <c r="Y76" s="455"/>
      <c r="Z76" s="455"/>
      <c r="AA76" s="455"/>
      <c r="AB76" s="1"/>
      <c r="AC76" s="1"/>
      <c r="AD76" s="455"/>
      <c r="AE76" s="455"/>
      <c r="AF76" s="1"/>
      <c r="AG76" s="1"/>
      <c r="AH76" s="1"/>
      <c r="AI76" s="1"/>
      <c r="AJ76" s="1">
        <f>'Exogenous tax and expenses'!AJ75+1</f>
        <v>11</v>
      </c>
      <c r="AK76" s="1"/>
      <c r="AL76" s="1"/>
      <c r="AM76" s="1"/>
      <c r="AN76" s="1"/>
      <c r="AO76" s="1"/>
      <c r="AP76" s="1"/>
      <c r="AQ76" s="1"/>
      <c r="AR76" s="1"/>
    </row>
    <row r="77" spans="2:44">
      <c r="B77" s="743"/>
      <c r="C77" s="1">
        <f>'Exogenous tax and expenses'!C76+1</f>
        <v>2030</v>
      </c>
      <c r="D77" s="701"/>
      <c r="E77" s="701"/>
      <c r="F77" s="747">
        <v>-4.3881478086569899E-2</v>
      </c>
      <c r="G77" s="747">
        <v>-5.2064105189600099E-2</v>
      </c>
      <c r="H77" s="750">
        <v>-3.4519133085200798E-2</v>
      </c>
      <c r="I77" s="750">
        <v>-4.1969000655286998E-2</v>
      </c>
      <c r="J77" s="455">
        <v>-2.45477014714796E-2</v>
      </c>
      <c r="K77" s="455">
        <v>-3.1536543906288003E-2</v>
      </c>
      <c r="L77" s="455">
        <f>'Exogenous tax and expenses'!F77+$S$60+$T$60+$U$60+$V$60+$W$60-$Y$60-$AA$60-$AB$60-$AC$60-$AD$60</f>
        <v>-1.7509995015159062E-2</v>
      </c>
      <c r="M77" s="455">
        <f>'Exogenous tax and expenses'!G77+$S$60+$T$60+$U$60+$V$60+$W$60-$Y$60-$AA$60-$AB$60-$AC$60-$AD$60-$W$60*15/15</f>
        <v>-4.124478217458391E-2</v>
      </c>
      <c r="N77" s="455">
        <f>'Exogenous tax and expenses'!H77+$S$60+$T$60+$U$60+$V$60+$W$60-$Y$60-$AA$60-$AB$60-$AC$60-$AD$60</f>
        <v>-8.147650013789965E-3</v>
      </c>
      <c r="O77" s="455">
        <f>'Exogenous tax and expenses'!I77+$S$60+$T$60+$U$60+$V$60+$W$60-$Y$60-$AA$60-$AB$60-$AC$60-$AD$60-$W$60*15/15</f>
        <v>-3.1149677640270806E-2</v>
      </c>
      <c r="P77" s="455">
        <f>'Exogenous tax and expenses'!J77+$S$60+$T$60+$U$60+$V$60+$W$60-$Y$60-$AA$60-$AB$60-$AC$60-$AD$60</f>
        <v>1.8237815999312314E-3</v>
      </c>
      <c r="Q77" s="455">
        <f>'Exogenous tax and expenses'!K77+$S$60+$T$60+$U$60+$V$60+$W$60-$Y$60-$AA$60-$AB$60-$AC$60-$AD$60-$W$60*15/15</f>
        <v>-2.0717220891271815E-2</v>
      </c>
      <c r="R77" s="657"/>
      <c r="S77" s="657"/>
      <c r="T77" s="455"/>
      <c r="U77" s="455"/>
      <c r="V77" s="455"/>
      <c r="W77" s="455"/>
      <c r="X77" s="455"/>
      <c r="Y77" s="455"/>
      <c r="Z77" s="455"/>
      <c r="AA77" s="455"/>
      <c r="AB77" s="1"/>
      <c r="AC77" s="1"/>
      <c r="AD77" s="455"/>
      <c r="AE77" s="455"/>
      <c r="AF77" s="1"/>
      <c r="AG77" s="1"/>
      <c r="AH77" s="1"/>
      <c r="AI77" s="1"/>
      <c r="AJ77" s="1">
        <f>'Exogenous tax and expenses'!AJ76+1</f>
        <v>12</v>
      </c>
      <c r="AK77" s="1"/>
      <c r="AL77" s="1"/>
      <c r="AM77" s="1"/>
      <c r="AN77" s="1"/>
      <c r="AO77" s="1"/>
      <c r="AP77" s="1"/>
      <c r="AQ77" s="1"/>
      <c r="AR77" s="1"/>
    </row>
    <row r="78" spans="2:44">
      <c r="B78" s="743"/>
      <c r="C78" s="1">
        <f>'Exogenous tax and expenses'!C77+1</f>
        <v>2031</v>
      </c>
      <c r="D78" s="701"/>
      <c r="E78" s="701"/>
      <c r="F78" s="747">
        <v>-4.2202117535696297E-2</v>
      </c>
      <c r="G78" s="747">
        <v>-5.1262233711488997E-2</v>
      </c>
      <c r="H78" s="750">
        <v>-3.3317193998271197E-2</v>
      </c>
      <c r="I78" s="750">
        <v>-4.1427885369034197E-2</v>
      </c>
      <c r="J78" s="455">
        <v>-2.2633228148361498E-2</v>
      </c>
      <c r="K78" s="455">
        <v>-2.9969609620920101E-2</v>
      </c>
      <c r="L78" s="455">
        <f>'Exogenous tax and expenses'!F78+$S$60+$T$60+$U$60+$V$60+$W$60-$Y$60-$AA$60-$AB$60-$AC$60-$AD$60</f>
        <v>-1.583063446428546E-2</v>
      </c>
      <c r="M78" s="455">
        <f>'Exogenous tax and expenses'!G78+$S$60+$T$60+$U$60+$V$60+$W$60-$Y$60-$AA$60-$AB$60-$AC$60-$AD$60-$W$60*15/15</f>
        <v>-4.0442910696472809E-2</v>
      </c>
      <c r="N78" s="455">
        <f>'Exogenous tax and expenses'!H78+$S$60+$T$60+$U$60+$V$60+$W$60-$Y$60-$AA$60-$AB$60-$AC$60-$AD$60</f>
        <v>-6.9457109268603635E-3</v>
      </c>
      <c r="O78" s="455">
        <f>'Exogenous tax and expenses'!I78+$S$60+$T$60+$U$60+$V$60+$W$60-$Y$60-$AA$60-$AB$60-$AC$60-$AD$60-$W$60*15/15</f>
        <v>-3.0608562354018005E-2</v>
      </c>
      <c r="P78" s="455">
        <f>'Exogenous tax and expenses'!J78+$S$60+$T$60+$U$60+$V$60+$W$60-$Y$60-$AA$60-$AB$60-$AC$60-$AD$60</f>
        <v>3.738254923049333E-3</v>
      </c>
      <c r="Q78" s="455">
        <f>'Exogenous tax and expenses'!K78+$S$60+$T$60+$U$60+$V$60+$W$60-$Y$60-$AA$60-$AB$60-$AC$60-$AD$60-$W$60*15/15</f>
        <v>-1.9150286605903909E-2</v>
      </c>
      <c r="R78" s="657"/>
      <c r="S78" s="657"/>
      <c r="T78" s="455"/>
      <c r="U78" s="455"/>
      <c r="V78" s="455"/>
      <c r="W78" s="455"/>
      <c r="X78" s="455"/>
      <c r="Y78" s="455"/>
      <c r="Z78" s="455"/>
      <c r="AA78" s="455"/>
      <c r="AB78" s="1"/>
      <c r="AC78" s="1"/>
      <c r="AD78" s="455"/>
      <c r="AE78" s="455"/>
      <c r="AF78" s="1"/>
      <c r="AG78" s="1"/>
      <c r="AH78" s="1"/>
      <c r="AI78" s="1"/>
      <c r="AJ78" s="1">
        <f>'Exogenous tax and expenses'!AJ77+1</f>
        <v>13</v>
      </c>
      <c r="AK78" s="1"/>
      <c r="AL78" s="1"/>
      <c r="AM78" s="1"/>
      <c r="AN78" s="1"/>
      <c r="AO78" s="1"/>
      <c r="AP78" s="1"/>
      <c r="AQ78" s="1"/>
      <c r="AR78" s="1"/>
    </row>
    <row r="79" spans="2:44">
      <c r="B79" s="743"/>
      <c r="C79" s="1">
        <f>'Exogenous tax and expenses'!C78+1</f>
        <v>2032</v>
      </c>
      <c r="D79" s="701"/>
      <c r="E79" s="701"/>
      <c r="F79" s="747">
        <v>-4.1921664260071302E-2</v>
      </c>
      <c r="G79" s="747">
        <v>-5.1990359804447897E-2</v>
      </c>
      <c r="H79" s="750">
        <v>-3.2188210268126703E-2</v>
      </c>
      <c r="I79" s="750">
        <v>-4.0846901629792903E-2</v>
      </c>
      <c r="J79" s="455">
        <v>-2.00823143773977E-2</v>
      </c>
      <c r="K79" s="455">
        <v>-2.7979383016730398E-2</v>
      </c>
      <c r="L79" s="455">
        <f>'Exogenous tax and expenses'!F79+$S$60+$T$60+$U$60+$V$60+$W$60-$Y$60-$AA$60-$AB$60-$AC$60-$AD$60</f>
        <v>-1.5550181188660467E-2</v>
      </c>
      <c r="M79" s="455">
        <f>'Exogenous tax and expenses'!G79+$S$60+$T$60+$U$60+$V$60+$W$60-$Y$60-$AA$60-$AB$60-$AC$60-$AD$60-$W$60*15/15</f>
        <v>-4.1171036789431709E-2</v>
      </c>
      <c r="N79" s="455">
        <f>'Exogenous tax and expenses'!H79+$S$60+$T$60+$U$60+$V$60+$W$60-$Y$60-$AA$60-$AB$60-$AC$60-$AD$60</f>
        <v>-5.81672719671587E-3</v>
      </c>
      <c r="O79" s="455">
        <f>'Exogenous tax and expenses'!I79+$S$60+$T$60+$U$60+$V$60+$W$60-$Y$60-$AA$60-$AB$60-$AC$60-$AD$60-$W$60*15/15</f>
        <v>-3.0027578614776715E-2</v>
      </c>
      <c r="P79" s="455">
        <f>'Exogenous tax and expenses'!J79+$S$60+$T$60+$U$60+$V$60+$W$60-$Y$60-$AA$60-$AB$60-$AC$60-$AD$60</f>
        <v>6.2891686940131347E-3</v>
      </c>
      <c r="Q79" s="455">
        <f>'Exogenous tax and expenses'!K79+$S$60+$T$60+$U$60+$V$60+$W$60-$Y$60-$AA$60-$AB$60-$AC$60-$AD$60-$W$60*15/15</f>
        <v>-1.7160060001714206E-2</v>
      </c>
      <c r="R79" s="657"/>
      <c r="S79" s="657"/>
      <c r="T79" s="455"/>
      <c r="U79" s="455"/>
      <c r="V79" s="455"/>
      <c r="W79" s="455"/>
      <c r="X79" s="455"/>
      <c r="Y79" s="455"/>
      <c r="Z79" s="455"/>
      <c r="AA79" s="455"/>
      <c r="AB79" s="1"/>
      <c r="AC79" s="1"/>
      <c r="AD79" s="455"/>
      <c r="AE79" s="455"/>
      <c r="AF79" s="1"/>
      <c r="AG79" s="1"/>
      <c r="AH79" s="1"/>
      <c r="AI79" s="1"/>
      <c r="AJ79" s="1">
        <f>'Exogenous tax and expenses'!AJ78+1</f>
        <v>14</v>
      </c>
      <c r="AK79" s="1"/>
      <c r="AL79" s="1"/>
      <c r="AM79" s="1"/>
      <c r="AN79" s="1"/>
      <c r="AO79" s="1"/>
      <c r="AP79" s="1"/>
      <c r="AQ79" s="1"/>
      <c r="AR79" s="1"/>
    </row>
    <row r="80" spans="2:44">
      <c r="B80" s="743"/>
      <c r="C80" s="1">
        <f>'Exogenous tax and expenses'!C79+1</f>
        <v>2033</v>
      </c>
      <c r="D80" s="701"/>
      <c r="E80" s="701"/>
      <c r="F80" s="747">
        <v>-4.1949099848170003E-2</v>
      </c>
      <c r="G80" s="747">
        <v>-5.2964695698324002E-2</v>
      </c>
      <c r="H80" s="749">
        <v>-3.00661356040712E-2</v>
      </c>
      <c r="I80" s="749">
        <v>-3.9369444361671099E-2</v>
      </c>
      <c r="J80" s="455">
        <v>-1.7609865233308101E-2</v>
      </c>
      <c r="K80" s="455">
        <v>-2.5994849751803301E-2</v>
      </c>
      <c r="L80" s="455">
        <f>'Exogenous tax and expenses'!F80+$S$60+$T$60+$U$60+$V$60+$W$60-$Y$60-$AA$60-$AB$60-$AC$60-$AD$60</f>
        <v>-1.5577616776759168E-2</v>
      </c>
      <c r="M80" s="455">
        <f>'Exogenous tax and expenses'!G80+$S$60+$T$60+$U$60+$V$60+$W$60-$Y$60-$AA$60-$AB$60-$AC$60-$AD$60-$W$60*15/15</f>
        <v>-4.2145372683307813E-2</v>
      </c>
      <c r="N80" s="455">
        <f>'Exogenous tax and expenses'!H80+$S$60+$T$60+$U$60+$V$60+$W$60-$Y$60-$AA$60-$AB$60-$AC$60-$AD$60</f>
        <v>-3.6946525326603699E-3</v>
      </c>
      <c r="O80" s="455">
        <f>'Exogenous tax and expenses'!I80+$S$60+$T$60+$U$60+$V$60+$W$60-$Y$60-$AA$60-$AB$60-$AC$60-$AD$60-$W$60*15/15</f>
        <v>-2.8550121346654911E-2</v>
      </c>
      <c r="P80" s="455">
        <f>'Exogenous tax and expenses'!J80+$S$60+$T$60+$U$60+$V$60+$W$60-$Y$60-$AA$60-$AB$60-$AC$60-$AD$60</f>
        <v>8.7616178381027306E-3</v>
      </c>
      <c r="Q80" s="455">
        <f>'Exogenous tax and expenses'!K80+$S$60+$T$60+$U$60+$V$60+$W$60-$Y$60-$AA$60-$AB$60-$AC$60-$AD$60-$W$60*15/15</f>
        <v>-1.5175526736787109E-2</v>
      </c>
      <c r="R80" s="657"/>
      <c r="S80" s="657"/>
      <c r="T80" s="455"/>
      <c r="U80" s="455"/>
      <c r="V80" s="455"/>
      <c r="W80" s="455"/>
      <c r="X80" s="455"/>
      <c r="Y80" s="455"/>
      <c r="Z80" s="455"/>
      <c r="AA80" s="455"/>
      <c r="AB80" s="1"/>
      <c r="AC80" s="1"/>
      <c r="AD80" s="455"/>
      <c r="AE80" s="455"/>
      <c r="AF80" s="1"/>
      <c r="AG80" s="1"/>
      <c r="AH80" s="1"/>
      <c r="AI80" s="1"/>
      <c r="AJ80" s="1">
        <f>'Exogenous tax and expenses'!AJ79+1</f>
        <v>15</v>
      </c>
      <c r="AK80" s="1"/>
      <c r="AL80" s="1"/>
      <c r="AM80" s="1"/>
      <c r="AN80" s="1"/>
      <c r="AO80" s="1"/>
      <c r="AP80" s="1"/>
      <c r="AQ80" s="1"/>
      <c r="AR80" s="1"/>
    </row>
    <row r="81" spans="1:44">
      <c r="B81" s="743"/>
      <c r="C81" s="1">
        <f>'Exogenous tax and expenses'!C80+1</f>
        <v>2034</v>
      </c>
      <c r="D81" s="701"/>
      <c r="E81" s="701"/>
      <c r="F81" s="747">
        <v>-4.2180151507557301E-2</v>
      </c>
      <c r="G81" s="747">
        <v>-5.39274495272783E-2</v>
      </c>
      <c r="H81" s="750">
        <v>-2.9819597100551501E-2</v>
      </c>
      <c r="I81" s="750">
        <v>-3.9571787438245402E-2</v>
      </c>
      <c r="J81" s="455">
        <v>-1.50221021373978E-2</v>
      </c>
      <c r="K81" s="455">
        <v>-2.3826209160752301E-2</v>
      </c>
      <c r="L81" s="455">
        <f>'Exogenous tax and expenses'!F81+$S$60+$T$60+$U$60+$V$60+$W$60-$Y$60-$AA$60-$AB$60-$AC$60-$AD$60</f>
        <v>-1.5808668436146464E-2</v>
      </c>
      <c r="M81" s="455">
        <f>'Exogenous tax and expenses'!G81+$S$60+$T$60+$U$60+$V$60+$W$60-$Y$60-$AA$60-$AB$60-$AC$60-$AD$60-$W$60*15/15</f>
        <v>-4.3108126512262111E-2</v>
      </c>
      <c r="N81" s="455">
        <f>'Exogenous tax and expenses'!H81+$S$60+$T$60+$U$60+$V$60+$W$60-$Y$60-$AA$60-$AB$60-$AC$60-$AD$60</f>
        <v>-3.4481140291406673E-3</v>
      </c>
      <c r="O81" s="455">
        <f>'Exogenous tax and expenses'!I81+$S$60+$T$60+$U$60+$V$60+$W$60-$Y$60-$AA$60-$AB$60-$AC$60-$AD$60-$W$60*15/15</f>
        <v>-2.8752464423229214E-2</v>
      </c>
      <c r="P81" s="455">
        <f>'Exogenous tax and expenses'!J81+$S$60+$T$60+$U$60+$V$60+$W$60-$Y$60-$AA$60-$AB$60-$AC$60-$AD$60</f>
        <v>1.1349380934013031E-2</v>
      </c>
      <c r="Q81" s="455">
        <f>'Exogenous tax and expenses'!K81+$S$60+$T$60+$U$60+$V$60+$W$60-$Y$60-$AA$60-$AB$60-$AC$60-$AD$60-$W$60*15/15</f>
        <v>-1.3006886145736111E-2</v>
      </c>
      <c r="R81" s="657"/>
      <c r="S81" s="657"/>
      <c r="T81" s="455"/>
      <c r="U81" s="455"/>
      <c r="V81" s="455"/>
      <c r="W81" s="455"/>
      <c r="X81" s="455"/>
      <c r="Y81" s="455"/>
      <c r="Z81" s="455"/>
      <c r="AA81" s="455"/>
      <c r="AB81" s="1"/>
      <c r="AC81" s="1"/>
      <c r="AD81" s="455"/>
      <c r="AE81" s="455"/>
      <c r="AF81" s="1"/>
      <c r="AG81" s="1"/>
      <c r="AH81" s="1"/>
      <c r="AI81" s="1"/>
      <c r="AJ81" s="1">
        <f>'Exogenous tax and expenses'!AJ80+1</f>
        <v>16</v>
      </c>
      <c r="AK81" s="1"/>
      <c r="AL81" s="1"/>
      <c r="AM81" s="1"/>
      <c r="AN81" s="1"/>
      <c r="AO81" s="1"/>
      <c r="AP81" s="1"/>
      <c r="AQ81" s="1"/>
      <c r="AR81" s="1"/>
    </row>
    <row r="82" spans="1:44">
      <c r="B82" s="743"/>
      <c r="C82" s="1">
        <f>'Exogenous tax and expenses'!C81+1</f>
        <v>2035</v>
      </c>
      <c r="D82" s="701"/>
      <c r="E82" s="701"/>
      <c r="F82" s="747">
        <v>-4.1741823182724902E-2</v>
      </c>
      <c r="G82" s="747">
        <v>-5.3965648196242201E-2</v>
      </c>
      <c r="H82" s="750">
        <v>-2.8573381191862101E-2</v>
      </c>
      <c r="I82" s="750">
        <v>-3.8800048222659499E-2</v>
      </c>
      <c r="J82" s="455">
        <v>-1.34966496159459E-2</v>
      </c>
      <c r="K82" s="455">
        <v>-2.2750909168426599E-2</v>
      </c>
      <c r="L82" s="455">
        <f>'Exogenous tax and expenses'!F82+$S$60+$T$60+$U$60+$V$60+$W$60-$Y$60-$AA$60-$AB$60-$AC$60-$AD$60</f>
        <v>-1.5370340111314067E-2</v>
      </c>
      <c r="M82" s="455">
        <f>'Exogenous tax and expenses'!G82+$S$60+$T$60+$U$60+$V$60+$W$60-$Y$60-$AA$60-$AB$60-$AC$60-$AD$60-$W$60*15/15</f>
        <v>-4.3146325181226013E-2</v>
      </c>
      <c r="N82" s="455">
        <f>'Exogenous tax and expenses'!H82+$S$60+$T$60+$U$60+$V$60+$W$60-$Y$60-$AA$60-$AB$60-$AC$60-$AD$60</f>
        <v>-2.2018981204512708E-3</v>
      </c>
      <c r="O82" s="455">
        <f>'Exogenous tax and expenses'!I82+$S$60+$T$60+$U$60+$V$60+$W$60-$Y$60-$AA$60-$AB$60-$AC$60-$AD$60-$W$60*15/15</f>
        <v>-2.798072520764331E-2</v>
      </c>
      <c r="P82" s="455">
        <f>'Exogenous tax and expenses'!J82+$S$60+$T$60+$U$60+$V$60+$W$60-$Y$60-$AA$60-$AB$60-$AC$60-$AD$60</f>
        <v>1.287483345546493E-2</v>
      </c>
      <c r="Q82" s="455">
        <f>'Exogenous tax and expenses'!K82+$S$60+$T$60+$U$60+$V$60+$W$60-$Y$60-$AA$60-$AB$60-$AC$60-$AD$60-$W$60*15/15</f>
        <v>-1.1931586153410409E-2</v>
      </c>
      <c r="R82" s="657"/>
      <c r="S82" s="657"/>
      <c r="T82" s="455"/>
      <c r="U82" s="455"/>
      <c r="V82" s="455"/>
      <c r="W82" s="455"/>
      <c r="X82" s="455"/>
      <c r="Y82" s="455"/>
      <c r="Z82" s="455"/>
      <c r="AA82" s="455"/>
      <c r="AB82" s="1"/>
      <c r="AC82" s="1"/>
      <c r="AD82" s="455"/>
      <c r="AE82" s="455"/>
      <c r="AF82" s="1"/>
      <c r="AG82" s="1"/>
      <c r="AH82" s="1"/>
      <c r="AI82" s="1"/>
      <c r="AJ82" s="1">
        <f>'Exogenous tax and expenses'!AJ81+1</f>
        <v>17</v>
      </c>
      <c r="AK82" s="1"/>
      <c r="AL82" s="1"/>
      <c r="AM82" s="1"/>
      <c r="AN82" s="1"/>
      <c r="AO82" s="1"/>
      <c r="AP82" s="1"/>
      <c r="AQ82" s="1"/>
      <c r="AR82" s="1"/>
    </row>
    <row r="83" spans="1:44">
      <c r="B83" s="743"/>
      <c r="C83" s="1">
        <f>'Exogenous tax and expenses'!C82+1</f>
        <v>2036</v>
      </c>
      <c r="D83" s="701"/>
      <c r="E83" s="701"/>
      <c r="F83" s="747">
        <v>-4.0003829529297402E-2</v>
      </c>
      <c r="G83" s="747">
        <v>-5.2985118878583898E-2</v>
      </c>
      <c r="H83" s="750">
        <v>-2.6321088709117101E-2</v>
      </c>
      <c r="I83" s="750">
        <v>-3.7131575782359101E-2</v>
      </c>
      <c r="J83" s="455">
        <v>-1.1507017381950301E-2</v>
      </c>
      <c r="K83" s="455">
        <v>-2.1110866934390599E-2</v>
      </c>
      <c r="L83" s="455">
        <f>'Exogenous tax and expenses'!F83+$S$60+$T$60+$U$60+$V$60+$W$60-$Y$60-$AA$60-$AB$60-$AC$60-$AD$60</f>
        <v>-1.3632346457886569E-2</v>
      </c>
      <c r="M83" s="455">
        <f>'Exogenous tax and expenses'!G83+$S$60+$T$60+$U$60+$V$60+$W$60-$Y$60-$AA$60-$AB$60-$AC$60-$AD$60-$W$60*15/15</f>
        <v>-4.2165795863567709E-2</v>
      </c>
      <c r="N83" s="455">
        <f>'Exogenous tax and expenses'!H83+$S$60+$T$60+$U$60+$V$60+$W$60-$Y$60-$AA$60-$AB$60-$AC$60-$AD$60</f>
        <v>5.0394362293730652E-5</v>
      </c>
      <c r="O83" s="455">
        <f>'Exogenous tax and expenses'!I83+$S$60+$T$60+$U$60+$V$60+$W$60-$Y$60-$AA$60-$AB$60-$AC$60-$AD$60-$W$60*15/15</f>
        <v>-2.6312252767342913E-2</v>
      </c>
      <c r="P83" s="455">
        <f>'Exogenous tax and expenses'!J83+$S$60+$T$60+$U$60+$V$60+$W$60-$Y$60-$AA$60-$AB$60-$AC$60-$AD$60</f>
        <v>1.4864465689460527E-2</v>
      </c>
      <c r="Q83" s="455">
        <f>'Exogenous tax and expenses'!K83+$S$60+$T$60+$U$60+$V$60+$W$60-$Y$60-$AA$60-$AB$60-$AC$60-$AD$60-$W$60*15/15</f>
        <v>-1.0291543919374407E-2</v>
      </c>
      <c r="R83" s="657"/>
      <c r="S83" s="657"/>
      <c r="T83" s="455"/>
      <c r="U83" s="455"/>
      <c r="V83" s="455"/>
      <c r="W83" s="455"/>
      <c r="X83" s="455"/>
      <c r="Y83" s="455"/>
      <c r="Z83" s="455"/>
      <c r="AA83" s="455"/>
      <c r="AB83" s="1"/>
      <c r="AC83" s="1"/>
      <c r="AD83" s="455"/>
      <c r="AE83" s="455"/>
      <c r="AF83" s="1"/>
      <c r="AG83" s="1"/>
      <c r="AH83" s="1"/>
      <c r="AI83" s="1"/>
      <c r="AJ83" s="1">
        <f>'Exogenous tax and expenses'!AJ82+1</f>
        <v>18</v>
      </c>
      <c r="AK83" s="1"/>
      <c r="AL83" s="1"/>
      <c r="AM83" s="1"/>
      <c r="AN83" s="1"/>
      <c r="AO83" s="1"/>
      <c r="AP83" s="1"/>
      <c r="AQ83" s="1"/>
      <c r="AR83" s="1"/>
    </row>
    <row r="84" spans="1:44">
      <c r="B84" s="743"/>
      <c r="C84" s="1">
        <f>'Exogenous tax and expenses'!C83+1</f>
        <v>2037</v>
      </c>
      <c r="D84" s="701"/>
      <c r="E84" s="701"/>
      <c r="F84" s="747">
        <v>-3.9201371409915198E-2</v>
      </c>
      <c r="G84" s="747">
        <v>-5.2920219424222301E-2</v>
      </c>
      <c r="H84" s="749">
        <v>-2.53456234180949E-2</v>
      </c>
      <c r="I84" s="749">
        <v>-3.6737914276419398E-2</v>
      </c>
      <c r="J84" s="455">
        <v>-1.0567304782697301E-2</v>
      </c>
      <c r="K84" s="455">
        <v>-2.0754196908821701E-2</v>
      </c>
      <c r="L84" s="455">
        <f>'Exogenous tax and expenses'!F84+$S$60+$T$60+$U$60+$V$60+$W$60-$Y$60-$AA$60-$AB$60-$AC$60-$AD$60</f>
        <v>-1.2829888338504365E-2</v>
      </c>
      <c r="M84" s="455">
        <f>'Exogenous tax and expenses'!G84+$S$60+$T$60+$U$60+$V$60+$W$60-$Y$60-$AA$60-$AB$60-$AC$60-$AD$60-$W$60*15/15</f>
        <v>-4.2100896409206112E-2</v>
      </c>
      <c r="N84" s="455">
        <f>'Exogenous tax and expenses'!H84+$S$60+$T$60+$U$60+$V$60+$W$60-$Y$60-$AA$60-$AB$60-$AC$60-$AD$60</f>
        <v>1.0258596533159318E-3</v>
      </c>
      <c r="O84" s="455">
        <f>'Exogenous tax and expenses'!I84+$S$60+$T$60+$U$60+$V$60+$W$60-$Y$60-$AA$60-$AB$60-$AC$60-$AD$60-$W$60*15/15</f>
        <v>-2.5918591261403209E-2</v>
      </c>
      <c r="P84" s="455">
        <f>'Exogenous tax and expenses'!J84+$S$60+$T$60+$U$60+$V$60+$W$60-$Y$60-$AA$60-$AB$60-$AC$60-$AD$60</f>
        <v>1.5804178288713531E-2</v>
      </c>
      <c r="Q84" s="455">
        <f>'Exogenous tax and expenses'!K84+$S$60+$T$60+$U$60+$V$60+$W$60-$Y$60-$AA$60-$AB$60-$AC$60-$AD$60-$W$60*15/15</f>
        <v>-9.9348738938055091E-3</v>
      </c>
      <c r="R84" s="657"/>
      <c r="S84" s="657"/>
      <c r="T84" s="455"/>
      <c r="U84" s="455"/>
      <c r="V84" s="455"/>
      <c r="W84" s="455"/>
      <c r="X84" s="455"/>
      <c r="Y84" s="455"/>
      <c r="Z84" s="455"/>
      <c r="AA84" s="455"/>
      <c r="AB84" s="1"/>
      <c r="AC84" s="1"/>
      <c r="AD84" s="455"/>
      <c r="AE84" s="455"/>
      <c r="AF84" s="1"/>
      <c r="AG84" s="1"/>
      <c r="AH84" s="1"/>
      <c r="AI84" s="1"/>
      <c r="AJ84" s="1">
        <f>'Exogenous tax and expenses'!AJ83+1</f>
        <v>19</v>
      </c>
      <c r="AK84" s="1"/>
      <c r="AL84" s="1"/>
      <c r="AM84" s="1"/>
      <c r="AN84" s="1"/>
      <c r="AO84" s="1"/>
      <c r="AP84" s="1"/>
      <c r="AQ84" s="1"/>
      <c r="AR84" s="1"/>
    </row>
    <row r="85" spans="1:44">
      <c r="B85" s="743"/>
      <c r="C85" s="1">
        <f>'Exogenous tax and expenses'!C84+1</f>
        <v>2038</v>
      </c>
      <c r="D85" s="701"/>
      <c r="E85" s="701"/>
      <c r="F85" s="747">
        <v>-3.8468064793561997E-2</v>
      </c>
      <c r="G85" s="747">
        <v>-5.3079487604519797E-2</v>
      </c>
      <c r="H85" s="750">
        <v>-2.3671469592540101E-2</v>
      </c>
      <c r="I85" s="750">
        <v>-3.5453684387902001E-2</v>
      </c>
      <c r="J85" s="455">
        <v>-9.3134864102858601E-3</v>
      </c>
      <c r="K85" s="455">
        <v>-1.9885551123532699E-2</v>
      </c>
      <c r="L85" s="455">
        <f>'Exogenous tax and expenses'!F85+$S$60+$T$60+$U$60+$V$60+$W$60-$Y$60-$AA$60-$AB$60-$AC$60-$AD$60</f>
        <v>-1.2096581722151164E-2</v>
      </c>
      <c r="M85" s="455">
        <f>'Exogenous tax and expenses'!G85+$S$60+$T$60+$U$60+$V$60+$W$60-$Y$60-$AA$60-$AB$60-$AC$60-$AD$60-$W$60*15/15</f>
        <v>-4.2260164589503608E-2</v>
      </c>
      <c r="N85" s="455">
        <f>'Exogenous tax and expenses'!H85+$S$60+$T$60+$U$60+$V$60+$W$60-$Y$60-$AA$60-$AB$60-$AC$60-$AD$60</f>
        <v>2.7000134788707324E-3</v>
      </c>
      <c r="O85" s="455">
        <f>'Exogenous tax and expenses'!I85+$S$60+$T$60+$U$60+$V$60+$W$60-$Y$60-$AA$60-$AB$60-$AC$60-$AD$60-$W$60*15/15</f>
        <v>-2.4634361372885813E-2</v>
      </c>
      <c r="P85" s="455">
        <f>'Exogenous tax and expenses'!J85+$S$60+$T$60+$U$60+$V$60+$W$60-$Y$60-$AA$60-$AB$60-$AC$60-$AD$60</f>
        <v>1.705799666112497E-2</v>
      </c>
      <c r="Q85" s="455">
        <f>'Exogenous tax and expenses'!K85+$S$60+$T$60+$U$60+$V$60+$W$60-$Y$60-$AA$60-$AB$60-$AC$60-$AD$60-$W$60*15/15</f>
        <v>-9.0662281085165074E-3</v>
      </c>
      <c r="R85" s="657"/>
      <c r="S85" s="657"/>
      <c r="T85" s="455"/>
      <c r="U85" s="455"/>
      <c r="V85" s="455"/>
      <c r="W85" s="455"/>
      <c r="X85" s="455"/>
      <c r="Y85" s="455"/>
      <c r="Z85" s="455"/>
      <c r="AA85" s="455"/>
      <c r="AB85" s="1"/>
      <c r="AC85" s="1"/>
      <c r="AD85" s="455"/>
      <c r="AE85" s="455"/>
      <c r="AF85" s="1"/>
      <c r="AG85" s="1"/>
      <c r="AH85" s="1"/>
      <c r="AI85" s="1"/>
      <c r="AJ85" s="1">
        <f>'Exogenous tax and expenses'!AJ84+1</f>
        <v>20</v>
      </c>
      <c r="AK85" s="1"/>
      <c r="AL85" s="1"/>
      <c r="AM85" s="1"/>
      <c r="AN85" s="1"/>
      <c r="AO85" s="1"/>
      <c r="AP85" s="1"/>
      <c r="AQ85" s="1"/>
      <c r="AR85" s="1"/>
    </row>
    <row r="86" spans="1:44">
      <c r="B86" s="743"/>
      <c r="C86" s="1">
        <f>'Exogenous tax and expenses'!C85+1</f>
        <v>2039</v>
      </c>
      <c r="D86" s="701"/>
      <c r="E86" s="701"/>
      <c r="F86" s="747">
        <v>-3.8251206477715301E-2</v>
      </c>
      <c r="G86" s="747">
        <v>-5.3493522991109398E-2</v>
      </c>
      <c r="H86" s="750">
        <v>-2.3812247657582299E-2</v>
      </c>
      <c r="I86" s="750">
        <v>-3.61437402192002E-2</v>
      </c>
      <c r="J86" s="455">
        <v>-8.5013763415416506E-3</v>
      </c>
      <c r="K86" s="455">
        <v>-1.9567265597470601E-2</v>
      </c>
      <c r="L86" s="455">
        <f>'Exogenous tax and expenses'!F86+$S$60+$T$60+$U$60+$V$60+$W$60-$Y$60-$AA$60-$AB$60-$AC$60-$AD$60</f>
        <v>-1.1879723406304468E-2</v>
      </c>
      <c r="M86" s="455">
        <f>'Exogenous tax and expenses'!G86+$S$60+$T$60+$U$60+$V$60+$W$60-$Y$60-$AA$60-$AB$60-$AC$60-$AD$60-$W$60*15/15</f>
        <v>-4.2674199976093209E-2</v>
      </c>
      <c r="N86" s="455">
        <f>'Exogenous tax and expenses'!H86+$S$60+$T$60+$U$60+$V$60+$W$60-$Y$60-$AA$60-$AB$60-$AC$60-$AD$60</f>
        <v>2.5592354138285305E-3</v>
      </c>
      <c r="O86" s="455">
        <f>'Exogenous tax and expenses'!I86+$S$60+$T$60+$U$60+$V$60+$W$60-$Y$60-$AA$60-$AB$60-$AC$60-$AD$60-$W$60*15/15</f>
        <v>-2.5324417204184012E-2</v>
      </c>
      <c r="P86" s="455">
        <f>'Exogenous tax and expenses'!J86+$S$60+$T$60+$U$60+$V$60+$W$60-$Y$60-$AA$60-$AB$60-$AC$60-$AD$60</f>
        <v>1.7870106729869179E-2</v>
      </c>
      <c r="Q86" s="455">
        <f>'Exogenous tax and expenses'!K86+$S$60+$T$60+$U$60+$V$60+$W$60-$Y$60-$AA$60-$AB$60-$AC$60-$AD$60-$W$60*15/15</f>
        <v>-8.7479425824544092E-3</v>
      </c>
      <c r="R86" s="657"/>
      <c r="S86" s="657"/>
      <c r="T86" s="455"/>
      <c r="U86" s="455"/>
      <c r="V86" s="455"/>
      <c r="W86" s="455"/>
      <c r="X86" s="455"/>
      <c r="Y86" s="455"/>
      <c r="Z86" s="455"/>
      <c r="AA86" s="455"/>
      <c r="AB86" s="1"/>
      <c r="AC86" s="1"/>
      <c r="AD86" s="455"/>
      <c r="AE86" s="455"/>
      <c r="AF86" s="1"/>
      <c r="AG86" s="1"/>
      <c r="AH86" s="1"/>
      <c r="AI86" s="1"/>
      <c r="AJ86" s="1">
        <f>'Exogenous tax and expenses'!AJ85+1</f>
        <v>21</v>
      </c>
      <c r="AK86" s="1"/>
      <c r="AL86" s="1"/>
      <c r="AM86" s="1"/>
      <c r="AN86" s="1"/>
      <c r="AO86" s="1"/>
      <c r="AP86" s="1"/>
      <c r="AQ86" s="1"/>
      <c r="AR86" s="1"/>
    </row>
    <row r="87" spans="1:44">
      <c r="B87" s="743"/>
      <c r="C87" s="1">
        <f>'Exogenous tax and expenses'!C86+1</f>
        <v>2040</v>
      </c>
      <c r="D87" s="701"/>
      <c r="E87" s="701"/>
      <c r="F87" s="747">
        <v>-3.8408407236135901E-2</v>
      </c>
      <c r="G87" s="747">
        <v>-5.44746023276238E-2</v>
      </c>
      <c r="H87" s="750">
        <v>-2.4353860174387999E-2</v>
      </c>
      <c r="I87" s="750">
        <v>-3.7134403324240298E-2</v>
      </c>
      <c r="J87" s="455">
        <v>-7.4417836892329897E-3</v>
      </c>
      <c r="K87" s="455">
        <v>-1.8854266398945201E-2</v>
      </c>
      <c r="L87" s="455">
        <f>'Exogenous tax and expenses'!F87+$S$60+$T$60+$U$60+$V$60+$W$60-$Y$60-$AA$60-$AB$60-$AC$60-$AD$60</f>
        <v>-1.2036924164725068E-2</v>
      </c>
      <c r="M87" s="455">
        <f>'Exogenous tax and expenses'!G87+$S$60+$T$60+$U$60+$V$60+$W$60-$Y$60-$AA$60-$AB$60-$AC$60-$AD$60-$W$60*15/15</f>
        <v>-4.3655279312607612E-2</v>
      </c>
      <c r="N87" s="455">
        <f>'Exogenous tax and expenses'!H87+$S$60+$T$60+$U$60+$V$60+$W$60-$Y$60-$AA$60-$AB$60-$AC$60-$AD$60</f>
        <v>2.0176228970228312E-3</v>
      </c>
      <c r="O87" s="455">
        <f>'Exogenous tax and expenses'!I87+$S$60+$T$60+$U$60+$V$60+$W$60-$Y$60-$AA$60-$AB$60-$AC$60-$AD$60-$W$60*15/15</f>
        <v>-2.6315080309224109E-2</v>
      </c>
      <c r="P87" s="455">
        <f>'Exogenous tax and expenses'!J87+$S$60+$T$60+$U$60+$V$60+$W$60-$Y$60-$AA$60-$AB$60-$AC$60-$AD$60</f>
        <v>1.8929699382177843E-2</v>
      </c>
      <c r="Q87" s="455">
        <f>'Exogenous tax and expenses'!K87+$S$60+$T$60+$U$60+$V$60+$W$60-$Y$60-$AA$60-$AB$60-$AC$60-$AD$60-$W$60*15/15</f>
        <v>-8.0349433839290128E-3</v>
      </c>
      <c r="R87" s="657"/>
      <c r="S87" s="657"/>
      <c r="T87" s="455"/>
      <c r="U87" s="455"/>
      <c r="V87" s="455"/>
      <c r="W87" s="455"/>
      <c r="X87" s="455"/>
      <c r="Y87" s="455"/>
      <c r="Z87" s="455"/>
      <c r="AA87" s="455"/>
      <c r="AB87" s="1"/>
      <c r="AC87" s="1"/>
      <c r="AD87" s="455"/>
      <c r="AE87" s="455"/>
      <c r="AF87" s="1"/>
      <c r="AG87" s="1"/>
      <c r="AH87" s="1"/>
      <c r="AI87" s="1"/>
      <c r="AJ87" s="1">
        <f>'Exogenous tax and expenses'!AJ86+1</f>
        <v>22</v>
      </c>
      <c r="AK87" s="1"/>
      <c r="AL87" s="1"/>
      <c r="AM87" s="1"/>
      <c r="AN87" s="1"/>
      <c r="AO87" s="1"/>
      <c r="AP87" s="1"/>
      <c r="AQ87" s="1"/>
      <c r="AR87" s="1"/>
    </row>
    <row r="88" spans="1:44">
      <c r="A88">
        <f>'Cuenta Ahorro-Inversión-Financi'!AV102</f>
        <v>2014</v>
      </c>
      <c r="B88" s="537"/>
      <c r="C88" s="1">
        <v>2014</v>
      </c>
      <c r="D88" s="702">
        <f t="shared" ref="D88:E92" si="4">D61</f>
        <v>-2.1741859491781389E-2</v>
      </c>
      <c r="E88" s="702">
        <f t="shared" si="4"/>
        <v>-1.2928637559684597E-3</v>
      </c>
      <c r="F88" s="1"/>
      <c r="G88" s="1"/>
      <c r="H88" s="751">
        <v>-2.0799999999999999E-2</v>
      </c>
      <c r="I88" s="752"/>
      <c r="J88" s="1"/>
      <c r="K88" s="1"/>
      <c r="L88" s="1"/>
      <c r="M88" s="1"/>
      <c r="N88" s="455">
        <f>'Exogenous tax and expenses'!H88+SUM('Exogenous tax and expenses'!Q52:S52)+'Exogenous tax and expenses'!W52+'Exogenous tax and expenses'!U52+'Cuenta Ahorro-Inversión-Financi'!L30/1000/'PIB corriente base 2004'!X18-SUM('Exogenous tax and expenses'!Y52:AC52)-'Cuenta Ahorro-Inversión-Financi'!CG31/1000/'PIB corriente base 2004'!X18</f>
        <v>-1.8380895503011183E-2</v>
      </c>
      <c r="O88" s="1"/>
      <c r="P88" s="1"/>
      <c r="Q88" s="657">
        <f>AVERAGE('Exogenous tax and expenses'!Q46:Q55)</f>
        <v>1.0384263403111235E-2</v>
      </c>
      <c r="R88" s="1"/>
      <c r="S88" s="657">
        <v>2E-3</v>
      </c>
      <c r="T88" s="455" t="s">
        <v>1054</v>
      </c>
      <c r="U88" s="455"/>
      <c r="V88" s="455"/>
      <c r="W88" s="455"/>
      <c r="X88" s="455"/>
      <c r="Y88" s="455"/>
      <c r="Z88" s="455"/>
      <c r="AA88" s="455"/>
      <c r="AB88" s="1"/>
      <c r="AC88" s="1"/>
      <c r="AD88" s="1"/>
      <c r="AE88" s="1"/>
      <c r="AF88" s="1"/>
      <c r="AG88" s="1"/>
      <c r="AH88" s="1">
        <f>'Exogenous tax and expenses'!AJ87+1</f>
        <v>23</v>
      </c>
      <c r="AI88" s="1"/>
      <c r="AJ88" s="1"/>
      <c r="AK88" s="1"/>
      <c r="AL88" s="1"/>
      <c r="AM88" s="1"/>
      <c r="AN88" s="1"/>
      <c r="AO88" s="1"/>
      <c r="AP88" s="1"/>
      <c r="AQ88" s="1"/>
      <c r="AR88" s="1"/>
    </row>
    <row r="89" spans="1:44">
      <c r="A89">
        <f>'Cuenta Ahorro-Inversión-Financi'!AV103</f>
        <v>2015</v>
      </c>
      <c r="B89" s="537"/>
      <c r="C89" s="1">
        <f>'Exogenous tax and expenses'!C88+1</f>
        <v>2015</v>
      </c>
      <c r="D89" s="701">
        <f t="shared" si="4"/>
        <v>-2.830905931781999E-2</v>
      </c>
      <c r="E89" s="701">
        <f t="shared" si="4"/>
        <v>-7.5073330617732078E-3</v>
      </c>
      <c r="F89" s="1"/>
      <c r="G89" s="1"/>
      <c r="H89" s="751">
        <v>-3.2800000000000003E-2</v>
      </c>
      <c r="I89" s="752"/>
      <c r="J89" s="1"/>
      <c r="K89" s="1"/>
      <c r="L89" s="1"/>
      <c r="M89" s="1"/>
      <c r="N89" s="455">
        <f>'Exogenous tax and expenses'!H89+SUM('Exogenous tax and expenses'!Q53:S53)+'Exogenous tax and expenses'!W53+'Exogenous tax and expenses'!U53+'Cuenta Ahorro-Inversión-Financi'!L31/1000/'PIB corriente base 2004'!X19-SUM('Exogenous tax and expenses'!Y53:AF53)</f>
        <v>-1.1558238209137846E-2</v>
      </c>
      <c r="O89" s="1"/>
      <c r="P89" s="1"/>
      <c r="Q89" s="1"/>
      <c r="R89" s="657"/>
      <c r="S89" s="657"/>
      <c r="T89" s="455"/>
      <c r="U89" s="455"/>
      <c r="V89" s="455"/>
      <c r="W89" s="455"/>
      <c r="X89" s="455"/>
      <c r="Y89" s="455"/>
      <c r="Z89" s="455"/>
      <c r="AA89" s="455"/>
      <c r="AB89" s="1"/>
      <c r="AC89" s="1"/>
      <c r="AD89" s="1"/>
      <c r="AE89" s="1"/>
      <c r="AF89" s="1"/>
      <c r="AG89" s="1"/>
      <c r="AH89" s="1">
        <f>'Exogenous tax and expenses'!AH88+1</f>
        <v>24</v>
      </c>
      <c r="AI89" s="1"/>
      <c r="AJ89" s="1"/>
      <c r="AK89" s="1"/>
      <c r="AL89" s="1"/>
      <c r="AM89" s="1"/>
      <c r="AN89" s="1"/>
      <c r="AO89" s="1"/>
      <c r="AP89" s="1"/>
      <c r="AQ89" s="1"/>
      <c r="AR89" s="1"/>
    </row>
    <row r="90" spans="1:44">
      <c r="A90">
        <f>'Cuenta Ahorro-Inversión-Financi'!AV104</f>
        <v>2016</v>
      </c>
      <c r="B90" s="537"/>
      <c r="C90" s="1">
        <f>'Exogenous tax and expenses'!C89+1</f>
        <v>2016</v>
      </c>
      <c r="D90" s="702">
        <f t="shared" si="4"/>
        <v>-3.2633713730394545E-2</v>
      </c>
      <c r="E90" s="702">
        <f t="shared" si="4"/>
        <v>-2.0346799695848929E-2</v>
      </c>
      <c r="F90" s="1"/>
      <c r="G90" s="1"/>
      <c r="H90" s="751">
        <v>-3.1699999999999999E-2</v>
      </c>
      <c r="I90" s="751">
        <v>-3.1699999999999999E-2</v>
      </c>
      <c r="J90" s="1"/>
      <c r="K90" s="1"/>
      <c r="L90" s="1"/>
      <c r="M90" s="1"/>
      <c r="N90" s="455">
        <f>'Exogenous tax and expenses'!H90+SUM('Exogenous tax and expenses'!Q54:S54)+'Exogenous tax and expenses'!W54+'Exogenous tax and expenses'!U54+'Cuenta Ahorro-Inversión-Financi'!L32/1000/'PIB corriente base 2004'!X20-SUM('Exogenous tax and expenses'!Y54:AC54)</f>
        <v>-1.2813976635167108E-2</v>
      </c>
      <c r="O90" s="1"/>
      <c r="P90" s="1"/>
      <c r="Q90" s="1"/>
      <c r="R90" s="657"/>
      <c r="S90" s="657"/>
      <c r="T90" s="455"/>
      <c r="U90" s="455"/>
      <c r="V90" s="455"/>
      <c r="W90" s="455"/>
      <c r="X90" s="455"/>
      <c r="Y90" s="455"/>
      <c r="Z90" s="455"/>
      <c r="AA90" s="455"/>
      <c r="AB90" s="1"/>
      <c r="AC90" s="1"/>
      <c r="AD90" s="1"/>
      <c r="AE90" s="1"/>
      <c r="AF90" s="1"/>
      <c r="AG90" s="1"/>
      <c r="AH90" s="1"/>
      <c r="AI90" s="1"/>
      <c r="AJ90" s="1"/>
      <c r="AK90" s="1"/>
      <c r="AL90" s="1"/>
      <c r="AM90" s="1"/>
      <c r="AN90" s="1"/>
      <c r="AO90" s="1"/>
      <c r="AP90" s="1"/>
      <c r="AQ90" s="1"/>
      <c r="AR90" s="1"/>
    </row>
    <row r="91" spans="1:44">
      <c r="A91">
        <f>'Cuenta Ahorro-Inversión-Financi'!AV105</f>
        <v>2017</v>
      </c>
      <c r="B91" s="537"/>
      <c r="C91" s="1">
        <f>'Exogenous tax and expenses'!C90+1</f>
        <v>2017</v>
      </c>
      <c r="D91" s="701">
        <f t="shared" si="4"/>
        <v>-3.2329961851876914E-2</v>
      </c>
      <c r="E91" s="701">
        <f t="shared" si="4"/>
        <v>-2.4104702008189635E-2</v>
      </c>
      <c r="F91" s="753">
        <v>-3.6400000000000002E-2</v>
      </c>
      <c r="G91" s="753">
        <v>-3.6900000000000002E-2</v>
      </c>
      <c r="H91" s="751">
        <v>-3.6299999999999999E-2</v>
      </c>
      <c r="I91" s="751">
        <v>-3.6799999999999999E-2</v>
      </c>
      <c r="J91" s="753">
        <v>-3.6200000000000003E-2</v>
      </c>
      <c r="K91" s="753">
        <v>-3.6600000000000001E-2</v>
      </c>
      <c r="L91" s="455">
        <f>'Exogenous tax and expenses'!F91+SUM('Exogenous tax and expenses'!Q55:S55)+'Exogenous tax and expenses'!W55+'Exogenous tax and expenses'!U55+('Cuenta Ahorro-Inversión-Financi'!L33-'Cuenta Ahorro-Inversión-Financi'!CG33)/1000/'PIB corriente base 2004'!X21-SUM('Exogenous tax and expenses'!Y55:AC55)</f>
        <v>-2.8852042385026262E-2</v>
      </c>
      <c r="M91" s="455">
        <f>'Exogenous tax and expenses'!G91+SUM('Exogenous tax and expenses'!Q55:S55)+'Exogenous tax and expenses'!W55+'Exogenous tax and expenses'!U55+('Cuenta Ahorro-Inversión-Financi'!L33-'Cuenta Ahorro-Inversión-Financi'!CG33)/1000/'PIB corriente base 2004'!X21-SUM('Exogenous tax and expenses'!Y55:AC55)</f>
        <v>-2.9352042385026263E-2</v>
      </c>
      <c r="N91" s="455">
        <f>'Exogenous tax and expenses'!H91+SUM('Exogenous tax and expenses'!Q55:S55)+'Exogenous tax and expenses'!W55+'Exogenous tax and expenses'!U55+('Cuenta Ahorro-Inversión-Financi'!L33-'Cuenta Ahorro-Inversión-Financi'!CG33)/1000/'PIB corriente base 2004'!X21-SUM('Exogenous tax and expenses'!Y55:AC55)</f>
        <v>-2.8752042385026259E-2</v>
      </c>
      <c r="O91" s="455">
        <f>'Exogenous tax and expenses'!I91+SUM('Exogenous tax and expenses'!Q55:S55)+'Exogenous tax and expenses'!W55+'Exogenous tax and expenses'!U55+('Cuenta Ahorro-Inversión-Financi'!L33-'Cuenta Ahorro-Inversión-Financi'!CG33)/1000/'PIB corriente base 2004'!X21-SUM('Exogenous tax and expenses'!Y55:AC55)</f>
        <v>-2.925204238502626E-2</v>
      </c>
      <c r="P91" s="455">
        <f>'Exogenous tax and expenses'!J91+SUM('Exogenous tax and expenses'!Q55:S55)+'Exogenous tax and expenses'!W55+'Exogenous tax and expenses'!U55+('Cuenta Ahorro-Inversión-Financi'!L33-'Cuenta Ahorro-Inversión-Financi'!CG33)/1000/'PIB corriente base 2004'!X21-SUM('Exogenous tax and expenses'!Y55:AC55)</f>
        <v>-2.8652042385026263E-2</v>
      </c>
      <c r="Q91" s="455">
        <f>'Exogenous tax and expenses'!K91+SUM('Exogenous tax and expenses'!Q55:S55)+'Exogenous tax and expenses'!W55+'Exogenous tax and expenses'!U55+('Cuenta Ahorro-Inversión-Financi'!L33-'Cuenta Ahorro-Inversión-Financi'!CG33)/1000/'PIB corriente base 2004'!X21-SUM('Exogenous tax and expenses'!Y55:AC55)</f>
        <v>-2.9052042385026261E-2</v>
      </c>
      <c r="R91" s="657"/>
      <c r="S91" s="657"/>
      <c r="T91" s="455"/>
      <c r="U91" s="455"/>
      <c r="V91" s="455"/>
      <c r="W91" s="455"/>
      <c r="X91" s="455"/>
      <c r="Y91" s="455"/>
      <c r="Z91" s="455"/>
      <c r="AA91" s="455"/>
      <c r="AB91" s="1"/>
      <c r="AC91" s="1"/>
      <c r="AD91" s="1"/>
      <c r="AE91" s="1"/>
      <c r="AF91" s="1"/>
      <c r="AG91" s="1"/>
      <c r="AH91" s="1"/>
      <c r="AI91" s="1"/>
      <c r="AJ91" s="1"/>
      <c r="AK91" s="1"/>
      <c r="AL91" s="1"/>
      <c r="AM91" s="1"/>
      <c r="AN91" s="1"/>
      <c r="AO91" s="1"/>
      <c r="AP91" s="1"/>
      <c r="AQ91" s="1"/>
      <c r="AR91" s="1"/>
    </row>
    <row r="92" spans="1:44">
      <c r="A92">
        <f>'Cuenta Ahorro-Inversión-Financi'!AV106</f>
        <v>2018</v>
      </c>
      <c r="B92" s="537"/>
      <c r="C92" s="1">
        <v>2018</v>
      </c>
      <c r="D92" s="702">
        <f t="shared" si="4"/>
        <v>-3.3489409156111087E-2</v>
      </c>
      <c r="E92" s="702">
        <f t="shared" si="4"/>
        <v>-1.8271797800212458E-2</v>
      </c>
      <c r="F92" s="753">
        <v>-3.6799999999999999E-2</v>
      </c>
      <c r="G92" s="753">
        <v>-3.7699999999999997E-2</v>
      </c>
      <c r="H92" s="751">
        <v>-3.5700000000000003E-2</v>
      </c>
      <c r="I92" s="751">
        <v>-3.6600000000000001E-2</v>
      </c>
      <c r="J92" s="753">
        <v>-3.4500000000000003E-2</v>
      </c>
      <c r="K92" s="753">
        <v>-3.5400000000000001E-2</v>
      </c>
      <c r="L92" s="455">
        <f>'Exogenous tax and expenses'!F92+SUM('Exogenous tax and expenses'!R92:V92)-SUM('Exogenous tax and expenses'!X92:AA92)</f>
        <v>-1.0330384956507876E-2</v>
      </c>
      <c r="M92" s="455">
        <f>'Exogenous tax and expenses'!G92+SUM('Exogenous tax and expenses'!R92:V92)-SUM('Exogenous tax and expenses'!X92:AA92)</f>
        <v>-1.1230384956507874E-2</v>
      </c>
      <c r="N92" s="455">
        <f>'Exogenous tax and expenses'!H92+SUM('Exogenous tax and expenses'!R92:V92)-SUM('Exogenous tax and expenses'!X92:AA92)</f>
        <v>-9.2303849565078793E-3</v>
      </c>
      <c r="O92" s="455">
        <f>'Exogenous tax and expenses'!I92+SUM('Exogenous tax and expenses'!R92:V92)-SUM('Exogenous tax and expenses'!X92:AA92)</f>
        <v>-1.0130384956507877E-2</v>
      </c>
      <c r="P92" s="455">
        <f>'Exogenous tax and expenses'!J92+SUM('Exogenous tax and expenses'!R92:V92)-SUM('Exogenous tax and expenses'!X92:AA92)</f>
        <v>-8.0303849565078796E-3</v>
      </c>
      <c r="Q92" s="455">
        <f>'Exogenous tax and expenses'!K92+SUM('Exogenous tax and expenses'!R92:V92)-SUM('Exogenous tax and expenses'!X92:AA92)</f>
        <v>-8.9303849565078777E-3</v>
      </c>
      <c r="R92" s="455">
        <f>'Exogenous tax and expenses'!S60</f>
        <v>7.1898445654710874E-3</v>
      </c>
      <c r="S92" s="455">
        <f>'Exogenous tax and expenses'!T60</f>
        <v>2.6488404432867107E-3</v>
      </c>
      <c r="T92" s="746">
        <f>'Exogenous tax and expenses'!U60</f>
        <v>1.5861055711979122E-4</v>
      </c>
      <c r="U92" s="455">
        <f>'Exogenous tax and expenses'!V60*0.77*8/12+'Exogenous tax and expenses'!V60*4/12</f>
        <v>1.3938049031719569E-2</v>
      </c>
      <c r="V92" s="746">
        <f>'Exogenous tax and expenses'!W60</f>
        <v>1.5552160056394643E-2</v>
      </c>
      <c r="W92" s="746"/>
      <c r="X92" s="746">
        <f>'Exogenous tax and expenses'!Y60</f>
        <v>1.9129375374496074E-3</v>
      </c>
      <c r="Y92" s="455">
        <f>'Exogenous tax and expenses'!AA60</f>
        <v>2.6275501339975628E-3</v>
      </c>
      <c r="Z92" s="455">
        <f>'Exogenous tax and expenses'!AB60</f>
        <v>6.9520391621970623E-3</v>
      </c>
      <c r="AA92" s="455">
        <f>'Exogenous tax and expenses'!AC60</f>
        <v>1.5253627768554421E-3</v>
      </c>
      <c r="AB92" s="1"/>
      <c r="AC92" s="1"/>
      <c r="AD92" s="1"/>
      <c r="AE92" s="1"/>
      <c r="AF92" s="1"/>
      <c r="AG92" s="1"/>
      <c r="AH92" s="1"/>
      <c r="AI92" s="1"/>
      <c r="AJ92" s="1"/>
      <c r="AK92" s="1"/>
      <c r="AL92" s="1"/>
      <c r="AM92" s="1"/>
      <c r="AN92" s="1"/>
      <c r="AO92" s="1"/>
      <c r="AP92" s="1"/>
      <c r="AQ92" s="1"/>
      <c r="AR92" s="1"/>
    </row>
    <row r="93" spans="1:44">
      <c r="B93" s="537" t="s">
        <v>1055</v>
      </c>
      <c r="C93" s="1">
        <f>'Exogenous tax and expenses'!C92+1</f>
        <v>2019</v>
      </c>
      <c r="D93" s="1"/>
      <c r="E93" s="1"/>
      <c r="F93" s="753">
        <v>-4.2200000000000001E-2</v>
      </c>
      <c r="G93" s="753">
        <v>-4.3499999999999997E-2</v>
      </c>
      <c r="H93" s="751">
        <v>-3.9E-2</v>
      </c>
      <c r="I93" s="751">
        <v>-4.0300000000000002E-2</v>
      </c>
      <c r="J93" s="753">
        <v>-3.6499999999999998E-2</v>
      </c>
      <c r="K93" s="753">
        <v>-3.78E-2</v>
      </c>
      <c r="L93" s="455">
        <f>'Exogenous tax and expenses'!F93+SUM('Exogenous tax and expenses'!R93:V93)-SUM('Exogenous tax and expenses'!X93:AA93)</f>
        <v>-1.9791076406693892E-2</v>
      </c>
      <c r="M93" s="455">
        <f>'Exogenous tax and expenses'!G93+SUM('Exogenous tax and expenses'!R93:V93)-SUM('Exogenous tax and expenses'!X93:AA93)</f>
        <v>-2.1091076406693887E-2</v>
      </c>
      <c r="N93" s="455">
        <f>'Exogenous tax and expenses'!H93+SUM('Exogenous tax and expenses'!R93:V93)-SUM('Exogenous tax and expenses'!X93:AA93)</f>
        <v>-1.659107640669389E-2</v>
      </c>
      <c r="O93" s="455">
        <f>'Exogenous tax and expenses'!I93+SUM('Exogenous tax and expenses'!R93:V93)-SUM('Exogenous tax and expenses'!X93:AA93)</f>
        <v>-1.7891076406693893E-2</v>
      </c>
      <c r="P93" s="455">
        <f>'Exogenous tax and expenses'!J93+SUM('Exogenous tax and expenses'!R93:V93)-SUM('Exogenous tax and expenses'!X93:AA93)</f>
        <v>-1.4091076406693886E-2</v>
      </c>
      <c r="Q93" s="455">
        <f>'Exogenous tax and expenses'!K93+SUM('Exogenous tax and expenses'!R93:V93)-SUM('Exogenous tax and expenses'!X93:AA93)</f>
        <v>-1.5391076406693889E-2</v>
      </c>
      <c r="R93" s="455">
        <f>'Exogenous tax and expenses'!R92</f>
        <v>7.1898445654710874E-3</v>
      </c>
      <c r="S93" s="455">
        <f>'Exogenous tax and expenses'!S92</f>
        <v>2.6488404432867107E-3</v>
      </c>
      <c r="T93" s="746">
        <f>'Exogenous tax and expenses'!T92</f>
        <v>1.5861055711979122E-4</v>
      </c>
      <c r="U93" s="455">
        <f>'Exogenous tax and expenses'!V60*0.6</f>
        <v>9.877357581533552E-3</v>
      </c>
      <c r="V93" s="746">
        <f>'Exogenous tax and expenses'!V92</f>
        <v>1.5552160056394643E-2</v>
      </c>
      <c r="W93" s="746"/>
      <c r="X93" s="746">
        <f>'Exogenous tax and expenses'!X92</f>
        <v>1.9129375374496074E-3</v>
      </c>
      <c r="Y93" s="455">
        <f>'Exogenous tax and expenses'!Y92</f>
        <v>2.6275501339975628E-3</v>
      </c>
      <c r="Z93" s="455">
        <f>'Exogenous tax and expenses'!Z92</f>
        <v>6.9520391621970623E-3</v>
      </c>
      <c r="AA93" s="455">
        <f>'Exogenous tax and expenses'!AA92</f>
        <v>1.5253627768554421E-3</v>
      </c>
      <c r="AB93" s="1"/>
      <c r="AC93" s="1"/>
      <c r="AD93" s="1"/>
      <c r="AE93" s="1"/>
      <c r="AF93" s="1"/>
      <c r="AG93" s="1"/>
      <c r="AH93" s="1"/>
      <c r="AI93" s="1"/>
      <c r="AJ93" s="1"/>
      <c r="AK93" s="1"/>
      <c r="AL93" s="1"/>
      <c r="AM93" s="1"/>
      <c r="AN93" s="1"/>
      <c r="AO93" s="1"/>
      <c r="AP93" s="1"/>
      <c r="AQ93" s="1"/>
      <c r="AR93" s="1"/>
    </row>
    <row r="94" spans="1:44">
      <c r="B94" s="537"/>
      <c r="C94" s="1">
        <f>'Exogenous tax and expenses'!C93+1</f>
        <v>2020</v>
      </c>
      <c r="D94" s="1"/>
      <c r="E94" s="1"/>
      <c r="F94" s="753">
        <v>-4.5999999999999999E-2</v>
      </c>
      <c r="G94" s="753">
        <v>-4.7699999999999999E-2</v>
      </c>
      <c r="H94" s="751">
        <v>-4.2099999999999999E-2</v>
      </c>
      <c r="I94" s="751">
        <v>-4.3700000000000003E-2</v>
      </c>
      <c r="J94" s="753">
        <v>-3.8800000000000001E-2</v>
      </c>
      <c r="K94" s="753">
        <v>-4.0399999999999998E-2</v>
      </c>
      <c r="L94" s="455">
        <f>'Exogenous tax and expenses'!F94+SUM('Exogenous tax and expenses'!R94:V94)-SUM('Exogenous tax and expenses'!X94:AA94)</f>
        <v>-2.6883528933871741E-2</v>
      </c>
      <c r="M94" s="455">
        <f>'Exogenous tax and expenses'!G94+SUM('Exogenous tax and expenses'!R94:V94)-SUM('Exogenous tax and expenses'!X94:AA94)</f>
        <v>-2.8583528933871741E-2</v>
      </c>
      <c r="N94" s="455">
        <f>'Exogenous tax and expenses'!H94+SUM('Exogenous tax and expenses'!R94:V94)-SUM('Exogenous tax and expenses'!X94:AA94)</f>
        <v>-2.298352893387174E-2</v>
      </c>
      <c r="O94" s="455">
        <f>'Exogenous tax and expenses'!I94+SUM('Exogenous tax and expenses'!R94:V94)-SUM('Exogenous tax and expenses'!X94:AA94)</f>
        <v>-2.4583528933871744E-2</v>
      </c>
      <c r="P94" s="455">
        <f>'Exogenous tax and expenses'!J94+SUM('Exogenous tax and expenses'!R94:V94)-SUM('Exogenous tax and expenses'!X94:AA94)</f>
        <v>-1.9683528933871743E-2</v>
      </c>
      <c r="Q94" s="455">
        <f>'Exogenous tax and expenses'!K94+SUM('Exogenous tax and expenses'!R94:V94)-SUM('Exogenous tax and expenses'!X94:AA94)</f>
        <v>-2.128352893387174E-2</v>
      </c>
      <c r="R94" s="455">
        <f>'Exogenous tax and expenses'!R93</f>
        <v>7.1898445654710874E-3</v>
      </c>
      <c r="S94" s="455">
        <f>'Exogenous tax and expenses'!S93</f>
        <v>2.6488404432867107E-3</v>
      </c>
      <c r="T94" s="746">
        <f>'Exogenous tax and expenses'!T93</f>
        <v>1.5861055711979122E-4</v>
      </c>
      <c r="U94" s="455">
        <f>'Exogenous tax and expenses'!V60*0.4</f>
        <v>6.5849050543557016E-3</v>
      </c>
      <c r="V94" s="746">
        <f>'Exogenous tax and expenses'!V93</f>
        <v>1.5552160056394643E-2</v>
      </c>
      <c r="W94" s="746"/>
      <c r="X94" s="746">
        <f>'Exogenous tax and expenses'!X93</f>
        <v>1.9129375374496074E-3</v>
      </c>
      <c r="Y94" s="455">
        <f>'Exogenous tax and expenses'!Y93</f>
        <v>2.6275501339975628E-3</v>
      </c>
      <c r="Z94" s="455">
        <f>'Exogenous tax and expenses'!Z93</f>
        <v>6.9520391621970623E-3</v>
      </c>
      <c r="AA94" s="455">
        <f>'Exogenous tax and expenses'!AA93</f>
        <v>1.5253627768554421E-3</v>
      </c>
      <c r="AB94" s="455"/>
      <c r="AC94" s="455"/>
      <c r="AD94" s="1"/>
      <c r="AE94" s="1"/>
      <c r="AF94" s="1"/>
      <c r="AG94" s="1"/>
      <c r="AH94" s="1"/>
      <c r="AI94" s="1"/>
      <c r="AJ94" s="1"/>
      <c r="AK94" s="1"/>
      <c r="AL94" s="1"/>
      <c r="AM94" s="1"/>
      <c r="AN94" s="1"/>
      <c r="AO94" s="1"/>
      <c r="AP94" s="1"/>
      <c r="AQ94" s="1"/>
      <c r="AR94" s="1"/>
    </row>
    <row r="95" spans="1:44">
      <c r="B95" s="537"/>
      <c r="C95" s="1">
        <f>'Exogenous tax and expenses'!C94+1</f>
        <v>2021</v>
      </c>
      <c r="D95" s="1"/>
      <c r="E95" s="1"/>
      <c r="F95" s="753">
        <v>-4.7500000000000001E-2</v>
      </c>
      <c r="G95" s="753">
        <v>-4.9599999999999998E-2</v>
      </c>
      <c r="H95" s="751">
        <v>-4.3400000000000001E-2</v>
      </c>
      <c r="I95" s="751">
        <v>-4.5499999999999999E-2</v>
      </c>
      <c r="J95" s="753">
        <v>-3.9E-2</v>
      </c>
      <c r="K95" s="753">
        <v>-4.1000000000000002E-2</v>
      </c>
      <c r="L95" s="455">
        <f>'Exogenous tax and expenses'!F95+SUM('Exogenous tax and expenses'!R95:V95)-SUM('Exogenous tax and expenses'!X95:AA95)</f>
        <v>-3.1675981461049593E-2</v>
      </c>
      <c r="M95" s="455">
        <f>'Exogenous tax and expenses'!G95+SUM('Exogenous tax and expenses'!R95:V95)-SUM('Exogenous tax and expenses'!X95:AA95)</f>
        <v>-3.3775981461049591E-2</v>
      </c>
      <c r="N95" s="455">
        <f>'Exogenous tax and expenses'!H95+SUM('Exogenous tax and expenses'!R95:V95)-SUM('Exogenous tax and expenses'!X95:AA95)</f>
        <v>-2.7575981461049594E-2</v>
      </c>
      <c r="O95" s="455">
        <f>'Exogenous tax and expenses'!I95+SUM('Exogenous tax and expenses'!R95:V95)-SUM('Exogenous tax and expenses'!X95:AA95)</f>
        <v>-2.9675981461049591E-2</v>
      </c>
      <c r="P95" s="455">
        <f>'Exogenous tax and expenses'!J95+SUM('Exogenous tax and expenses'!R95:V95)-SUM('Exogenous tax and expenses'!X95:AA95)</f>
        <v>-2.3175981461049593E-2</v>
      </c>
      <c r="Q95" s="455">
        <f>'Exogenous tax and expenses'!K95+SUM('Exogenous tax and expenses'!R95:V95)-SUM('Exogenous tax and expenses'!X95:AA95)</f>
        <v>-2.5175981461049594E-2</v>
      </c>
      <c r="R95" s="455">
        <f>'Exogenous tax and expenses'!R94</f>
        <v>7.1898445654710874E-3</v>
      </c>
      <c r="S95" s="455">
        <f>'Exogenous tax and expenses'!S94</f>
        <v>2.6488404432867107E-3</v>
      </c>
      <c r="T95" s="746">
        <f>'Exogenous tax and expenses'!T94</f>
        <v>1.5861055711979122E-4</v>
      </c>
      <c r="U95" s="455">
        <f>'Exogenous tax and expenses'!V60*0.2</f>
        <v>3.2924525271778508E-3</v>
      </c>
      <c r="V95" s="746">
        <f>'Exogenous tax and expenses'!V94</f>
        <v>1.5552160056394643E-2</v>
      </c>
      <c r="W95" s="746"/>
      <c r="X95" s="746">
        <f>'Exogenous tax and expenses'!X94</f>
        <v>1.9129375374496074E-3</v>
      </c>
      <c r="Y95" s="455">
        <f>'Exogenous tax and expenses'!Y94</f>
        <v>2.6275501339975628E-3</v>
      </c>
      <c r="Z95" s="455">
        <f>'Exogenous tax and expenses'!Z94</f>
        <v>6.9520391621970623E-3</v>
      </c>
      <c r="AA95" s="455">
        <f>'Exogenous tax and expenses'!AA94</f>
        <v>1.5253627768554421E-3</v>
      </c>
      <c r="AB95" s="455"/>
      <c r="AC95" s="455"/>
      <c r="AD95" s="1"/>
      <c r="AE95" s="1"/>
      <c r="AF95" s="1"/>
      <c r="AG95" s="1"/>
      <c r="AH95" s="1"/>
      <c r="AI95" s="1"/>
      <c r="AJ95" s="1"/>
      <c r="AK95" s="1"/>
      <c r="AL95" s="1"/>
      <c r="AM95" s="1"/>
      <c r="AN95" s="1"/>
      <c r="AO95" s="1"/>
      <c r="AP95" s="1"/>
      <c r="AQ95" s="1"/>
      <c r="AR95" s="1"/>
    </row>
    <row r="96" spans="1:44">
      <c r="B96" s="537"/>
      <c r="C96" s="1">
        <f>'Exogenous tax and expenses'!C95+1</f>
        <v>2022</v>
      </c>
      <c r="D96" s="1"/>
      <c r="E96" s="1"/>
      <c r="F96" s="753">
        <v>-4.9200000000000001E-2</v>
      </c>
      <c r="G96" s="753">
        <v>-5.1799999999999999E-2</v>
      </c>
      <c r="H96" s="751">
        <v>-4.48E-2</v>
      </c>
      <c r="I96" s="751">
        <v>-4.7300000000000002E-2</v>
      </c>
      <c r="J96" s="753">
        <v>-4.0099999999999997E-2</v>
      </c>
      <c r="K96" s="753">
        <v>-4.2500000000000003E-2</v>
      </c>
      <c r="L96" s="455">
        <f>'Exogenous tax and expenses'!F96+SUM('Exogenous tax and expenses'!R96:V96)-SUM('Exogenous tax and expenses'!X96:AA96)</f>
        <v>-3.6668433988227445E-2</v>
      </c>
      <c r="M96" s="455">
        <f>'Exogenous tax and expenses'!G96+SUM('Exogenous tax and expenses'!R96:V96)-SUM('Exogenous tax and expenses'!X96:AA96)</f>
        <v>-3.9268433988227443E-2</v>
      </c>
      <c r="N96" s="455">
        <f>'Exogenous tax and expenses'!H96+SUM('Exogenous tax and expenses'!R96:V96)-SUM('Exogenous tax and expenses'!X96:AA96)</f>
        <v>-3.2268433988227443E-2</v>
      </c>
      <c r="O96" s="455">
        <f>'Exogenous tax and expenses'!I96+SUM('Exogenous tax and expenses'!R96:V96)-SUM('Exogenous tax and expenses'!X96:AA96)</f>
        <v>-3.4768433988227446E-2</v>
      </c>
      <c r="P96" s="455">
        <f>'Exogenous tax and expenses'!J96+SUM('Exogenous tax and expenses'!R96:V96)-SUM('Exogenous tax and expenses'!X96:AA96)</f>
        <v>-2.7568433988227441E-2</v>
      </c>
      <c r="Q96" s="455">
        <f>'Exogenous tax and expenses'!K96+SUM('Exogenous tax and expenses'!R96:V96)-SUM('Exogenous tax and expenses'!X96:AA96)</f>
        <v>-2.9968433988227447E-2</v>
      </c>
      <c r="R96" s="455">
        <f>'Exogenous tax and expenses'!R95</f>
        <v>7.1898445654710874E-3</v>
      </c>
      <c r="S96" s="455">
        <f>'Exogenous tax and expenses'!S95</f>
        <v>2.6488404432867107E-3</v>
      </c>
      <c r="T96" s="746">
        <f>'Exogenous tax and expenses'!T95</f>
        <v>1.5861055711979122E-4</v>
      </c>
      <c r="U96" s="455">
        <v>0</v>
      </c>
      <c r="V96" s="746">
        <f>'Exogenous tax and expenses'!V95</f>
        <v>1.5552160056394643E-2</v>
      </c>
      <c r="W96" s="746"/>
      <c r="X96" s="746">
        <f>'Exogenous tax and expenses'!X95</f>
        <v>1.9129375374496074E-3</v>
      </c>
      <c r="Y96" s="455">
        <f>'Exogenous tax and expenses'!Y95</f>
        <v>2.6275501339975628E-3</v>
      </c>
      <c r="Z96" s="455">
        <f>'Exogenous tax and expenses'!Z95</f>
        <v>6.9520391621970623E-3</v>
      </c>
      <c r="AA96" s="455">
        <f>'Exogenous tax and expenses'!AA95</f>
        <v>1.5253627768554421E-3</v>
      </c>
      <c r="AB96" s="455"/>
      <c r="AC96" s="455"/>
      <c r="AD96" s="1"/>
      <c r="AE96" s="1"/>
      <c r="AF96" s="1"/>
      <c r="AG96" s="1"/>
      <c r="AH96" s="1"/>
      <c r="AI96" s="1"/>
      <c r="AJ96" s="1"/>
      <c r="AK96" s="1"/>
      <c r="AL96" s="1"/>
      <c r="AM96" s="1"/>
      <c r="AN96" s="1"/>
      <c r="AO96" s="1"/>
      <c r="AP96" s="1"/>
      <c r="AQ96" s="1"/>
      <c r="AR96" s="1"/>
    </row>
    <row r="97" spans="2:44">
      <c r="B97" s="537"/>
      <c r="C97" s="1">
        <f>'Exogenous tax and expenses'!C96+1</f>
        <v>2023</v>
      </c>
      <c r="D97" s="1"/>
      <c r="E97" s="1"/>
      <c r="F97" s="753">
        <v>-4.8300000000000003E-2</v>
      </c>
      <c r="G97" s="753">
        <v>-5.1299999999999998E-2</v>
      </c>
      <c r="H97" s="751">
        <v>-4.2500000000000003E-2</v>
      </c>
      <c r="I97" s="751">
        <v>-4.53E-2</v>
      </c>
      <c r="J97" s="753">
        <v>-3.6999999999999998E-2</v>
      </c>
      <c r="K97" s="753">
        <v>-3.9600000000000003E-2</v>
      </c>
      <c r="L97" s="455">
        <f>'Exogenous tax and expenses'!F97+SUM('Exogenous tax and expenses'!R97:V97)-SUM('Exogenous tax and expenses'!X97:AA97)</f>
        <v>-3.5768433988227447E-2</v>
      </c>
      <c r="M97" s="455">
        <f>'Exogenous tax and expenses'!G97+SUM('Exogenous tax and expenses'!R97:V97)-SUM('Exogenous tax and expenses'!X97:AA97)</f>
        <v>-3.8768433988227442E-2</v>
      </c>
      <c r="N97" s="455">
        <f>'Exogenous tax and expenses'!H97+SUM('Exogenous tax and expenses'!R97:V97)-SUM('Exogenous tax and expenses'!X97:AA97)</f>
        <v>-2.9968433988227447E-2</v>
      </c>
      <c r="O97" s="455">
        <f>'Exogenous tax and expenses'!I97+SUM('Exogenous tax and expenses'!R97:V97)-SUM('Exogenous tax and expenses'!X97:AA97)</f>
        <v>-3.2768433988227444E-2</v>
      </c>
      <c r="P97" s="455">
        <f>'Exogenous tax and expenses'!J97+SUM('Exogenous tax and expenses'!R97:V97)-SUM('Exogenous tax and expenses'!X97:AA97)</f>
        <v>-2.4468433988227442E-2</v>
      </c>
      <c r="Q97" s="455">
        <f>'Exogenous tax and expenses'!K97+SUM('Exogenous tax and expenses'!R97:V97)-SUM('Exogenous tax and expenses'!X97:AA97)</f>
        <v>-2.7068433988227447E-2</v>
      </c>
      <c r="R97" s="455">
        <f>'Exogenous tax and expenses'!R96</f>
        <v>7.1898445654710874E-3</v>
      </c>
      <c r="S97" s="455">
        <f>'Exogenous tax and expenses'!S96</f>
        <v>2.6488404432867107E-3</v>
      </c>
      <c r="T97" s="746">
        <f>'Exogenous tax and expenses'!T96</f>
        <v>1.5861055711979122E-4</v>
      </c>
      <c r="U97" s="455">
        <f>'Exogenous tax and expenses'!U96</f>
        <v>0</v>
      </c>
      <c r="V97" s="746">
        <f>'Exogenous tax and expenses'!V96</f>
        <v>1.5552160056394643E-2</v>
      </c>
      <c r="W97" s="746"/>
      <c r="X97" s="746">
        <f>'Exogenous tax and expenses'!X96</f>
        <v>1.9129375374496074E-3</v>
      </c>
      <c r="Y97" s="455">
        <f>'Exogenous tax and expenses'!Y96</f>
        <v>2.6275501339975628E-3</v>
      </c>
      <c r="Z97" s="455">
        <f>'Exogenous tax and expenses'!Z96</f>
        <v>6.9520391621970623E-3</v>
      </c>
      <c r="AA97" s="455">
        <f>'Exogenous tax and expenses'!AA96</f>
        <v>1.5253627768554421E-3</v>
      </c>
      <c r="AB97" s="455"/>
      <c r="AC97" s="455"/>
      <c r="AD97" s="1"/>
      <c r="AE97" s="1"/>
      <c r="AF97" s="1"/>
      <c r="AG97" s="1"/>
      <c r="AH97" s="1"/>
      <c r="AI97" s="1"/>
      <c r="AJ97" s="1"/>
      <c r="AK97" s="1"/>
      <c r="AL97" s="1"/>
      <c r="AM97" s="1"/>
      <c r="AN97" s="1"/>
      <c r="AO97" s="1"/>
      <c r="AP97" s="1"/>
      <c r="AQ97" s="1"/>
      <c r="AR97" s="1"/>
    </row>
    <row r="98" spans="2:44">
      <c r="B98" s="537"/>
      <c r="C98" s="1">
        <f>'Exogenous tax and expenses'!C97+1</f>
        <v>2024</v>
      </c>
      <c r="D98" s="1"/>
      <c r="E98" s="1"/>
      <c r="F98" s="753">
        <v>-4.7699999999999999E-2</v>
      </c>
      <c r="G98" s="753">
        <v>-5.1200000000000002E-2</v>
      </c>
      <c r="H98" s="754">
        <v>-4.0599999999999997E-2</v>
      </c>
      <c r="I98" s="754">
        <v>-4.3900000000000002E-2</v>
      </c>
      <c r="J98" s="753">
        <v>-3.32E-2</v>
      </c>
      <c r="K98" s="753">
        <v>-3.6200000000000003E-2</v>
      </c>
      <c r="L98" s="455">
        <f>'Exogenous tax and expenses'!F98+SUM('Exogenous tax and expenses'!R98:V98)-SUM('Exogenous tax and expenses'!X98:AA98)</f>
        <v>-3.5168433988227443E-2</v>
      </c>
      <c r="M98" s="455">
        <f>'Exogenous tax and expenses'!G98+SUM('Exogenous tax and expenses'!R98:V98)-SUM('Exogenous tax and expenses'!X98:AA98)</f>
        <v>-3.8668433988227446E-2</v>
      </c>
      <c r="N98" s="455">
        <f>'Exogenous tax and expenses'!H98+SUM('Exogenous tax and expenses'!R98:V98)-SUM('Exogenous tax and expenses'!X98:AA98)</f>
        <v>-2.8068433988227441E-2</v>
      </c>
      <c r="O98" s="455">
        <f>'Exogenous tax and expenses'!I98+SUM('Exogenous tax and expenses'!R98:V98)-SUM('Exogenous tax and expenses'!X98:AA98)</f>
        <v>-3.1368433988227445E-2</v>
      </c>
      <c r="P98" s="455">
        <f>'Exogenous tax and expenses'!J98+SUM('Exogenous tax and expenses'!R98:V98)-SUM('Exogenous tax and expenses'!X98:AA98)</f>
        <v>-2.0668433988227444E-2</v>
      </c>
      <c r="Q98" s="455">
        <f>'Exogenous tax and expenses'!K98+SUM('Exogenous tax and expenses'!R98:V98)-SUM('Exogenous tax and expenses'!X98:AA98)</f>
        <v>-2.3668433988227447E-2</v>
      </c>
      <c r="R98" s="455">
        <f>'Exogenous tax and expenses'!R97</f>
        <v>7.1898445654710874E-3</v>
      </c>
      <c r="S98" s="455">
        <f>'Exogenous tax and expenses'!S97</f>
        <v>2.6488404432867107E-3</v>
      </c>
      <c r="T98" s="746">
        <f>'Exogenous tax and expenses'!T97</f>
        <v>1.5861055711979122E-4</v>
      </c>
      <c r="U98" s="455">
        <f>'Exogenous tax and expenses'!U97</f>
        <v>0</v>
      </c>
      <c r="V98" s="746">
        <f>'Exogenous tax and expenses'!V97</f>
        <v>1.5552160056394643E-2</v>
      </c>
      <c r="W98" s="746"/>
      <c r="X98" s="746">
        <f>'Exogenous tax and expenses'!X97</f>
        <v>1.9129375374496074E-3</v>
      </c>
      <c r="Y98" s="455">
        <f>'Exogenous tax and expenses'!Y97</f>
        <v>2.6275501339975628E-3</v>
      </c>
      <c r="Z98" s="455">
        <f>'Exogenous tax and expenses'!Z97</f>
        <v>6.9520391621970623E-3</v>
      </c>
      <c r="AA98" s="455">
        <f>'Exogenous tax and expenses'!AA97</f>
        <v>1.5253627768554421E-3</v>
      </c>
      <c r="AB98" s="455"/>
      <c r="AC98" s="455"/>
      <c r="AD98" s="1"/>
      <c r="AE98" s="1"/>
      <c r="AF98" s="1"/>
      <c r="AG98" s="1"/>
      <c r="AH98" s="1"/>
      <c r="AI98" s="1"/>
      <c r="AJ98" s="1"/>
      <c r="AK98" s="1"/>
      <c r="AL98" s="1"/>
      <c r="AM98" s="1"/>
      <c r="AN98" s="1"/>
      <c r="AO98" s="1"/>
      <c r="AP98" s="1"/>
      <c r="AQ98" s="1"/>
      <c r="AR98" s="1"/>
    </row>
    <row r="99" spans="2:44">
      <c r="B99" s="537"/>
      <c r="C99" s="1">
        <f>'Exogenous tax and expenses'!C98+1</f>
        <v>2025</v>
      </c>
      <c r="D99" s="1"/>
      <c r="E99" s="1"/>
      <c r="F99" s="753">
        <v>-4.7100000000000003E-2</v>
      </c>
      <c r="G99" s="753">
        <v>-5.1799999999999999E-2</v>
      </c>
      <c r="H99" s="755">
        <v>-3.95E-2</v>
      </c>
      <c r="I99" s="755">
        <v>-4.3799999999999999E-2</v>
      </c>
      <c r="J99" s="753">
        <v>-3.0700000000000002E-2</v>
      </c>
      <c r="K99" s="753">
        <v>-3.4700000000000002E-2</v>
      </c>
      <c r="L99" s="455">
        <f>'Exogenous tax and expenses'!F99+SUM('Exogenous tax and expenses'!R99:V99)-SUM('Exogenous tax and expenses'!X99:AA99)</f>
        <v>-3.4568433988227447E-2</v>
      </c>
      <c r="M99" s="455">
        <f>'Exogenous tax and expenses'!G99+SUM('Exogenous tax and expenses'!R99:V99)-SUM('Exogenous tax and expenses'!X99:AA99)</f>
        <v>-3.9268433988227443E-2</v>
      </c>
      <c r="N99" s="455">
        <f>'Exogenous tax and expenses'!H99+SUM('Exogenous tax and expenses'!R99:V99)-SUM('Exogenous tax and expenses'!X99:AA99)</f>
        <v>-2.6968433988227444E-2</v>
      </c>
      <c r="O99" s="455">
        <f>'Exogenous tax and expenses'!I99+SUM('Exogenous tax and expenses'!R99:V99)-SUM('Exogenous tax and expenses'!X99:AA99)</f>
        <v>-3.1268433988227443E-2</v>
      </c>
      <c r="P99" s="455">
        <f>'Exogenous tax and expenses'!J99+SUM('Exogenous tax and expenses'!R99:V99)-SUM('Exogenous tax and expenses'!X99:AA99)</f>
        <v>-1.8168433988227442E-2</v>
      </c>
      <c r="Q99" s="455">
        <f>'Exogenous tax and expenses'!K99+SUM('Exogenous tax and expenses'!R99:V99)-SUM('Exogenous tax and expenses'!X99:AA99)</f>
        <v>-2.2168433988227446E-2</v>
      </c>
      <c r="R99" s="455">
        <f>'Exogenous tax and expenses'!R98</f>
        <v>7.1898445654710874E-3</v>
      </c>
      <c r="S99" s="455">
        <f>'Exogenous tax and expenses'!S98</f>
        <v>2.6488404432867107E-3</v>
      </c>
      <c r="T99" s="746">
        <f>'Exogenous tax and expenses'!T98</f>
        <v>1.5861055711979122E-4</v>
      </c>
      <c r="U99" s="455">
        <f>'Exogenous tax and expenses'!U98</f>
        <v>0</v>
      </c>
      <c r="V99" s="746">
        <f>'Exogenous tax and expenses'!V98</f>
        <v>1.5552160056394643E-2</v>
      </c>
      <c r="W99" s="746"/>
      <c r="X99" s="746">
        <f>'Exogenous tax and expenses'!X98</f>
        <v>1.9129375374496074E-3</v>
      </c>
      <c r="Y99" s="455">
        <f>'Exogenous tax and expenses'!Y98</f>
        <v>2.6275501339975628E-3</v>
      </c>
      <c r="Z99" s="455">
        <f>'Exogenous tax and expenses'!Z98</f>
        <v>6.9520391621970623E-3</v>
      </c>
      <c r="AA99" s="455">
        <f>'Exogenous tax and expenses'!AA98</f>
        <v>1.5253627768554421E-3</v>
      </c>
      <c r="AB99" s="455"/>
      <c r="AC99" s="455"/>
      <c r="AD99" s="1"/>
      <c r="AE99" s="1"/>
      <c r="AF99" s="1"/>
      <c r="AG99" s="1"/>
      <c r="AH99" s="1"/>
      <c r="AI99" s="1"/>
      <c r="AJ99" s="1"/>
      <c r="AK99" s="1"/>
      <c r="AL99" s="1"/>
      <c r="AM99" s="1"/>
      <c r="AN99" s="1"/>
      <c r="AO99" s="1"/>
      <c r="AP99" s="1"/>
      <c r="AQ99" s="1"/>
      <c r="AR99" s="1"/>
    </row>
    <row r="100" spans="2:44">
      <c r="B100" s="537"/>
      <c r="C100" s="1">
        <f>'Exogenous tax and expenses'!C99+1</f>
        <v>2026</v>
      </c>
      <c r="D100" s="1"/>
      <c r="E100" s="1"/>
      <c r="F100" s="753">
        <v>-4.7100000000000003E-2</v>
      </c>
      <c r="G100" s="753">
        <v>-5.3100000000000001E-2</v>
      </c>
      <c r="H100" s="756">
        <v>-3.73E-2</v>
      </c>
      <c r="I100" s="756">
        <v>-4.2900000000000001E-2</v>
      </c>
      <c r="J100" s="753">
        <v>-2.8899999999999999E-2</v>
      </c>
      <c r="K100" s="753">
        <v>-3.39E-2</v>
      </c>
      <c r="L100" s="455">
        <f>'Exogenous tax and expenses'!F100+SUM('Exogenous tax and expenses'!R100:V100)-SUM('Exogenous tax and expenses'!X100:AA100)</f>
        <v>-3.4568433988227447E-2</v>
      </c>
      <c r="M100" s="455">
        <f>'Exogenous tax and expenses'!G100+SUM('Exogenous tax and expenses'!R100:V100)-SUM('Exogenous tax and expenses'!X100:AA100)</f>
        <v>-4.0568433988227445E-2</v>
      </c>
      <c r="N100" s="455">
        <f>'Exogenous tax and expenses'!H100+SUM('Exogenous tax and expenses'!R100:V100)-SUM('Exogenous tax and expenses'!X100:AA100)</f>
        <v>-2.4768433988227444E-2</v>
      </c>
      <c r="O100" s="455">
        <f>'Exogenous tax and expenses'!I100+SUM('Exogenous tax and expenses'!R100:V100)-SUM('Exogenous tax and expenses'!X100:AA100)</f>
        <v>-3.0368433988227445E-2</v>
      </c>
      <c r="P100" s="455">
        <f>'Exogenous tax and expenses'!J100+SUM('Exogenous tax and expenses'!R100:V100)-SUM('Exogenous tax and expenses'!X100:AA100)</f>
        <v>-1.6368433988227439E-2</v>
      </c>
      <c r="Q100" s="455">
        <f>'Exogenous tax and expenses'!K100+SUM('Exogenous tax and expenses'!R100:V100)-SUM('Exogenous tax and expenses'!X100:AA100)</f>
        <v>-2.1368433988227443E-2</v>
      </c>
      <c r="R100" s="455">
        <f>'Exogenous tax and expenses'!R99</f>
        <v>7.1898445654710874E-3</v>
      </c>
      <c r="S100" s="455">
        <f>'Exogenous tax and expenses'!S99</f>
        <v>2.6488404432867107E-3</v>
      </c>
      <c r="T100" s="746">
        <f>'Exogenous tax and expenses'!T99</f>
        <v>1.5861055711979122E-4</v>
      </c>
      <c r="U100" s="455">
        <f>'Exogenous tax and expenses'!U99</f>
        <v>0</v>
      </c>
      <c r="V100" s="746">
        <f>'Exogenous tax and expenses'!V99</f>
        <v>1.5552160056394643E-2</v>
      </c>
      <c r="W100" s="746"/>
      <c r="X100" s="746">
        <f>'Exogenous tax and expenses'!X99</f>
        <v>1.9129375374496074E-3</v>
      </c>
      <c r="Y100" s="455">
        <f>'Exogenous tax and expenses'!Y99</f>
        <v>2.6275501339975628E-3</v>
      </c>
      <c r="Z100" s="455">
        <f>'Exogenous tax and expenses'!Z99</f>
        <v>6.9520391621970623E-3</v>
      </c>
      <c r="AA100" s="455">
        <f>'Exogenous tax and expenses'!AA99</f>
        <v>1.5253627768554421E-3</v>
      </c>
      <c r="AB100" s="455"/>
      <c r="AC100" s="455"/>
      <c r="AD100" s="1"/>
      <c r="AE100" s="1"/>
      <c r="AF100" s="1"/>
      <c r="AG100" s="1"/>
      <c r="AH100" s="1"/>
      <c r="AI100" s="1"/>
      <c r="AJ100" s="1"/>
      <c r="AK100" s="1"/>
      <c r="AL100" s="1"/>
      <c r="AM100" s="1"/>
      <c r="AN100" s="1"/>
      <c r="AO100" s="1"/>
      <c r="AP100" s="1"/>
      <c r="AQ100" s="1"/>
      <c r="AR100" s="1"/>
    </row>
    <row r="101" spans="2:44">
      <c r="B101" s="537"/>
      <c r="C101" s="1">
        <f>'Exogenous tax and expenses'!C100+1</f>
        <v>2027</v>
      </c>
      <c r="D101" s="1"/>
      <c r="E101" s="1"/>
      <c r="F101" s="753">
        <v>-4.5999999999999999E-2</v>
      </c>
      <c r="G101" s="753">
        <v>-5.33E-2</v>
      </c>
      <c r="H101" s="756">
        <v>-3.5400000000000001E-2</v>
      </c>
      <c r="I101" s="756">
        <v>-4.2200000000000001E-2</v>
      </c>
      <c r="J101" s="753">
        <v>-2.58E-2</v>
      </c>
      <c r="K101" s="753">
        <v>-3.1800000000000002E-2</v>
      </c>
      <c r="L101" s="455">
        <f>'Exogenous tax and expenses'!F101+SUM('Exogenous tax and expenses'!R101:V101)-SUM('Exogenous tax and expenses'!X101:AA101)</f>
        <v>-3.3468433988227443E-2</v>
      </c>
      <c r="M101" s="455">
        <f>'Exogenous tax and expenses'!G101+SUM('Exogenous tax and expenses'!R101:V101)-SUM('Exogenous tax and expenses'!X101:AA101)</f>
        <v>-4.0768433988227444E-2</v>
      </c>
      <c r="N101" s="455">
        <f>'Exogenous tax and expenses'!H101+SUM('Exogenous tax and expenses'!R101:V101)-SUM('Exogenous tax and expenses'!X101:AA101)</f>
        <v>-2.2868433988227445E-2</v>
      </c>
      <c r="O101" s="455">
        <f>'Exogenous tax and expenses'!I101+SUM('Exogenous tax and expenses'!R101:V101)-SUM('Exogenous tax and expenses'!X101:AA101)</f>
        <v>-2.9668433988227445E-2</v>
      </c>
      <c r="P101" s="455">
        <f>'Exogenous tax and expenses'!J101+SUM('Exogenous tax and expenses'!R101:V101)-SUM('Exogenous tax and expenses'!X101:AA101)</f>
        <v>-1.3268433988227442E-2</v>
      </c>
      <c r="Q101" s="455">
        <f>'Exogenous tax and expenses'!K101+SUM('Exogenous tax and expenses'!R101:V101)-SUM('Exogenous tax and expenses'!X101:AA101)</f>
        <v>-1.9268433988227446E-2</v>
      </c>
      <c r="R101" s="455">
        <f>'Exogenous tax and expenses'!R100</f>
        <v>7.1898445654710874E-3</v>
      </c>
      <c r="S101" s="455">
        <f>'Exogenous tax and expenses'!S100</f>
        <v>2.6488404432867107E-3</v>
      </c>
      <c r="T101" s="746">
        <f>'Exogenous tax and expenses'!T100</f>
        <v>1.5861055711979122E-4</v>
      </c>
      <c r="U101" s="455">
        <f>'Exogenous tax and expenses'!U100</f>
        <v>0</v>
      </c>
      <c r="V101" s="746">
        <f>'Exogenous tax and expenses'!V100</f>
        <v>1.5552160056394643E-2</v>
      </c>
      <c r="W101" s="746"/>
      <c r="X101" s="746">
        <f>'Exogenous tax and expenses'!X100</f>
        <v>1.9129375374496074E-3</v>
      </c>
      <c r="Y101" s="455">
        <f>'Exogenous tax and expenses'!Y100</f>
        <v>2.6275501339975628E-3</v>
      </c>
      <c r="Z101" s="455">
        <f>'Exogenous tax and expenses'!Z100</f>
        <v>6.9520391621970623E-3</v>
      </c>
      <c r="AA101" s="455">
        <f>'Exogenous tax and expenses'!AA100</f>
        <v>1.5253627768554421E-3</v>
      </c>
      <c r="AB101" s="455"/>
      <c r="AC101" s="455"/>
      <c r="AD101" s="1"/>
      <c r="AE101" s="1"/>
      <c r="AF101" s="1"/>
      <c r="AG101" s="1"/>
      <c r="AH101" s="1"/>
      <c r="AI101" s="1"/>
      <c r="AJ101" s="1"/>
      <c r="AK101" s="1"/>
      <c r="AL101" s="1"/>
      <c r="AM101" s="1"/>
      <c r="AN101" s="1"/>
      <c r="AO101" s="1"/>
      <c r="AP101" s="1"/>
      <c r="AQ101" s="1"/>
      <c r="AR101" s="1"/>
    </row>
    <row r="102" spans="2:44">
      <c r="B102" s="537"/>
      <c r="C102" s="1">
        <f>'Exogenous tax and expenses'!C101+1</f>
        <v>2028</v>
      </c>
      <c r="D102" s="1"/>
      <c r="E102" s="1"/>
      <c r="F102" s="753">
        <v>-4.5100000000000001E-2</v>
      </c>
      <c r="G102" s="753">
        <v>-5.3800000000000001E-2</v>
      </c>
      <c r="H102" s="756">
        <v>-3.3099999999999997E-2</v>
      </c>
      <c r="I102" s="756">
        <v>-4.1000000000000002E-2</v>
      </c>
      <c r="J102" s="753">
        <v>-2.2700000000000001E-2</v>
      </c>
      <c r="K102" s="753">
        <v>-2.9700000000000001E-2</v>
      </c>
      <c r="L102" s="455">
        <f>'Exogenous tax and expenses'!F102+SUM('Exogenous tax and expenses'!R102:V102)-SUM('Exogenous tax and expenses'!X102:AA102)</f>
        <v>-3.1043071211372002E-2</v>
      </c>
      <c r="M102" s="455">
        <f>'Exogenous tax and expenses'!G102+SUM('Exogenous tax and expenses'!R102:V102)-SUM('Exogenous tax and expenses'!X102:AA102)</f>
        <v>-3.9743071211372001E-2</v>
      </c>
      <c r="N102" s="455">
        <f>'Exogenous tax and expenses'!H102+SUM('Exogenous tax and expenses'!R102:V102)-SUM('Exogenous tax and expenses'!X102:AA102)</f>
        <v>-1.9043071211371998E-2</v>
      </c>
      <c r="O102" s="455">
        <f>'Exogenous tax and expenses'!I102+SUM('Exogenous tax and expenses'!R102:V102)-SUM('Exogenous tax and expenses'!X102:AA102)</f>
        <v>-2.6943071211372002E-2</v>
      </c>
      <c r="P102" s="455">
        <f>'Exogenous tax and expenses'!J102+SUM('Exogenous tax and expenses'!R102:V102)-SUM('Exogenous tax and expenses'!X102:AA102)</f>
        <v>-8.6430712113720019E-3</v>
      </c>
      <c r="Q102" s="455">
        <f>'Exogenous tax and expenses'!K102+SUM('Exogenous tax and expenses'!R102:V102)-SUM('Exogenous tax and expenses'!X102:AA102)</f>
        <v>-1.5643071211372001E-2</v>
      </c>
      <c r="R102" s="455">
        <f>'Exogenous tax and expenses'!R101</f>
        <v>7.1898445654710874E-3</v>
      </c>
      <c r="S102" s="455">
        <f>'Exogenous tax and expenses'!S101</f>
        <v>2.6488404432867107E-3</v>
      </c>
      <c r="T102" s="746">
        <f>'Exogenous tax and expenses'!T101</f>
        <v>1.5861055711979122E-4</v>
      </c>
      <c r="U102" s="455">
        <f>'Exogenous tax and expenses'!U101</f>
        <v>0</v>
      </c>
      <c r="V102" s="746">
        <f>'Exogenous tax and expenses'!V101</f>
        <v>1.5552160056394643E-2</v>
      </c>
      <c r="W102" s="746"/>
      <c r="X102" s="746">
        <f>'Exogenous tax and expenses'!X101</f>
        <v>1.9129375374496074E-3</v>
      </c>
      <c r="Y102" s="455">
        <f>'Exogenous tax and expenses'!Y101</f>
        <v>2.6275501339975628E-3</v>
      </c>
      <c r="Z102" s="455">
        <f>'Exogenous tax and expenses'!Z101</f>
        <v>6.9520391621970623E-3</v>
      </c>
      <c r="AA102" s="1">
        <v>0</v>
      </c>
      <c r="AB102" s="455"/>
      <c r="AC102" s="455"/>
      <c r="AD102" s="1"/>
      <c r="AE102" s="1"/>
      <c r="AF102" s="1"/>
      <c r="AG102" s="1"/>
      <c r="AH102" s="1"/>
      <c r="AI102" s="1"/>
      <c r="AJ102" s="1"/>
      <c r="AK102" s="1"/>
      <c r="AL102" s="1"/>
      <c r="AM102" s="1"/>
      <c r="AN102" s="1"/>
      <c r="AO102" s="1"/>
      <c r="AP102" s="1"/>
      <c r="AQ102" s="1"/>
      <c r="AR102" s="1"/>
    </row>
    <row r="103" spans="2:44">
      <c r="B103" s="537"/>
      <c r="C103" s="1">
        <f>'Exogenous tax and expenses'!C102+1</f>
        <v>2029</v>
      </c>
      <c r="D103" s="1"/>
      <c r="E103" s="1"/>
      <c r="F103" s="753">
        <v>-4.3299999999999998E-2</v>
      </c>
      <c r="G103" s="753">
        <v>-5.3100000000000001E-2</v>
      </c>
      <c r="H103" s="755">
        <v>-3.15E-2</v>
      </c>
      <c r="I103" s="755">
        <v>-4.0399999999999998E-2</v>
      </c>
      <c r="J103" s="753">
        <v>-0.02</v>
      </c>
      <c r="K103" s="753">
        <v>-2.7799999999999998E-2</v>
      </c>
      <c r="L103" s="455">
        <f>'Exogenous tax and expenses'!F103+SUM('Exogenous tax and expenses'!R103:V103)-SUM('Exogenous tax and expenses'!X103:AA103)</f>
        <v>-2.9243071211371999E-2</v>
      </c>
      <c r="M103" s="455">
        <f>'Exogenous tax and expenses'!G103+SUM('Exogenous tax and expenses'!R103:V103)-SUM('Exogenous tax and expenses'!X103:AA103)</f>
        <v>-3.9043071211372002E-2</v>
      </c>
      <c r="N103" s="455">
        <f>'Exogenous tax and expenses'!H103+SUM('Exogenous tax and expenses'!R103:V103)-SUM('Exogenous tax and expenses'!X103:AA103)</f>
        <v>-1.7443071211372001E-2</v>
      </c>
      <c r="O103" s="455">
        <f>'Exogenous tax and expenses'!I103+SUM('Exogenous tax and expenses'!R103:V103)-SUM('Exogenous tax and expenses'!X103:AA103)</f>
        <v>-2.6343071211371999E-2</v>
      </c>
      <c r="P103" s="455">
        <f>'Exogenous tax and expenses'!J103+SUM('Exogenous tax and expenses'!R103:V103)-SUM('Exogenous tax and expenses'!X103:AA103)</f>
        <v>-5.9430712113720009E-3</v>
      </c>
      <c r="Q103" s="455">
        <f>'Exogenous tax and expenses'!K103+SUM('Exogenous tax and expenses'!R103:V103)-SUM('Exogenous tax and expenses'!X103:AA103)</f>
        <v>-1.3743071211371999E-2</v>
      </c>
      <c r="R103" s="455">
        <f>'Exogenous tax and expenses'!R102</f>
        <v>7.1898445654710874E-3</v>
      </c>
      <c r="S103" s="455">
        <f>'Exogenous tax and expenses'!S102</f>
        <v>2.6488404432867107E-3</v>
      </c>
      <c r="T103" s="746">
        <f>'Exogenous tax and expenses'!T102</f>
        <v>1.5861055711979122E-4</v>
      </c>
      <c r="U103" s="455">
        <f>'Exogenous tax and expenses'!U102</f>
        <v>0</v>
      </c>
      <c r="V103" s="746">
        <f>'Exogenous tax and expenses'!V102</f>
        <v>1.5552160056394643E-2</v>
      </c>
      <c r="W103" s="746"/>
      <c r="X103" s="746">
        <f>'Exogenous tax and expenses'!X102</f>
        <v>1.9129375374496074E-3</v>
      </c>
      <c r="Y103" s="455">
        <f>'Exogenous tax and expenses'!Y102</f>
        <v>2.6275501339975628E-3</v>
      </c>
      <c r="Z103" s="455">
        <f>'Exogenous tax and expenses'!Z102</f>
        <v>6.9520391621970623E-3</v>
      </c>
      <c r="AA103" s="1">
        <v>0</v>
      </c>
      <c r="AB103" s="455"/>
      <c r="AC103" s="455"/>
      <c r="AD103" s="1"/>
      <c r="AE103" s="1"/>
      <c r="AF103" s="1"/>
      <c r="AG103" s="1"/>
      <c r="AH103" s="1"/>
      <c r="AI103" s="1"/>
      <c r="AJ103" s="1"/>
      <c r="AK103" s="1"/>
      <c r="AL103" s="1"/>
      <c r="AM103" s="1"/>
      <c r="AN103" s="1"/>
      <c r="AO103" s="1"/>
      <c r="AP103" s="1"/>
      <c r="AQ103" s="1"/>
      <c r="AR103" s="1"/>
    </row>
    <row r="104" spans="2:44">
      <c r="B104" s="537"/>
      <c r="C104" s="1">
        <f>'Exogenous tax and expenses'!C103+1</f>
        <v>2030</v>
      </c>
      <c r="D104" s="1"/>
      <c r="E104" s="1"/>
      <c r="F104" s="753">
        <v>-4.2799999999999998E-2</v>
      </c>
      <c r="G104" s="753">
        <v>-5.3699999999999998E-2</v>
      </c>
      <c r="H104" s="756">
        <v>-3.1E-2</v>
      </c>
      <c r="I104" s="756">
        <v>-4.0800000000000003E-2</v>
      </c>
      <c r="J104" s="753">
        <v>-1.8100000000000002E-2</v>
      </c>
      <c r="K104" s="753">
        <v>-2.6599999999999999E-2</v>
      </c>
      <c r="L104" s="455">
        <f>'Exogenous tax and expenses'!F104+SUM('Exogenous tax and expenses'!R104:V104)-SUM('Exogenous tax and expenses'!X104:AA104)</f>
        <v>-2.8743071211371998E-2</v>
      </c>
      <c r="M104" s="455">
        <f>'Exogenous tax and expenses'!G104+SUM('Exogenous tax and expenses'!R104:V104)-SUM('Exogenous tax and expenses'!X104:AA104)</f>
        <v>-3.9643071211371998E-2</v>
      </c>
      <c r="N104" s="455">
        <f>'Exogenous tax and expenses'!H104+SUM('Exogenous tax and expenses'!R104:V104)-SUM('Exogenous tax and expenses'!X104:AA104)</f>
        <v>-1.6943071211372E-2</v>
      </c>
      <c r="O104" s="455">
        <f>'Exogenous tax and expenses'!I104+SUM('Exogenous tax and expenses'!R104:V104)-SUM('Exogenous tax and expenses'!X104:AA104)</f>
        <v>-2.6743071211372003E-2</v>
      </c>
      <c r="P104" s="455">
        <f>'Exogenous tax and expenses'!J104+SUM('Exogenous tax and expenses'!R104:V104)-SUM('Exogenous tax and expenses'!X104:AA104)</f>
        <v>-4.043071211372002E-3</v>
      </c>
      <c r="Q104" s="455">
        <f>'Exogenous tax and expenses'!K104+SUM('Exogenous tax and expenses'!R104:V104)-SUM('Exogenous tax and expenses'!X104:AA104)</f>
        <v>-1.2543071211371999E-2</v>
      </c>
      <c r="R104" s="455">
        <f>'Exogenous tax and expenses'!R103</f>
        <v>7.1898445654710874E-3</v>
      </c>
      <c r="S104" s="455">
        <f>'Exogenous tax and expenses'!S103</f>
        <v>2.6488404432867107E-3</v>
      </c>
      <c r="T104" s="746">
        <f>'Exogenous tax and expenses'!T103</f>
        <v>1.5861055711979122E-4</v>
      </c>
      <c r="U104" s="455">
        <f>'Exogenous tax and expenses'!U103</f>
        <v>0</v>
      </c>
      <c r="V104" s="746">
        <f>'Exogenous tax and expenses'!V103</f>
        <v>1.5552160056394643E-2</v>
      </c>
      <c r="W104" s="746"/>
      <c r="X104" s="746">
        <f>'Exogenous tax and expenses'!X103</f>
        <v>1.9129375374496074E-3</v>
      </c>
      <c r="Y104" s="455">
        <f>'Exogenous tax and expenses'!Y103</f>
        <v>2.6275501339975628E-3</v>
      </c>
      <c r="Z104" s="455">
        <f>'Exogenous tax and expenses'!Z103</f>
        <v>6.9520391621970623E-3</v>
      </c>
      <c r="AA104" s="1">
        <v>0</v>
      </c>
      <c r="AB104" s="1"/>
      <c r="AC104" s="1"/>
      <c r="AD104" s="1"/>
      <c r="AE104" s="1"/>
      <c r="AF104" s="1"/>
      <c r="AG104" s="1"/>
      <c r="AH104" s="1"/>
      <c r="AI104" s="1"/>
      <c r="AJ104" s="1"/>
      <c r="AK104" s="1"/>
      <c r="AL104" s="1"/>
      <c r="AM104" s="1"/>
      <c r="AN104" s="1"/>
      <c r="AO104" s="1"/>
      <c r="AP104" s="1"/>
      <c r="AQ104" s="1"/>
      <c r="AR104" s="1"/>
    </row>
    <row r="105" spans="2:44">
      <c r="B105" s="537"/>
      <c r="C105" s="1">
        <f>'Exogenous tax and expenses'!C104+1</f>
        <v>2031</v>
      </c>
      <c r="D105" s="1"/>
      <c r="E105" s="1"/>
      <c r="F105" s="753">
        <v>-4.1599999999999998E-2</v>
      </c>
      <c r="G105" s="753">
        <v>-5.3499999999999999E-2</v>
      </c>
      <c r="H105" s="756">
        <v>-2.9499999999999998E-2</v>
      </c>
      <c r="I105" s="756">
        <v>-4.02E-2</v>
      </c>
      <c r="J105" s="753">
        <v>-1.6299999999999999E-2</v>
      </c>
      <c r="K105" s="753">
        <v>-2.5399999999999999E-2</v>
      </c>
      <c r="L105" s="455">
        <f>'Exogenous tax and expenses'!F105+SUM('Exogenous tax and expenses'!R105:V105)-SUM('Exogenous tax and expenses'!X105:AA105)</f>
        <v>-2.7543071211371999E-2</v>
      </c>
      <c r="M105" s="455">
        <f>'Exogenous tax and expenses'!G105+SUM('Exogenous tax and expenses'!R105:V105)-SUM('Exogenous tax and expenses'!X105:AA105)</f>
        <v>-3.9443071211371999E-2</v>
      </c>
      <c r="N105" s="455">
        <f>'Exogenous tax and expenses'!H105+SUM('Exogenous tax and expenses'!R105:V105)-SUM('Exogenous tax and expenses'!X105:AA105)</f>
        <v>-1.5443071211371999E-2</v>
      </c>
      <c r="O105" s="455">
        <f>'Exogenous tax and expenses'!I105+SUM('Exogenous tax and expenses'!R105:V105)-SUM('Exogenous tax and expenses'!X105:AA105)</f>
        <v>-2.6143071211372E-2</v>
      </c>
      <c r="P105" s="455">
        <f>'Exogenous tax and expenses'!J105+SUM('Exogenous tax and expenses'!R105:V105)-SUM('Exogenous tax and expenses'!X105:AA105)</f>
        <v>-2.243071211371999E-3</v>
      </c>
      <c r="Q105" s="455">
        <f>'Exogenous tax and expenses'!K105+SUM('Exogenous tax and expenses'!R105:V105)-SUM('Exogenous tax and expenses'!X105:AA105)</f>
        <v>-1.1343071211371999E-2</v>
      </c>
      <c r="R105" s="455">
        <f>'Exogenous tax and expenses'!R104</f>
        <v>7.1898445654710874E-3</v>
      </c>
      <c r="S105" s="455">
        <f>'Exogenous tax and expenses'!S104</f>
        <v>2.6488404432867107E-3</v>
      </c>
      <c r="T105" s="746">
        <f>'Exogenous tax and expenses'!T104</f>
        <v>1.5861055711979122E-4</v>
      </c>
      <c r="U105" s="455">
        <f>'Exogenous tax and expenses'!U104</f>
        <v>0</v>
      </c>
      <c r="V105" s="746">
        <f>'Exogenous tax and expenses'!V104</f>
        <v>1.5552160056394643E-2</v>
      </c>
      <c r="W105" s="746"/>
      <c r="X105" s="746">
        <f>'Exogenous tax and expenses'!X104</f>
        <v>1.9129375374496074E-3</v>
      </c>
      <c r="Y105" s="455">
        <f>'Exogenous tax and expenses'!Y104</f>
        <v>2.6275501339975628E-3</v>
      </c>
      <c r="Z105" s="455">
        <f>'Exogenous tax and expenses'!Z104</f>
        <v>6.9520391621970623E-3</v>
      </c>
      <c r="AA105" s="1">
        <v>0</v>
      </c>
      <c r="AB105" s="1"/>
      <c r="AC105" s="1"/>
      <c r="AD105" s="1"/>
      <c r="AE105" s="1"/>
      <c r="AF105" s="1"/>
      <c r="AG105" s="1"/>
      <c r="AH105" s="1"/>
      <c r="AI105" s="1"/>
      <c r="AJ105" s="1"/>
      <c r="AK105" s="1"/>
      <c r="AL105" s="1"/>
      <c r="AM105" s="1"/>
      <c r="AN105" s="1"/>
      <c r="AO105" s="1"/>
      <c r="AP105" s="1"/>
      <c r="AQ105" s="1"/>
      <c r="AR105" s="1"/>
    </row>
    <row r="106" spans="2:44">
      <c r="B106" s="537"/>
      <c r="C106" s="1">
        <f>'Exogenous tax and expenses'!C105+1</f>
        <v>2032</v>
      </c>
      <c r="D106" s="1"/>
      <c r="E106" s="1"/>
      <c r="F106" s="753">
        <v>-4.2099999999999999E-2</v>
      </c>
      <c r="G106" s="753">
        <v>-5.5199999999999999E-2</v>
      </c>
      <c r="H106" s="756">
        <v>-2.7900000000000001E-2</v>
      </c>
      <c r="I106" s="756">
        <v>-3.9399999999999998E-2</v>
      </c>
      <c r="J106" s="753">
        <v>-1.5100000000000001E-2</v>
      </c>
      <c r="K106" s="753">
        <v>-2.5000000000000001E-2</v>
      </c>
      <c r="L106" s="455">
        <f>'Exogenous tax and expenses'!F106+SUM('Exogenous tax and expenses'!R106:V106)-SUM('Exogenous tax and expenses'!X106:AA106)</f>
        <v>-2.8043071211371999E-2</v>
      </c>
      <c r="M106" s="455">
        <f>'Exogenous tax and expenses'!G106+SUM('Exogenous tax and expenses'!R106:V106)-SUM('Exogenous tax and expenses'!X106:AA106)</f>
        <v>-4.1143071211372E-2</v>
      </c>
      <c r="N106" s="455">
        <f>'Exogenous tax and expenses'!H106+SUM('Exogenous tax and expenses'!R106:V106)-SUM('Exogenous tax and expenses'!X106:AA106)</f>
        <v>-1.3843071211372002E-2</v>
      </c>
      <c r="O106" s="455">
        <f>'Exogenous tax and expenses'!I106+SUM('Exogenous tax and expenses'!R106:V106)-SUM('Exogenous tax and expenses'!X106:AA106)</f>
        <v>-2.5343071211371998E-2</v>
      </c>
      <c r="P106" s="455">
        <f>'Exogenous tax and expenses'!J106+SUM('Exogenous tax and expenses'!R106:V106)-SUM('Exogenous tax and expenses'!X106:AA106)</f>
        <v>-1.0430712113720011E-3</v>
      </c>
      <c r="Q106" s="455">
        <f>'Exogenous tax and expenses'!K106+SUM('Exogenous tax and expenses'!R106:V106)-SUM('Exogenous tax and expenses'!X106:AA106)</f>
        <v>-1.0943071211372002E-2</v>
      </c>
      <c r="R106" s="455">
        <f>'Exogenous tax and expenses'!R105</f>
        <v>7.1898445654710874E-3</v>
      </c>
      <c r="S106" s="455">
        <f>'Exogenous tax and expenses'!S105</f>
        <v>2.6488404432867107E-3</v>
      </c>
      <c r="T106" s="746">
        <f>'Exogenous tax and expenses'!T105</f>
        <v>1.5861055711979122E-4</v>
      </c>
      <c r="U106" s="455">
        <f>'Exogenous tax and expenses'!U105</f>
        <v>0</v>
      </c>
      <c r="V106" s="746">
        <f>'Exogenous tax and expenses'!V105</f>
        <v>1.5552160056394643E-2</v>
      </c>
      <c r="W106" s="746"/>
      <c r="X106" s="746">
        <f>'Exogenous tax and expenses'!X105</f>
        <v>1.9129375374496074E-3</v>
      </c>
      <c r="Y106" s="455">
        <f>'Exogenous tax and expenses'!Y105</f>
        <v>2.6275501339975628E-3</v>
      </c>
      <c r="Z106" s="455">
        <f>'Exogenous tax and expenses'!Z105</f>
        <v>6.9520391621970623E-3</v>
      </c>
      <c r="AA106" s="1">
        <v>0</v>
      </c>
      <c r="AB106" s="1"/>
      <c r="AC106" s="1"/>
      <c r="AD106" s="1"/>
      <c r="AE106" s="1"/>
      <c r="AF106" s="1"/>
      <c r="AG106" s="1"/>
      <c r="AH106" s="1"/>
      <c r="AI106" s="1"/>
      <c r="AJ106" s="1"/>
      <c r="AK106" s="1"/>
      <c r="AL106" s="1"/>
      <c r="AM106" s="1"/>
      <c r="AN106" s="1"/>
      <c r="AO106" s="1"/>
      <c r="AP106" s="1"/>
      <c r="AQ106" s="1"/>
      <c r="AR106" s="1"/>
    </row>
    <row r="107" spans="2:44">
      <c r="B107" s="537"/>
      <c r="C107" s="1">
        <f>'Exogenous tax and expenses'!C106+1</f>
        <v>2033</v>
      </c>
      <c r="D107" s="1"/>
      <c r="E107" s="1"/>
      <c r="F107" s="753">
        <v>-4.1399999999999999E-2</v>
      </c>
      <c r="G107" s="753">
        <v>-5.5500000000000001E-2</v>
      </c>
      <c r="H107" s="755">
        <v>-2.7300000000000001E-2</v>
      </c>
      <c r="I107" s="755">
        <v>-3.9699999999999999E-2</v>
      </c>
      <c r="J107" s="753">
        <v>-1.4500000000000001E-2</v>
      </c>
      <c r="K107" s="753">
        <v>-2.5000000000000001E-2</v>
      </c>
      <c r="L107" s="455">
        <f>'Exogenous tax and expenses'!F107+SUM('Exogenous tax and expenses'!R107:V107)-SUM('Exogenous tax and expenses'!X107:AA107)</f>
        <v>-2.7343071211372E-2</v>
      </c>
      <c r="M107" s="455">
        <f>'Exogenous tax and expenses'!G107+SUM('Exogenous tax and expenses'!R107:V107)-SUM('Exogenous tax and expenses'!X107:AA107)</f>
        <v>-4.1443071211372001E-2</v>
      </c>
      <c r="N107" s="455">
        <f>'Exogenous tax and expenses'!H107+SUM('Exogenous tax and expenses'!R107:V107)-SUM('Exogenous tax and expenses'!X107:AA107)</f>
        <v>-1.3243071211372002E-2</v>
      </c>
      <c r="O107" s="455">
        <f>'Exogenous tax and expenses'!I107+SUM('Exogenous tax and expenses'!R107:V107)-SUM('Exogenous tax and expenses'!X107:AA107)</f>
        <v>-2.5643071211372E-2</v>
      </c>
      <c r="P107" s="455">
        <f>'Exogenous tax and expenses'!J107+SUM('Exogenous tax and expenses'!R107:V107)-SUM('Exogenous tax and expenses'!X107:AA107)</f>
        <v>-4.4307121137200124E-4</v>
      </c>
      <c r="Q107" s="455">
        <f>'Exogenous tax and expenses'!K107+SUM('Exogenous tax and expenses'!R107:V107)-SUM('Exogenous tax and expenses'!X107:AA107)</f>
        <v>-1.0943071211372002E-2</v>
      </c>
      <c r="R107" s="455">
        <f>'Exogenous tax and expenses'!R106</f>
        <v>7.1898445654710874E-3</v>
      </c>
      <c r="S107" s="455">
        <f>'Exogenous tax and expenses'!S106</f>
        <v>2.6488404432867107E-3</v>
      </c>
      <c r="T107" s="746">
        <f>'Exogenous tax and expenses'!T106</f>
        <v>1.5861055711979122E-4</v>
      </c>
      <c r="U107" s="455">
        <f>'Exogenous tax and expenses'!U106</f>
        <v>0</v>
      </c>
      <c r="V107" s="746">
        <f>'Exogenous tax and expenses'!V106</f>
        <v>1.5552160056394643E-2</v>
      </c>
      <c r="W107" s="746"/>
      <c r="X107" s="746">
        <f>'Exogenous tax and expenses'!X106</f>
        <v>1.9129375374496074E-3</v>
      </c>
      <c r="Y107" s="455">
        <f>'Exogenous tax and expenses'!Y106</f>
        <v>2.6275501339975628E-3</v>
      </c>
      <c r="Z107" s="455">
        <f>'Exogenous tax and expenses'!Z106</f>
        <v>6.9520391621970623E-3</v>
      </c>
      <c r="AA107" s="1">
        <v>0</v>
      </c>
      <c r="AB107" s="1"/>
      <c r="AC107" s="1"/>
      <c r="AD107" s="1"/>
      <c r="AE107" s="1"/>
      <c r="AF107" s="1"/>
      <c r="AG107" s="1"/>
      <c r="AH107" s="1"/>
      <c r="AI107" s="1"/>
      <c r="AJ107" s="1"/>
      <c r="AK107" s="1"/>
      <c r="AL107" s="1"/>
      <c r="AM107" s="1"/>
      <c r="AN107" s="1"/>
      <c r="AO107" s="1"/>
      <c r="AP107" s="1"/>
      <c r="AQ107" s="1"/>
      <c r="AR107" s="1"/>
    </row>
    <row r="108" spans="2:44">
      <c r="B108" s="537"/>
      <c r="C108" s="1">
        <f>'Exogenous tax and expenses'!C107+1</f>
        <v>2034</v>
      </c>
      <c r="D108" s="1"/>
      <c r="E108" s="1"/>
      <c r="F108" s="753">
        <v>-4.1200000000000001E-2</v>
      </c>
      <c r="G108" s="753">
        <v>-5.6399999999999999E-2</v>
      </c>
      <c r="H108" s="756">
        <v>-2.6599999999999999E-2</v>
      </c>
      <c r="I108" s="756">
        <v>-3.9899999999999998E-2</v>
      </c>
      <c r="J108" s="753">
        <v>-1.34E-2</v>
      </c>
      <c r="K108" s="753">
        <v>-2.46E-2</v>
      </c>
      <c r="L108" s="455">
        <f>'Exogenous tax and expenses'!F108+SUM('Exogenous tax and expenses'!R108:V108)-SUM('Exogenous tax and expenses'!X108:AA108)</f>
        <v>-2.7143071211372001E-2</v>
      </c>
      <c r="M108" s="455">
        <f>'Exogenous tax and expenses'!G108+SUM('Exogenous tax and expenses'!R108:V108)-SUM('Exogenous tax and expenses'!X108:AA108)</f>
        <v>-4.2343071211371999E-2</v>
      </c>
      <c r="N108" s="455">
        <f>'Exogenous tax and expenses'!H108+SUM('Exogenous tax and expenses'!R108:V108)-SUM('Exogenous tax and expenses'!X108:AA108)</f>
        <v>-1.2543071211371999E-2</v>
      </c>
      <c r="O108" s="455">
        <f>'Exogenous tax and expenses'!I108+SUM('Exogenous tax and expenses'!R108:V108)-SUM('Exogenous tax and expenses'!X108:AA108)</f>
        <v>-2.5843071211371998E-2</v>
      </c>
      <c r="P108" s="455">
        <f>'Exogenous tax and expenses'!J108+SUM('Exogenous tax and expenses'!R108:V108)-SUM('Exogenous tax and expenses'!X108:AA108)</f>
        <v>6.5692878862799904E-4</v>
      </c>
      <c r="Q108" s="455">
        <f>'Exogenous tax and expenses'!K108+SUM('Exogenous tax and expenses'!R108:V108)-SUM('Exogenous tax and expenses'!X108:AA108)</f>
        <v>-1.0543071211372001E-2</v>
      </c>
      <c r="R108" s="455">
        <f>'Exogenous tax and expenses'!R107</f>
        <v>7.1898445654710874E-3</v>
      </c>
      <c r="S108" s="455">
        <f>'Exogenous tax and expenses'!S107</f>
        <v>2.6488404432867107E-3</v>
      </c>
      <c r="T108" s="746">
        <f>'Exogenous tax and expenses'!T107</f>
        <v>1.5861055711979122E-4</v>
      </c>
      <c r="U108" s="455">
        <f>'Exogenous tax and expenses'!U107</f>
        <v>0</v>
      </c>
      <c r="V108" s="746">
        <f>'Exogenous tax and expenses'!V107</f>
        <v>1.5552160056394643E-2</v>
      </c>
      <c r="W108" s="746"/>
      <c r="X108" s="746">
        <f>'Exogenous tax and expenses'!X107</f>
        <v>1.9129375374496074E-3</v>
      </c>
      <c r="Y108" s="455">
        <f>'Exogenous tax and expenses'!Y107</f>
        <v>2.6275501339975628E-3</v>
      </c>
      <c r="Z108" s="455">
        <f>'Exogenous tax and expenses'!Z107</f>
        <v>6.9520391621970623E-3</v>
      </c>
      <c r="AA108" s="1">
        <v>0</v>
      </c>
      <c r="AB108" s="1"/>
      <c r="AC108" s="1"/>
      <c r="AD108" s="1"/>
      <c r="AE108" s="1"/>
      <c r="AF108" s="1"/>
      <c r="AG108" s="1"/>
      <c r="AH108" s="1"/>
      <c r="AI108" s="1"/>
      <c r="AJ108" s="1"/>
      <c r="AK108" s="1"/>
      <c r="AL108" s="1"/>
      <c r="AM108" s="1"/>
      <c r="AN108" s="1"/>
      <c r="AO108" s="1"/>
      <c r="AP108" s="1"/>
      <c r="AQ108" s="1"/>
      <c r="AR108" s="1"/>
    </row>
    <row r="109" spans="2:44">
      <c r="B109" s="537"/>
      <c r="C109" s="1">
        <f>'Exogenous tax and expenses'!C108+1</f>
        <v>2035</v>
      </c>
      <c r="D109" s="1"/>
      <c r="E109" s="1"/>
      <c r="F109" s="753">
        <v>-4.0300000000000002E-2</v>
      </c>
      <c r="G109" s="753">
        <v>-5.6399999999999999E-2</v>
      </c>
      <c r="H109" s="756">
        <v>-2.58E-2</v>
      </c>
      <c r="I109" s="756">
        <v>-3.9699999999999999E-2</v>
      </c>
      <c r="J109" s="753">
        <v>-1.23E-2</v>
      </c>
      <c r="K109" s="753">
        <v>-2.41E-2</v>
      </c>
      <c r="L109" s="455">
        <f>'Exogenous tax and expenses'!F109+SUM('Exogenous tax and expenses'!R109:V109)-SUM('Exogenous tax and expenses'!X109:AA109)</f>
        <v>-2.6243071211372003E-2</v>
      </c>
      <c r="M109" s="455">
        <f>'Exogenous tax and expenses'!G109+SUM('Exogenous tax and expenses'!R109:V109)-SUM('Exogenous tax and expenses'!X109:AA109)</f>
        <v>-4.2343071211371999E-2</v>
      </c>
      <c r="N109" s="455">
        <f>'Exogenous tax and expenses'!H109+SUM('Exogenous tax and expenses'!R109:V109)-SUM('Exogenous tax and expenses'!X109:AA109)</f>
        <v>-1.1743071211372001E-2</v>
      </c>
      <c r="O109" s="455">
        <f>'Exogenous tax and expenses'!I109+SUM('Exogenous tax and expenses'!R109:V109)-SUM('Exogenous tax and expenses'!X109:AA109)</f>
        <v>-2.5643071211372E-2</v>
      </c>
      <c r="P109" s="455">
        <f>'Exogenous tax and expenses'!J109+SUM('Exogenous tax and expenses'!R109:V109)-SUM('Exogenous tax and expenses'!X109:AA109)</f>
        <v>1.7569287886279993E-3</v>
      </c>
      <c r="Q109" s="455">
        <f>'Exogenous tax and expenses'!K109+SUM('Exogenous tax and expenses'!R109:V109)-SUM('Exogenous tax and expenses'!X109:AA109)</f>
        <v>-1.0043071211372E-2</v>
      </c>
      <c r="R109" s="455">
        <f>'Exogenous tax and expenses'!R108</f>
        <v>7.1898445654710874E-3</v>
      </c>
      <c r="S109" s="455">
        <f>'Exogenous tax and expenses'!S108</f>
        <v>2.6488404432867107E-3</v>
      </c>
      <c r="T109" s="746">
        <f>'Exogenous tax and expenses'!T108</f>
        <v>1.5861055711979122E-4</v>
      </c>
      <c r="U109" s="455">
        <f>'Exogenous tax and expenses'!U108</f>
        <v>0</v>
      </c>
      <c r="V109" s="746">
        <f>'Exogenous tax and expenses'!V108</f>
        <v>1.5552160056394643E-2</v>
      </c>
      <c r="W109" s="746"/>
      <c r="X109" s="746">
        <f>'Exogenous tax and expenses'!X108</f>
        <v>1.9129375374496074E-3</v>
      </c>
      <c r="Y109" s="455">
        <f>'Exogenous tax and expenses'!Y108</f>
        <v>2.6275501339975628E-3</v>
      </c>
      <c r="Z109" s="455">
        <f>'Exogenous tax and expenses'!Z108</f>
        <v>6.9520391621970623E-3</v>
      </c>
      <c r="AA109" s="1">
        <v>0</v>
      </c>
      <c r="AB109" s="1"/>
      <c r="AC109" s="1"/>
      <c r="AD109" s="1"/>
      <c r="AE109" s="1"/>
      <c r="AF109" s="1"/>
      <c r="AG109" s="1"/>
      <c r="AH109" s="1"/>
      <c r="AI109" s="1"/>
      <c r="AJ109" s="1"/>
      <c r="AK109" s="1"/>
      <c r="AL109" s="1"/>
      <c r="AM109" s="1"/>
      <c r="AN109" s="1"/>
      <c r="AO109" s="1"/>
      <c r="AP109" s="1"/>
      <c r="AQ109" s="1"/>
      <c r="AR109" s="1"/>
    </row>
    <row r="110" spans="2:44">
      <c r="B110" s="537"/>
      <c r="C110" s="1">
        <f>'Exogenous tax and expenses'!C109+1</f>
        <v>2036</v>
      </c>
      <c r="D110" s="1"/>
      <c r="E110" s="1"/>
      <c r="F110" s="753">
        <v>-3.9300000000000002E-2</v>
      </c>
      <c r="G110" s="753">
        <v>-5.6399999999999999E-2</v>
      </c>
      <c r="H110" s="756">
        <v>-2.41E-2</v>
      </c>
      <c r="I110" s="756">
        <v>-3.8699999999999998E-2</v>
      </c>
      <c r="J110" s="753">
        <v>-1.11E-2</v>
      </c>
      <c r="K110" s="753">
        <v>-2.35E-2</v>
      </c>
      <c r="L110" s="455">
        <f>'Exogenous tax and expenses'!F110+SUM('Exogenous tax and expenses'!R110:V110)-SUM('Exogenous tax and expenses'!X110:AA110)</f>
        <v>-2.5243071211372002E-2</v>
      </c>
      <c r="M110" s="455">
        <f>'Exogenous tax and expenses'!G110+SUM('Exogenous tax and expenses'!R110:V110)-SUM('Exogenous tax and expenses'!X110:AA110)</f>
        <v>-4.2343071211371999E-2</v>
      </c>
      <c r="N110" s="455">
        <f>'Exogenous tax and expenses'!H110+SUM('Exogenous tax and expenses'!R110:V110)-SUM('Exogenous tax and expenses'!X110:AA110)</f>
        <v>-1.0043071211372E-2</v>
      </c>
      <c r="O110" s="455">
        <f>'Exogenous tax and expenses'!I110+SUM('Exogenous tax and expenses'!R110:V110)-SUM('Exogenous tax and expenses'!X110:AA110)</f>
        <v>-2.4643071211371999E-2</v>
      </c>
      <c r="P110" s="455">
        <f>'Exogenous tax and expenses'!J110+SUM('Exogenous tax and expenses'!R110:V110)-SUM('Exogenous tax and expenses'!X110:AA110)</f>
        <v>2.956928788627999E-3</v>
      </c>
      <c r="Q110" s="455">
        <f>'Exogenous tax and expenses'!K110+SUM('Exogenous tax and expenses'!R110:V110)-SUM('Exogenous tax and expenses'!X110:AA110)</f>
        <v>-9.4430712113720006E-3</v>
      </c>
      <c r="R110" s="455">
        <f>'Exogenous tax and expenses'!R109</f>
        <v>7.1898445654710874E-3</v>
      </c>
      <c r="S110" s="455">
        <f>'Exogenous tax and expenses'!S109</f>
        <v>2.6488404432867107E-3</v>
      </c>
      <c r="T110" s="746">
        <f>'Exogenous tax and expenses'!T109</f>
        <v>1.5861055711979122E-4</v>
      </c>
      <c r="U110" s="455">
        <f>'Exogenous tax and expenses'!U109</f>
        <v>0</v>
      </c>
      <c r="V110" s="746">
        <f>'Exogenous tax and expenses'!V109</f>
        <v>1.5552160056394643E-2</v>
      </c>
      <c r="W110" s="746"/>
      <c r="X110" s="746">
        <f>'Exogenous tax and expenses'!X109</f>
        <v>1.9129375374496074E-3</v>
      </c>
      <c r="Y110" s="455">
        <f>'Exogenous tax and expenses'!Y109</f>
        <v>2.6275501339975628E-3</v>
      </c>
      <c r="Z110" s="455">
        <f>'Exogenous tax and expenses'!Z109</f>
        <v>6.9520391621970623E-3</v>
      </c>
      <c r="AA110" s="1">
        <v>0</v>
      </c>
      <c r="AB110" s="1"/>
      <c r="AC110" s="1"/>
      <c r="AD110" s="1"/>
      <c r="AE110" s="1"/>
      <c r="AF110" s="1"/>
      <c r="AG110" s="1"/>
      <c r="AH110" s="1"/>
      <c r="AI110" s="1"/>
      <c r="AJ110" s="1"/>
      <c r="AK110" s="1"/>
      <c r="AL110" s="1"/>
      <c r="AM110" s="1"/>
      <c r="AN110" s="1"/>
      <c r="AO110" s="1"/>
      <c r="AP110" s="1"/>
      <c r="AQ110" s="1"/>
      <c r="AR110" s="1"/>
    </row>
    <row r="111" spans="2:44">
      <c r="B111" s="537"/>
      <c r="C111" s="1">
        <f>'Exogenous tax and expenses'!C110+1</f>
        <v>2037</v>
      </c>
      <c r="D111" s="1"/>
      <c r="E111" s="1"/>
      <c r="F111" s="753">
        <v>-3.8300000000000001E-2</v>
      </c>
      <c r="G111" s="753">
        <v>-5.6500000000000002E-2</v>
      </c>
      <c r="H111" s="755">
        <v>-2.35E-2</v>
      </c>
      <c r="I111" s="755">
        <v>-3.9100000000000003E-2</v>
      </c>
      <c r="J111" s="753">
        <v>-9.2999999999999992E-3</v>
      </c>
      <c r="K111" s="753">
        <v>-2.24E-2</v>
      </c>
      <c r="L111" s="455">
        <f>'Exogenous tax and expenses'!F111+SUM('Exogenous tax and expenses'!R111:V111)-SUM('Exogenous tax and expenses'!X111:AA111)</f>
        <v>-2.4243071211372001E-2</v>
      </c>
      <c r="M111" s="455">
        <f>'Exogenous tax and expenses'!G111+SUM('Exogenous tax and expenses'!R111:V111)-SUM('Exogenous tax and expenses'!X111:AA111)</f>
        <v>-4.2443071211372002E-2</v>
      </c>
      <c r="N111" s="455">
        <f>'Exogenous tax and expenses'!H111+SUM('Exogenous tax and expenses'!R111:V111)-SUM('Exogenous tax and expenses'!X111:AA111)</f>
        <v>-9.4430712113720006E-3</v>
      </c>
      <c r="O111" s="455">
        <f>'Exogenous tax and expenses'!I111+SUM('Exogenous tax and expenses'!R111:V111)-SUM('Exogenous tax and expenses'!X111:AA111)</f>
        <v>-2.5043071211372003E-2</v>
      </c>
      <c r="P111" s="455">
        <f>'Exogenous tax and expenses'!J111+SUM('Exogenous tax and expenses'!R111:V111)-SUM('Exogenous tax and expenses'!X111:AA111)</f>
        <v>4.7569287886280003E-3</v>
      </c>
      <c r="Q111" s="455">
        <f>'Exogenous tax and expenses'!K111+SUM('Exogenous tax and expenses'!R111:V111)-SUM('Exogenous tax and expenses'!X111:AA111)</f>
        <v>-8.3430712113720003E-3</v>
      </c>
      <c r="R111" s="455">
        <f>'Exogenous tax and expenses'!R110</f>
        <v>7.1898445654710874E-3</v>
      </c>
      <c r="S111" s="455">
        <f>'Exogenous tax and expenses'!S110</f>
        <v>2.6488404432867107E-3</v>
      </c>
      <c r="T111" s="746">
        <f>'Exogenous tax and expenses'!T110</f>
        <v>1.5861055711979122E-4</v>
      </c>
      <c r="U111" s="455">
        <f>'Exogenous tax and expenses'!U110</f>
        <v>0</v>
      </c>
      <c r="V111" s="746">
        <f>'Exogenous tax and expenses'!V110</f>
        <v>1.5552160056394643E-2</v>
      </c>
      <c r="W111" s="746"/>
      <c r="X111" s="746">
        <f>'Exogenous tax and expenses'!X110</f>
        <v>1.9129375374496074E-3</v>
      </c>
      <c r="Y111" s="455">
        <f>'Exogenous tax and expenses'!Y110</f>
        <v>2.6275501339975628E-3</v>
      </c>
      <c r="Z111" s="455">
        <f>'Exogenous tax and expenses'!Z110</f>
        <v>6.9520391621970623E-3</v>
      </c>
      <c r="AA111" s="1">
        <v>0</v>
      </c>
      <c r="AB111" s="1"/>
      <c r="AC111" s="1"/>
      <c r="AD111" s="1"/>
      <c r="AE111" s="1"/>
      <c r="AF111" s="1"/>
      <c r="AG111" s="1"/>
      <c r="AH111" s="1"/>
      <c r="AI111" s="1"/>
      <c r="AJ111" s="1"/>
      <c r="AK111" s="1"/>
      <c r="AL111" s="1"/>
      <c r="AM111" s="1"/>
      <c r="AN111" s="1"/>
      <c r="AO111" s="1"/>
      <c r="AP111" s="1"/>
      <c r="AQ111" s="1"/>
      <c r="AR111" s="1"/>
    </row>
    <row r="112" spans="2:44">
      <c r="B112" s="537"/>
      <c r="C112" s="1">
        <f>'Exogenous tax and expenses'!C111+1</f>
        <v>2038</v>
      </c>
      <c r="D112" s="1"/>
      <c r="E112" s="1"/>
      <c r="F112" s="753">
        <v>-3.8100000000000002E-2</v>
      </c>
      <c r="G112" s="753">
        <v>-5.7299999999999997E-2</v>
      </c>
      <c r="H112" s="756">
        <v>-2.3099999999999999E-2</v>
      </c>
      <c r="I112" s="756">
        <v>-3.95E-2</v>
      </c>
      <c r="J112" s="753">
        <v>-7.6E-3</v>
      </c>
      <c r="K112" s="753">
        <v>-2.12E-2</v>
      </c>
      <c r="L112" s="455">
        <f>'Exogenous tax and expenses'!F112+SUM('Exogenous tax and expenses'!R112:V112)-SUM('Exogenous tax and expenses'!X112:AA112)</f>
        <v>-2.4043071211372002E-2</v>
      </c>
      <c r="M112" s="455">
        <f>'Exogenous tax and expenses'!G112+SUM('Exogenous tax and expenses'!R112:V112)-SUM('Exogenous tax and expenses'!X112:AA112)</f>
        <v>-4.3243071211371997E-2</v>
      </c>
      <c r="N112" s="455">
        <f>'Exogenous tax and expenses'!H112+SUM('Exogenous tax and expenses'!R112:V112)-SUM('Exogenous tax and expenses'!X112:AA112)</f>
        <v>-9.0430712113719995E-3</v>
      </c>
      <c r="O112" s="455">
        <f>'Exogenous tax and expenses'!I112+SUM('Exogenous tax and expenses'!R112:V112)-SUM('Exogenous tax and expenses'!X112:AA112)</f>
        <v>-2.5443071211372001E-2</v>
      </c>
      <c r="P112" s="455">
        <f>'Exogenous tax and expenses'!J112+SUM('Exogenous tax and expenses'!R112:V112)-SUM('Exogenous tax and expenses'!X112:AA112)</f>
        <v>6.4569287886280004E-3</v>
      </c>
      <c r="Q112" s="455">
        <f>'Exogenous tax and expenses'!K112+SUM('Exogenous tax and expenses'!R112:V112)-SUM('Exogenous tax and expenses'!X112:AA112)</f>
        <v>-7.1430712113720006E-3</v>
      </c>
      <c r="R112" s="455">
        <f>'Exogenous tax and expenses'!R111</f>
        <v>7.1898445654710874E-3</v>
      </c>
      <c r="S112" s="455">
        <f>'Exogenous tax and expenses'!S111</f>
        <v>2.6488404432867107E-3</v>
      </c>
      <c r="T112" s="746">
        <f>'Exogenous tax and expenses'!T111</f>
        <v>1.5861055711979122E-4</v>
      </c>
      <c r="U112" s="455">
        <f>'Exogenous tax and expenses'!U111</f>
        <v>0</v>
      </c>
      <c r="V112" s="746">
        <f>'Exogenous tax and expenses'!V111</f>
        <v>1.5552160056394643E-2</v>
      </c>
      <c r="W112" s="746"/>
      <c r="X112" s="746">
        <f>'Exogenous tax and expenses'!X111</f>
        <v>1.9129375374496074E-3</v>
      </c>
      <c r="Y112" s="455">
        <f>'Exogenous tax and expenses'!Y111</f>
        <v>2.6275501339975628E-3</v>
      </c>
      <c r="Z112" s="455">
        <f>'Exogenous tax and expenses'!Z111</f>
        <v>6.9520391621970623E-3</v>
      </c>
      <c r="AA112" s="1">
        <v>0</v>
      </c>
      <c r="AB112" s="1"/>
      <c r="AC112" s="1"/>
      <c r="AD112" s="1"/>
      <c r="AE112" s="1"/>
      <c r="AF112" s="1"/>
      <c r="AG112" s="1"/>
      <c r="AH112" s="1"/>
      <c r="AI112" s="1"/>
      <c r="AJ112" s="1"/>
      <c r="AK112" s="1"/>
      <c r="AL112" s="1"/>
      <c r="AM112" s="1"/>
      <c r="AN112" s="1"/>
      <c r="AO112" s="1"/>
      <c r="AP112" s="1"/>
      <c r="AQ112" s="1"/>
      <c r="AR112" s="1"/>
    </row>
    <row r="113" spans="2:44">
      <c r="B113" s="537"/>
      <c r="C113" s="1">
        <f>'Exogenous tax and expenses'!C112+1</f>
        <v>2039</v>
      </c>
      <c r="D113" s="1"/>
      <c r="E113" s="1"/>
      <c r="F113" s="753">
        <v>-3.8300000000000001E-2</v>
      </c>
      <c r="G113" s="753">
        <v>-5.8799999999999998E-2</v>
      </c>
      <c r="H113" s="756">
        <v>-2.2599999999999999E-2</v>
      </c>
      <c r="I113" s="756">
        <v>-3.9800000000000002E-2</v>
      </c>
      <c r="J113" s="753">
        <v>-7.3000000000000001E-3</v>
      </c>
      <c r="K113" s="753">
        <v>-2.1700000000000001E-2</v>
      </c>
      <c r="L113" s="455">
        <f>'Exogenous tax and expenses'!F113+SUM('Exogenous tax and expenses'!R113:V113)-SUM('Exogenous tax and expenses'!X113:AA113)</f>
        <v>-2.4243071211372001E-2</v>
      </c>
      <c r="M113" s="455">
        <f>'Exogenous tax and expenses'!G113+SUM('Exogenous tax and expenses'!R113:V113)-SUM('Exogenous tax and expenses'!X113:AA113)</f>
        <v>-4.4743071211371999E-2</v>
      </c>
      <c r="N113" s="455">
        <f>'Exogenous tax and expenses'!H113+SUM('Exogenous tax and expenses'!R113:V113)-SUM('Exogenous tax and expenses'!X113:AA113)</f>
        <v>-8.5430712113719991E-3</v>
      </c>
      <c r="O113" s="455">
        <f>'Exogenous tax and expenses'!I113+SUM('Exogenous tax and expenses'!R113:V113)-SUM('Exogenous tax and expenses'!X113:AA113)</f>
        <v>-2.5743071211372003E-2</v>
      </c>
      <c r="P113" s="455">
        <f>'Exogenous tax and expenses'!J113+SUM('Exogenous tax and expenses'!R113:V113)-SUM('Exogenous tax and expenses'!X113:AA113)</f>
        <v>6.7569287886279986E-3</v>
      </c>
      <c r="Q113" s="455">
        <f>'Exogenous tax and expenses'!K113+SUM('Exogenous tax and expenses'!R113:V113)-SUM('Exogenous tax and expenses'!X113:AA113)</f>
        <v>-7.643071211372001E-3</v>
      </c>
      <c r="R113" s="455">
        <f>'Exogenous tax and expenses'!R112</f>
        <v>7.1898445654710874E-3</v>
      </c>
      <c r="S113" s="455">
        <f>'Exogenous tax and expenses'!S112</f>
        <v>2.6488404432867107E-3</v>
      </c>
      <c r="T113" s="746">
        <f>'Exogenous tax and expenses'!T112</f>
        <v>1.5861055711979122E-4</v>
      </c>
      <c r="U113" s="455">
        <f>'Exogenous tax and expenses'!U112</f>
        <v>0</v>
      </c>
      <c r="V113" s="746">
        <f>'Exogenous tax and expenses'!V112</f>
        <v>1.5552160056394643E-2</v>
      </c>
      <c r="W113" s="746"/>
      <c r="X113" s="746">
        <f>'Exogenous tax and expenses'!X112</f>
        <v>1.9129375374496074E-3</v>
      </c>
      <c r="Y113" s="455">
        <f>'Exogenous tax and expenses'!Y112</f>
        <v>2.6275501339975628E-3</v>
      </c>
      <c r="Z113" s="455">
        <f>'Exogenous tax and expenses'!Z112</f>
        <v>6.9520391621970623E-3</v>
      </c>
      <c r="AA113" s="1">
        <v>0</v>
      </c>
      <c r="AB113" s="1"/>
      <c r="AC113" s="1"/>
      <c r="AD113" s="1"/>
      <c r="AE113" s="1"/>
      <c r="AF113" s="1"/>
      <c r="AG113" s="1"/>
      <c r="AH113" s="1"/>
      <c r="AI113" s="1"/>
      <c r="AJ113" s="1"/>
      <c r="AK113" s="1"/>
      <c r="AL113" s="1"/>
      <c r="AM113" s="1"/>
      <c r="AN113" s="1"/>
      <c r="AO113" s="1"/>
      <c r="AP113" s="1"/>
      <c r="AQ113" s="1"/>
      <c r="AR113" s="1"/>
    </row>
    <row r="114" spans="2:44">
      <c r="B114" s="537"/>
      <c r="C114" s="1">
        <f>'Exogenous tax and expenses'!C113+1</f>
        <v>2040</v>
      </c>
      <c r="D114" s="1"/>
      <c r="E114" s="1"/>
      <c r="F114" s="753">
        <v>-3.8399999999999997E-2</v>
      </c>
      <c r="G114" s="753">
        <v>-6.0100000000000001E-2</v>
      </c>
      <c r="H114" s="756">
        <v>-2.1700000000000001E-2</v>
      </c>
      <c r="I114" s="756">
        <v>-3.9699999999999999E-2</v>
      </c>
      <c r="J114" s="753">
        <v>-6.7000000000000002E-3</v>
      </c>
      <c r="K114" s="753">
        <v>-2.1600000000000001E-2</v>
      </c>
      <c r="L114" s="455">
        <f>'Exogenous tax and expenses'!F114+SUM('Exogenous tax and expenses'!R114:V114)-SUM('Exogenous tax and expenses'!X114:AA114)</f>
        <v>-2.4343071211371997E-2</v>
      </c>
      <c r="M114" s="455">
        <f>'Exogenous tax and expenses'!G114+SUM('Exogenous tax and expenses'!R114:V114)-SUM('Exogenous tax and expenses'!X114:AA114)</f>
        <v>-4.6043071211372001E-2</v>
      </c>
      <c r="N114" s="455">
        <f>'Exogenous tax and expenses'!H114+SUM('Exogenous tax and expenses'!R114:V114)-SUM('Exogenous tax and expenses'!X114:AA114)</f>
        <v>-7.643071211372001E-3</v>
      </c>
      <c r="O114" s="455">
        <f>'Exogenous tax and expenses'!I114+SUM('Exogenous tax and expenses'!R114:V114)-SUM('Exogenous tax and expenses'!X114:AA114)</f>
        <v>-2.5643071211372E-2</v>
      </c>
      <c r="P114" s="455">
        <f>'Exogenous tax and expenses'!J114+SUM('Exogenous tax and expenses'!R114:V114)-SUM('Exogenous tax and expenses'!X114:AA114)</f>
        <v>7.3569287886279984E-3</v>
      </c>
      <c r="Q114" s="455">
        <f>'Exogenous tax and expenses'!K114+SUM('Exogenous tax and expenses'!R114:V114)-SUM('Exogenous tax and expenses'!X114:AA114)</f>
        <v>-7.5430712113720016E-3</v>
      </c>
      <c r="R114" s="455">
        <f>'Exogenous tax and expenses'!R113</f>
        <v>7.1898445654710874E-3</v>
      </c>
      <c r="S114" s="455">
        <f>'Exogenous tax and expenses'!S113</f>
        <v>2.6488404432867107E-3</v>
      </c>
      <c r="T114" s="746">
        <f>'Exogenous tax and expenses'!T113</f>
        <v>1.5861055711979122E-4</v>
      </c>
      <c r="U114" s="455">
        <f>'Exogenous tax and expenses'!U113</f>
        <v>0</v>
      </c>
      <c r="V114" s="746">
        <f>'Exogenous tax and expenses'!V113</f>
        <v>1.5552160056394643E-2</v>
      </c>
      <c r="W114" s="746"/>
      <c r="X114" s="746">
        <f>'Exogenous tax and expenses'!X113</f>
        <v>1.9129375374496074E-3</v>
      </c>
      <c r="Y114" s="455">
        <f>'Exogenous tax and expenses'!Y113</f>
        <v>2.6275501339975628E-3</v>
      </c>
      <c r="Z114" s="455">
        <f>'Exogenous tax and expenses'!Z113</f>
        <v>6.9520391621970623E-3</v>
      </c>
      <c r="AA114" s="1">
        <v>0</v>
      </c>
      <c r="AB114" s="1"/>
      <c r="AC114" s="1"/>
      <c r="AD114" s="1"/>
      <c r="AE114" s="1"/>
      <c r="AF114" s="1"/>
      <c r="AG114" s="1"/>
      <c r="AH114" s="1"/>
      <c r="AI114" s="1"/>
      <c r="AJ114" s="1"/>
      <c r="AK114" s="1"/>
      <c r="AL114" s="1"/>
      <c r="AM114" s="1"/>
      <c r="AN114" s="1"/>
      <c r="AO114" s="1"/>
      <c r="AP114" s="1"/>
      <c r="AQ114" s="1"/>
      <c r="AR114" s="1"/>
    </row>
    <row r="115" spans="2:44">
      <c r="B115" s="1"/>
      <c r="C115" s="1"/>
      <c r="D115" s="1"/>
      <c r="E115" s="1"/>
      <c r="F115" s="819" t="s">
        <v>1041</v>
      </c>
      <c r="G115" s="819"/>
      <c r="H115" s="819"/>
      <c r="I115" s="819"/>
      <c r="J115" s="819"/>
      <c r="K115" s="819"/>
      <c r="L115" s="819" t="s">
        <v>1042</v>
      </c>
      <c r="M115" s="819"/>
      <c r="N115" s="819"/>
      <c r="O115" s="819"/>
      <c r="P115" s="819"/>
      <c r="Q115" s="819"/>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2:44">
      <c r="B116" s="1"/>
      <c r="C116" s="1"/>
      <c r="D116" s="1"/>
      <c r="E116" s="1"/>
      <c r="F116" s="1" t="s">
        <v>1045</v>
      </c>
      <c r="G116" s="1" t="s">
        <v>1046</v>
      </c>
      <c r="H116" s="1" t="s">
        <v>1047</v>
      </c>
      <c r="I116" s="1" t="s">
        <v>1048</v>
      </c>
      <c r="J116" s="1" t="s">
        <v>1049</v>
      </c>
      <c r="K116" s="1" t="s">
        <v>1050</v>
      </c>
      <c r="L116" s="1" t="s">
        <v>1045</v>
      </c>
      <c r="M116" s="1" t="s">
        <v>1051</v>
      </c>
      <c r="N116" s="1" t="s">
        <v>1047</v>
      </c>
      <c r="O116" s="1" t="s">
        <v>1052</v>
      </c>
      <c r="P116" s="1" t="s">
        <v>1049</v>
      </c>
      <c r="Q116" s="1" t="s">
        <v>1050</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2:44">
      <c r="B117" s="757"/>
      <c r="C117" s="1">
        <v>2014</v>
      </c>
      <c r="D117" s="1"/>
      <c r="E117" s="702">
        <v>-1.2928637559684599E-3</v>
      </c>
      <c r="F117" s="1"/>
      <c r="G117" s="1"/>
      <c r="H117" s="758">
        <v>-2.0799999999999999E-2</v>
      </c>
      <c r="I117" s="1"/>
      <c r="J117" s="1"/>
      <c r="K117" s="1"/>
      <c r="L117" s="1"/>
      <c r="M117" s="1"/>
      <c r="N117" s="455">
        <f>'Exogenous tax and expenses'!H117+SUM('Exogenous tax and expenses'!Q52:S52)+'Exogenous tax and expenses'!W52+'Exogenous tax and expenses'!U52+'Cuenta Ahorro-Inversión-Financi'!L30/1000/'PIB corriente base 2004'!X18-SUM('Exogenous tax and expenses'!Y52:AC52)</f>
        <v>5.0758384327529577E-5</v>
      </c>
      <c r="O117" s="1"/>
      <c r="P117" s="1"/>
      <c r="Q117" s="657"/>
      <c r="R117" s="1"/>
      <c r="S117" s="1"/>
      <c r="T117" s="1"/>
      <c r="U117" s="1"/>
      <c r="V117" s="1"/>
      <c r="W117" s="1"/>
      <c r="X117" s="1"/>
      <c r="Y117" s="1"/>
      <c r="Z117" s="1"/>
      <c r="AA117" s="1"/>
    </row>
    <row r="118" spans="2:44">
      <c r="B118" s="757"/>
      <c r="C118" s="1">
        <f>'Exogenous tax and expenses'!C117+1</f>
        <v>2015</v>
      </c>
      <c r="D118" s="1"/>
      <c r="E118" s="701">
        <v>-7.6362121928472103E-3</v>
      </c>
      <c r="F118" s="1"/>
      <c r="G118" s="1"/>
      <c r="H118" s="758">
        <v>-3.2800000000000003E-2</v>
      </c>
      <c r="I118" s="1"/>
      <c r="J118" s="1"/>
      <c r="K118" s="1"/>
      <c r="L118" s="1"/>
      <c r="M118" s="1"/>
      <c r="N118" s="455">
        <f>'Exogenous tax and expenses'!H118+SUM('Exogenous tax and expenses'!Q53:S53)+'Exogenous tax and expenses'!W53+'Exogenous tax and expenses'!U53+'Cuenta Ahorro-Inversión-Financi'!L31/1000/'PIB corriente base 2004'!X19-SUM('Exogenous tax and expenses'!Y53:AC53)</f>
        <v>-1.1558238209137846E-2</v>
      </c>
      <c r="O118" s="1"/>
      <c r="P118" s="1"/>
      <c r="Q118" s="1"/>
      <c r="R118" s="1"/>
      <c r="S118" s="1"/>
      <c r="T118" s="1"/>
      <c r="U118" s="1"/>
      <c r="V118" s="1"/>
      <c r="W118" s="1"/>
      <c r="X118" s="1"/>
      <c r="Y118" s="1"/>
      <c r="Z118" s="1"/>
      <c r="AA118" s="1"/>
    </row>
    <row r="119" spans="2:44">
      <c r="B119" s="757"/>
      <c r="C119" s="1">
        <f>'Exogenous tax and expenses'!C118+1</f>
        <v>2016</v>
      </c>
      <c r="D119" s="1"/>
      <c r="E119" s="702">
        <v>-1.7280547528080201E-2</v>
      </c>
      <c r="F119" s="1"/>
      <c r="G119" s="1"/>
      <c r="H119" s="758">
        <v>-3.1699999999999999E-2</v>
      </c>
      <c r="I119" s="758">
        <v>-3.1699999999999999E-2</v>
      </c>
      <c r="J119" s="1"/>
      <c r="K119" s="1"/>
      <c r="L119" s="1"/>
      <c r="M119" s="1"/>
      <c r="N119" s="455">
        <f>'Exogenous tax and expenses'!H119+SUM('Exogenous tax and expenses'!Q54:S54)+'Exogenous tax and expenses'!W54+'Exogenous tax and expenses'!U54+'Cuenta Ahorro-Inversión-Financi'!L32/1000/'PIB corriente base 2004'!X20-SUM('Exogenous tax and expenses'!Y54:AC54)</f>
        <v>-1.2813976635167108E-2</v>
      </c>
      <c r="O119" s="1"/>
      <c r="P119" s="1"/>
      <c r="Q119" s="1"/>
      <c r="R119" s="1"/>
      <c r="S119" s="1"/>
      <c r="T119" s="1"/>
      <c r="U119" s="1"/>
      <c r="V119" s="1"/>
      <c r="W119" s="1"/>
      <c r="X119" s="1"/>
      <c r="Y119" s="1"/>
      <c r="Z119" s="1"/>
      <c r="AA119" s="1"/>
    </row>
    <row r="120" spans="2:44">
      <c r="B120" s="757"/>
      <c r="C120" s="1">
        <f>'Exogenous tax and expenses'!C119+1</f>
        <v>2017</v>
      </c>
      <c r="D120" s="1"/>
      <c r="E120" s="701">
        <v>-2.1585703349214499E-2</v>
      </c>
      <c r="F120" s="753">
        <v>-3.6400000000000002E-2</v>
      </c>
      <c r="G120" s="753">
        <v>-3.6900000000000002E-2</v>
      </c>
      <c r="H120" s="758">
        <v>-3.6299999999999999E-2</v>
      </c>
      <c r="I120" s="758">
        <v>-3.6799999999999999E-2</v>
      </c>
      <c r="J120" s="753">
        <v>-3.6200000000000003E-2</v>
      </c>
      <c r="K120" s="753">
        <v>-3.6600000000000001E-2</v>
      </c>
      <c r="L120" s="455">
        <f>'Exogenous tax and expenses'!F120+SUM('Exogenous tax and expenses'!Q55:S55)+'Exogenous tax and expenses'!W55+'Exogenous tax and expenses'!U55+('Cuenta Ahorro-Inversión-Financi'!L33-'Cuenta Ahorro-Inversión-Financi'!CG33)/1000/'PIB corriente base 2004'!X21-SUM('Exogenous tax and expenses'!Y55:AC55)</f>
        <v>-2.8852042385026262E-2</v>
      </c>
      <c r="M120" s="455">
        <f>'Exogenous tax and expenses'!G120+SUM('Exogenous tax and expenses'!Q55:S55)+'Exogenous tax and expenses'!W55+'Exogenous tax and expenses'!U55+('Cuenta Ahorro-Inversión-Financi'!L33-'Cuenta Ahorro-Inversión-Financi'!CG33)/1000/'PIB corriente base 2004'!X21-SUM('Exogenous tax and expenses'!Y55:AC55)</f>
        <v>-2.9352042385026263E-2</v>
      </c>
      <c r="N120" s="455">
        <f>'Exogenous tax and expenses'!H120+SUM('Exogenous tax and expenses'!Q55:S55)+'Exogenous tax and expenses'!W55+'Exogenous tax and expenses'!U55+('Cuenta Ahorro-Inversión-Financi'!L33-'Cuenta Ahorro-Inversión-Financi'!CG33)/1000/'PIB corriente base 2004'!X21-SUM('Exogenous tax and expenses'!Y55:AC55)</f>
        <v>-2.8752042385026259E-2</v>
      </c>
      <c r="O120" s="455">
        <f>'Exogenous tax and expenses'!I120+SUM('Exogenous tax and expenses'!Q55:S55)+'Exogenous tax and expenses'!W55+'Exogenous tax and expenses'!U55+('Cuenta Ahorro-Inversión-Financi'!L33-'Cuenta Ahorro-Inversión-Financi'!CG33)/1000/'PIB corriente base 2004'!X21-SUM('Exogenous tax and expenses'!Y55:AC55)</f>
        <v>-2.925204238502626E-2</v>
      </c>
      <c r="P120" s="455">
        <f>'Exogenous tax and expenses'!J120+SUM('Exogenous tax and expenses'!Q55:S55)+'Exogenous tax and expenses'!W55+'Exogenous tax and expenses'!U55+('Cuenta Ahorro-Inversión-Financi'!L33-'Cuenta Ahorro-Inversión-Financi'!CG33)/1000/'PIB corriente base 2004'!X21-SUM('Exogenous tax and expenses'!Y55:AC55)</f>
        <v>-2.8652042385026263E-2</v>
      </c>
      <c r="Q120" s="455">
        <f>'Exogenous tax and expenses'!K120+SUM('Exogenous tax and expenses'!Q55:S55)+'Exogenous tax and expenses'!W55+'Exogenous tax and expenses'!U55+('Cuenta Ahorro-Inversión-Financi'!L33-'Cuenta Ahorro-Inversión-Financi'!CG33)/1000/'PIB corriente base 2004'!X21-SUM('Exogenous tax and expenses'!Y55:AC55)</f>
        <v>-2.9052042385026261E-2</v>
      </c>
      <c r="R120" s="1"/>
      <c r="S120" s="1"/>
      <c r="T120" s="1"/>
      <c r="U120" s="1"/>
      <c r="V120" s="1"/>
      <c r="W120" s="1"/>
      <c r="X120" s="1"/>
      <c r="Y120" s="1"/>
      <c r="Z120" s="1"/>
      <c r="AA120" s="1"/>
    </row>
    <row r="121" spans="2:44">
      <c r="B121" s="757"/>
      <c r="C121" s="1">
        <v>2018</v>
      </c>
      <c r="D121" s="1"/>
      <c r="E121" s="1"/>
      <c r="F121" s="753">
        <v>-3.3500000000000002E-2</v>
      </c>
      <c r="G121" s="753">
        <v>-3.44E-2</v>
      </c>
      <c r="H121" s="758">
        <v>-3.2500000000000001E-2</v>
      </c>
      <c r="I121" s="758">
        <v>-3.3300000000000003E-2</v>
      </c>
      <c r="J121" s="753">
        <v>-3.1300000000000001E-2</v>
      </c>
      <c r="K121" s="753">
        <v>-3.2099999999999997E-2</v>
      </c>
      <c r="L121" s="455">
        <f>'Exogenous tax and expenses'!F121+SUM('Exogenous tax and expenses'!R121:V121)-SUM('Exogenous tax and expenses'!X121:AA121)</f>
        <v>-1.0584170585116208E-2</v>
      </c>
      <c r="M121" s="455">
        <f>'Exogenous tax and expenses'!G121+SUM('Exogenous tax and expenses'!R121:V121)-SUM('Exogenous tax and expenses'!X121:AA121)</f>
        <v>-1.1484170585116206E-2</v>
      </c>
      <c r="N121" s="455">
        <f>'Exogenous tax and expenses'!H121+SUM('Exogenous tax and expenses'!R121:V121)-SUM('Exogenous tax and expenses'!X121:AA121)</f>
        <v>-9.5841705851162067E-3</v>
      </c>
      <c r="O121" s="455">
        <f>'Exogenous tax and expenses'!I121+SUM('Exogenous tax and expenses'!R121:V121)-SUM('Exogenous tax and expenses'!X121:AA121)</f>
        <v>-1.0384170585116209E-2</v>
      </c>
      <c r="P121" s="455">
        <f>'Exogenous tax and expenses'!J121+SUM('Exogenous tax and expenses'!R121:V121)-SUM('Exogenous tax and expenses'!X121:AA121)</f>
        <v>-8.384170585116207E-3</v>
      </c>
      <c r="Q121" s="455">
        <f>'Exogenous tax and expenses'!K121+SUM('Exogenous tax and expenses'!R121:V121)-SUM('Exogenous tax and expenses'!X121:AA121)</f>
        <v>-9.1841705851162022E-3</v>
      </c>
      <c r="R121" s="455">
        <f>S60</f>
        <v>7.1898445654710874E-3</v>
      </c>
      <c r="S121" s="455">
        <f>T60</f>
        <v>2.6488404432867107E-3</v>
      </c>
      <c r="T121" s="455">
        <f>U60</f>
        <v>1.5861055711979122E-4</v>
      </c>
      <c r="U121" s="455">
        <f>Q88</f>
        <v>1.0384263403111235E-2</v>
      </c>
      <c r="V121" s="455">
        <f>W60</f>
        <v>1.5552160056394643E-2</v>
      </c>
      <c r="W121" s="455"/>
      <c r="X121" s="455">
        <f>Y60</f>
        <v>1.9129375374496074E-3</v>
      </c>
      <c r="Y121" s="455">
        <f>AA60</f>
        <v>2.6275501339975628E-3</v>
      </c>
      <c r="Z121" s="455">
        <f>AB60</f>
        <v>6.9520391621970623E-3</v>
      </c>
      <c r="AA121" s="455">
        <f>AC60</f>
        <v>1.5253627768554421E-3</v>
      </c>
    </row>
    <row r="122" spans="2:44">
      <c r="B122" s="757" t="s">
        <v>1056</v>
      </c>
      <c r="C122" s="1">
        <f>'Exogenous tax and expenses'!C121+1</f>
        <v>2019</v>
      </c>
      <c r="D122" s="1"/>
      <c r="E122" s="1"/>
      <c r="F122" s="753">
        <v>-3.56E-2</v>
      </c>
      <c r="G122" s="753">
        <v>-3.6900000000000002E-2</v>
      </c>
      <c r="H122" s="758">
        <v>-3.3099999999999997E-2</v>
      </c>
      <c r="I122" s="758">
        <v>-3.44E-2</v>
      </c>
      <c r="J122" s="753">
        <v>-3.1199999999999999E-2</v>
      </c>
      <c r="K122" s="753">
        <v>-3.2500000000000001E-2</v>
      </c>
      <c r="L122" s="455">
        <f>'Exogenous tax and expenses'!F122+SUM('Exogenous tax and expenses'!R122:V122)-SUM('Exogenous tax and expenses'!X122:AA122)</f>
        <v>-1.2684170585116205E-2</v>
      </c>
      <c r="M122" s="455">
        <f>'Exogenous tax and expenses'!G122+SUM('Exogenous tax and expenses'!R122:V122)-SUM('Exogenous tax and expenses'!X122:AA122)</f>
        <v>-1.3984170585116208E-2</v>
      </c>
      <c r="N122" s="455">
        <f>'Exogenous tax and expenses'!H122+SUM('Exogenous tax and expenses'!R122:V122)-SUM('Exogenous tax and expenses'!X122:AA122)</f>
        <v>-1.0184170585116203E-2</v>
      </c>
      <c r="O122" s="455">
        <f>'Exogenous tax and expenses'!I122+SUM('Exogenous tax and expenses'!R122:V122)-SUM('Exogenous tax and expenses'!X122:AA122)</f>
        <v>-1.1484170585116206E-2</v>
      </c>
      <c r="P122" s="455">
        <f>'Exogenous tax and expenses'!J122+SUM('Exogenous tax and expenses'!R122:V122)-SUM('Exogenous tax and expenses'!X122:AA122)</f>
        <v>-8.2841705851162042E-3</v>
      </c>
      <c r="Q122" s="455">
        <f>'Exogenous tax and expenses'!K122+SUM('Exogenous tax and expenses'!R122:V122)-SUM('Exogenous tax and expenses'!X122:AA122)</f>
        <v>-9.5841705851162067E-3</v>
      </c>
      <c r="R122" s="455">
        <f>'Exogenous tax and expenses'!R121</f>
        <v>7.1898445654710874E-3</v>
      </c>
      <c r="S122" s="455">
        <f>'Exogenous tax and expenses'!S121</f>
        <v>2.6488404432867107E-3</v>
      </c>
      <c r="T122" s="746">
        <f>'Exogenous tax and expenses'!T121</f>
        <v>1.5861055711979122E-4</v>
      </c>
      <c r="U122" s="455">
        <f t="shared" ref="U122:U143" si="5">U121</f>
        <v>1.0384263403111235E-2</v>
      </c>
      <c r="V122" s="746">
        <f>'Exogenous tax and expenses'!V121</f>
        <v>1.5552160056394643E-2</v>
      </c>
      <c r="W122" s="746"/>
      <c r="X122" s="746">
        <f>'Exogenous tax and expenses'!X121</f>
        <v>1.9129375374496074E-3</v>
      </c>
      <c r="Y122" s="455">
        <f>'Exogenous tax and expenses'!Y121</f>
        <v>2.6275501339975628E-3</v>
      </c>
      <c r="Z122" s="455">
        <f>'Exogenous tax and expenses'!Z121</f>
        <v>6.9520391621970623E-3</v>
      </c>
      <c r="AA122" s="455">
        <f>'Exogenous tax and expenses'!AA121</f>
        <v>1.5253627768554421E-3</v>
      </c>
    </row>
    <row r="123" spans="2:44">
      <c r="B123" s="757"/>
      <c r="C123" s="1">
        <f>'Exogenous tax and expenses'!C122+1</f>
        <v>2020</v>
      </c>
      <c r="D123" s="1"/>
      <c r="E123" s="1"/>
      <c r="F123" s="753">
        <v>-3.7100000000000001E-2</v>
      </c>
      <c r="G123" s="753">
        <v>-3.8899999999999997E-2</v>
      </c>
      <c r="H123" s="758">
        <v>-3.4200000000000001E-2</v>
      </c>
      <c r="I123" s="758">
        <v>-3.5900000000000001E-2</v>
      </c>
      <c r="J123" s="753">
        <v>-3.2399999999999998E-2</v>
      </c>
      <c r="K123" s="753">
        <v>-3.4200000000000001E-2</v>
      </c>
      <c r="L123" s="455">
        <f>'Exogenous tax and expenses'!F123+SUM('Exogenous tax and expenses'!R123:V123)-SUM('Exogenous tax and expenses'!X123:AA123)</f>
        <v>-1.4184170585116207E-2</v>
      </c>
      <c r="M123" s="455">
        <f>'Exogenous tax and expenses'!G123+SUM('Exogenous tax and expenses'!R123:V123)-SUM('Exogenous tax and expenses'!X123:AA123)</f>
        <v>-1.5984170585116204E-2</v>
      </c>
      <c r="N123" s="455">
        <f>'Exogenous tax and expenses'!H123+SUM('Exogenous tax and expenses'!R123:V123)-SUM('Exogenous tax and expenses'!X123:AA123)</f>
        <v>-1.1284170585116207E-2</v>
      </c>
      <c r="O123" s="455">
        <f>'Exogenous tax and expenses'!I123+SUM('Exogenous tax and expenses'!R123:V123)-SUM('Exogenous tax and expenses'!X123:AA123)</f>
        <v>-1.2984170585116207E-2</v>
      </c>
      <c r="P123" s="455">
        <f>'Exogenous tax and expenses'!J123+SUM('Exogenous tax and expenses'!R123:V123)-SUM('Exogenous tax and expenses'!X123:AA123)</f>
        <v>-9.4841705851162039E-3</v>
      </c>
      <c r="Q123" s="455">
        <f>'Exogenous tax and expenses'!K123+SUM('Exogenous tax and expenses'!R123:V123)-SUM('Exogenous tax and expenses'!X123:AA123)</f>
        <v>-1.1284170585116207E-2</v>
      </c>
      <c r="R123" s="455">
        <f>'Exogenous tax and expenses'!R122</f>
        <v>7.1898445654710874E-3</v>
      </c>
      <c r="S123" s="455">
        <f>'Exogenous tax and expenses'!S122</f>
        <v>2.6488404432867107E-3</v>
      </c>
      <c r="T123" s="746">
        <f>'Exogenous tax and expenses'!T122</f>
        <v>1.5861055711979122E-4</v>
      </c>
      <c r="U123" s="455">
        <f t="shared" si="5"/>
        <v>1.0384263403111235E-2</v>
      </c>
      <c r="V123" s="746">
        <f>'Exogenous tax and expenses'!V122</f>
        <v>1.5552160056394643E-2</v>
      </c>
      <c r="W123" s="746"/>
      <c r="X123" s="746">
        <f>'Exogenous tax and expenses'!X122</f>
        <v>1.9129375374496074E-3</v>
      </c>
      <c r="Y123" s="455">
        <f>'Exogenous tax and expenses'!Y122</f>
        <v>2.6275501339975628E-3</v>
      </c>
      <c r="Z123" s="455">
        <f>'Exogenous tax and expenses'!Z122</f>
        <v>6.9520391621970623E-3</v>
      </c>
      <c r="AA123" s="455">
        <f>'Exogenous tax and expenses'!AA122</f>
        <v>1.5253627768554421E-3</v>
      </c>
    </row>
    <row r="124" spans="2:44">
      <c r="B124" s="757"/>
      <c r="C124" s="1">
        <f>'Exogenous tax and expenses'!C123+1</f>
        <v>2021</v>
      </c>
      <c r="D124" s="1"/>
      <c r="E124" s="1"/>
      <c r="F124" s="753">
        <v>-3.73E-2</v>
      </c>
      <c r="G124" s="753">
        <v>-3.95E-2</v>
      </c>
      <c r="H124" s="758">
        <v>-3.3599999999999998E-2</v>
      </c>
      <c r="I124" s="758">
        <v>-3.5700000000000003E-2</v>
      </c>
      <c r="J124" s="753">
        <v>-3.09E-2</v>
      </c>
      <c r="K124" s="753">
        <v>-3.3000000000000002E-2</v>
      </c>
      <c r="L124" s="455">
        <f>'Exogenous tax and expenses'!F124+SUM('Exogenous tax and expenses'!R124:V124)-SUM('Exogenous tax and expenses'!X124:AA124)</f>
        <v>-1.4384170585116205E-2</v>
      </c>
      <c r="M124" s="455">
        <f>'Exogenous tax and expenses'!G124+SUM('Exogenous tax and expenses'!R124:V124)-SUM('Exogenous tax and expenses'!X124:AA124)</f>
        <v>-1.6584170585116208E-2</v>
      </c>
      <c r="N124" s="455">
        <f>'Exogenous tax and expenses'!H124+SUM('Exogenous tax and expenses'!R124:V124)-SUM('Exogenous tax and expenses'!X124:AA124)</f>
        <v>-1.0684170585116204E-2</v>
      </c>
      <c r="O124" s="455">
        <f>'Exogenous tax and expenses'!I124+SUM('Exogenous tax and expenses'!R124:V124)-SUM('Exogenous tax and expenses'!X124:AA124)</f>
        <v>-1.2784170585116208E-2</v>
      </c>
      <c r="P124" s="455">
        <f>'Exogenous tax and expenses'!J124+SUM('Exogenous tax and expenses'!R124:V124)-SUM('Exogenous tax and expenses'!X124:AA124)</f>
        <v>-7.984170585116206E-3</v>
      </c>
      <c r="Q124" s="455">
        <f>'Exogenous tax and expenses'!K124+SUM('Exogenous tax and expenses'!R124:V124)-SUM('Exogenous tax and expenses'!X124:AA124)</f>
        <v>-1.0084170585116207E-2</v>
      </c>
      <c r="R124" s="455">
        <f>'Exogenous tax and expenses'!R123</f>
        <v>7.1898445654710874E-3</v>
      </c>
      <c r="S124" s="455">
        <f>'Exogenous tax and expenses'!S123</f>
        <v>2.6488404432867107E-3</v>
      </c>
      <c r="T124" s="746">
        <f>'Exogenous tax and expenses'!T123</f>
        <v>1.5861055711979122E-4</v>
      </c>
      <c r="U124" s="455">
        <f t="shared" si="5"/>
        <v>1.0384263403111235E-2</v>
      </c>
      <c r="V124" s="746">
        <f>'Exogenous tax and expenses'!V123</f>
        <v>1.5552160056394643E-2</v>
      </c>
      <c r="W124" s="746"/>
      <c r="X124" s="746">
        <f>'Exogenous tax and expenses'!X123</f>
        <v>1.9129375374496074E-3</v>
      </c>
      <c r="Y124" s="455">
        <f>'Exogenous tax and expenses'!Y123</f>
        <v>2.6275501339975628E-3</v>
      </c>
      <c r="Z124" s="455">
        <f>'Exogenous tax and expenses'!Z123</f>
        <v>6.9520391621970623E-3</v>
      </c>
      <c r="AA124" s="455">
        <f>'Exogenous tax and expenses'!AA123</f>
        <v>1.5253627768554421E-3</v>
      </c>
    </row>
    <row r="125" spans="2:44">
      <c r="B125" s="757"/>
      <c r="C125" s="1">
        <f>'Exogenous tax and expenses'!C124+1</f>
        <v>2022</v>
      </c>
      <c r="D125" s="1"/>
      <c r="E125" s="1"/>
      <c r="F125" s="753">
        <v>-3.6900000000000002E-2</v>
      </c>
      <c r="G125" s="753">
        <v>-3.9600000000000003E-2</v>
      </c>
      <c r="H125" s="758">
        <v>-3.2800000000000003E-2</v>
      </c>
      <c r="I125" s="758">
        <v>-3.5400000000000001E-2</v>
      </c>
      <c r="J125" s="753">
        <v>-2.98E-2</v>
      </c>
      <c r="K125" s="753">
        <v>-3.2399999999999998E-2</v>
      </c>
      <c r="L125" s="455">
        <f>'Exogenous tax and expenses'!F125+SUM('Exogenous tax and expenses'!R125:V125)-SUM('Exogenous tax and expenses'!X125:AA125)</f>
        <v>-1.3984170585116208E-2</v>
      </c>
      <c r="M125" s="455">
        <f>'Exogenous tax and expenses'!G125+SUM('Exogenous tax and expenses'!R125:V125)-SUM('Exogenous tax and expenses'!X125:AA125)</f>
        <v>-1.6684170585116211E-2</v>
      </c>
      <c r="N125" s="455">
        <f>'Exogenous tax and expenses'!H125+SUM('Exogenous tax and expenses'!R125:V125)-SUM('Exogenous tax and expenses'!X125:AA125)</f>
        <v>-9.8841705851162084E-3</v>
      </c>
      <c r="O125" s="455">
        <f>'Exogenous tax and expenses'!I125+SUM('Exogenous tax and expenses'!R125:V125)-SUM('Exogenous tax and expenses'!X125:AA125)</f>
        <v>-1.2484170585116207E-2</v>
      </c>
      <c r="P125" s="455">
        <f>'Exogenous tax and expenses'!J125+SUM('Exogenous tax and expenses'!R125:V125)-SUM('Exogenous tax and expenses'!X125:AA125)</f>
        <v>-6.8841705851162057E-3</v>
      </c>
      <c r="Q125" s="455">
        <f>'Exogenous tax and expenses'!K125+SUM('Exogenous tax and expenses'!R125:V125)-SUM('Exogenous tax and expenses'!X125:AA125)</f>
        <v>-9.4841705851162039E-3</v>
      </c>
      <c r="R125" s="455">
        <f>'Exogenous tax and expenses'!R124</f>
        <v>7.1898445654710874E-3</v>
      </c>
      <c r="S125" s="455">
        <f>'Exogenous tax and expenses'!S124</f>
        <v>2.6488404432867107E-3</v>
      </c>
      <c r="T125" s="746">
        <f>'Exogenous tax and expenses'!T124</f>
        <v>1.5861055711979122E-4</v>
      </c>
      <c r="U125" s="455">
        <f t="shared" si="5"/>
        <v>1.0384263403111235E-2</v>
      </c>
      <c r="V125" s="746">
        <f>'Exogenous tax and expenses'!V124</f>
        <v>1.5552160056394643E-2</v>
      </c>
      <c r="W125" s="746"/>
      <c r="X125" s="746">
        <f>'Exogenous tax and expenses'!X124</f>
        <v>1.9129375374496074E-3</v>
      </c>
      <c r="Y125" s="455">
        <f>'Exogenous tax and expenses'!Y124</f>
        <v>2.6275501339975628E-3</v>
      </c>
      <c r="Z125" s="455">
        <f>'Exogenous tax and expenses'!Z124</f>
        <v>6.9520391621970623E-3</v>
      </c>
      <c r="AA125" s="455">
        <f>'Exogenous tax and expenses'!AA124</f>
        <v>1.5253627768554421E-3</v>
      </c>
    </row>
    <row r="126" spans="2:44">
      <c r="B126" s="757"/>
      <c r="C126" s="1">
        <f>'Exogenous tax and expenses'!C125+1</f>
        <v>2023</v>
      </c>
      <c r="D126" s="1"/>
      <c r="E126" s="1"/>
      <c r="F126" s="753">
        <v>-3.6600000000000001E-2</v>
      </c>
      <c r="G126" s="753">
        <v>-3.9699999999999999E-2</v>
      </c>
      <c r="H126" s="758">
        <v>-3.1699999999999999E-2</v>
      </c>
      <c r="I126" s="758">
        <v>-3.4799999999999998E-2</v>
      </c>
      <c r="J126" s="753">
        <v>-2.8299999999999999E-2</v>
      </c>
      <c r="K126" s="753">
        <v>-3.1300000000000001E-2</v>
      </c>
      <c r="L126" s="455">
        <f>'Exogenous tax and expenses'!F126+SUM('Exogenous tax and expenses'!R126:V126)-SUM('Exogenous tax and expenses'!X126:AA126)</f>
        <v>-1.3684170585116206E-2</v>
      </c>
      <c r="M126" s="455">
        <f>'Exogenous tax and expenses'!G126+SUM('Exogenous tax and expenses'!R126:V126)-SUM('Exogenous tax and expenses'!X126:AA126)</f>
        <v>-1.6784170585116207E-2</v>
      </c>
      <c r="N126" s="455">
        <f>'Exogenous tax and expenses'!H126+SUM('Exogenous tax and expenses'!R126:V126)-SUM('Exogenous tax and expenses'!X126:AA126)</f>
        <v>-8.7841705851162046E-3</v>
      </c>
      <c r="O126" s="455">
        <f>'Exogenous tax and expenses'!I126+SUM('Exogenous tax and expenses'!R126:V126)-SUM('Exogenous tax and expenses'!X126:AA126)</f>
        <v>-1.1884170585116203E-2</v>
      </c>
      <c r="P126" s="455">
        <f>'Exogenous tax and expenses'!J126+SUM('Exogenous tax and expenses'!R126:V126)-SUM('Exogenous tax and expenses'!X126:AA126)</f>
        <v>-5.3841705851162044E-3</v>
      </c>
      <c r="Q126" s="455">
        <f>'Exogenous tax and expenses'!K126+SUM('Exogenous tax and expenses'!R126:V126)-SUM('Exogenous tax and expenses'!X126:AA126)</f>
        <v>-8.384170585116207E-3</v>
      </c>
      <c r="R126" s="455">
        <f>'Exogenous tax and expenses'!R125</f>
        <v>7.1898445654710874E-3</v>
      </c>
      <c r="S126" s="455">
        <f>'Exogenous tax and expenses'!S125</f>
        <v>2.6488404432867107E-3</v>
      </c>
      <c r="T126" s="746">
        <f>'Exogenous tax and expenses'!T125</f>
        <v>1.5861055711979122E-4</v>
      </c>
      <c r="U126" s="455">
        <f t="shared" si="5"/>
        <v>1.0384263403111235E-2</v>
      </c>
      <c r="V126" s="746">
        <f>'Exogenous tax and expenses'!V125</f>
        <v>1.5552160056394643E-2</v>
      </c>
      <c r="W126" s="746"/>
      <c r="X126" s="746">
        <f>'Exogenous tax and expenses'!X125</f>
        <v>1.9129375374496074E-3</v>
      </c>
      <c r="Y126" s="455">
        <f>'Exogenous tax and expenses'!Y125</f>
        <v>2.6275501339975628E-3</v>
      </c>
      <c r="Z126" s="455">
        <f>'Exogenous tax and expenses'!Z125</f>
        <v>6.9520391621970623E-3</v>
      </c>
      <c r="AA126" s="455">
        <f>'Exogenous tax and expenses'!AA125</f>
        <v>1.5253627768554421E-3</v>
      </c>
    </row>
    <row r="127" spans="2:44">
      <c r="B127" s="757"/>
      <c r="C127" s="1">
        <f>'Exogenous tax and expenses'!C126+1</f>
        <v>2024</v>
      </c>
      <c r="D127" s="1"/>
      <c r="E127" s="1"/>
      <c r="F127" s="753">
        <v>-3.5799999999999998E-2</v>
      </c>
      <c r="G127" s="753">
        <v>-3.9399999999999998E-2</v>
      </c>
      <c r="H127" s="754">
        <v>-3.1600000000000003E-2</v>
      </c>
      <c r="I127" s="754">
        <v>-3.5299999999999998E-2</v>
      </c>
      <c r="J127" s="753">
        <v>-2.7900000000000001E-2</v>
      </c>
      <c r="K127" s="753">
        <v>-3.1399999999999997E-2</v>
      </c>
      <c r="L127" s="455">
        <f>'Exogenous tax and expenses'!F127+SUM('Exogenous tax and expenses'!R127:V127)-SUM('Exogenous tax and expenses'!X127:AA127)</f>
        <v>-1.2884170585116204E-2</v>
      </c>
      <c r="M127" s="455">
        <f>'Exogenous tax and expenses'!G127+SUM('Exogenous tax and expenses'!R127:V127)-SUM('Exogenous tax and expenses'!X127:AA127)</f>
        <v>-1.6484170585116205E-2</v>
      </c>
      <c r="N127" s="455">
        <f>'Exogenous tax and expenses'!H127+SUM('Exogenous tax and expenses'!R127:V127)-SUM('Exogenous tax and expenses'!X127:AA127)</f>
        <v>-8.6841705851162087E-3</v>
      </c>
      <c r="O127" s="455">
        <f>'Exogenous tax and expenses'!I127+SUM('Exogenous tax and expenses'!R127:V127)-SUM('Exogenous tax and expenses'!X127:AA127)</f>
        <v>-1.2384170585116204E-2</v>
      </c>
      <c r="P127" s="455">
        <f>'Exogenous tax and expenses'!J127+SUM('Exogenous tax and expenses'!R127:V127)-SUM('Exogenous tax and expenses'!X127:AA127)</f>
        <v>-4.9841705851162068E-3</v>
      </c>
      <c r="Q127" s="455">
        <f>'Exogenous tax and expenses'!K127+SUM('Exogenous tax and expenses'!R127:V127)-SUM('Exogenous tax and expenses'!X127:AA127)</f>
        <v>-8.484170585116203E-3</v>
      </c>
      <c r="R127" s="455">
        <f>'Exogenous tax and expenses'!R126</f>
        <v>7.1898445654710874E-3</v>
      </c>
      <c r="S127" s="455">
        <f>'Exogenous tax and expenses'!S126</f>
        <v>2.6488404432867107E-3</v>
      </c>
      <c r="T127" s="746">
        <f>'Exogenous tax and expenses'!T126</f>
        <v>1.5861055711979122E-4</v>
      </c>
      <c r="U127" s="455">
        <f t="shared" si="5"/>
        <v>1.0384263403111235E-2</v>
      </c>
      <c r="V127" s="746">
        <f>'Exogenous tax and expenses'!V126</f>
        <v>1.5552160056394643E-2</v>
      </c>
      <c r="W127" s="746"/>
      <c r="X127" s="746">
        <f>'Exogenous tax and expenses'!X126</f>
        <v>1.9129375374496074E-3</v>
      </c>
      <c r="Y127" s="455">
        <f>'Exogenous tax and expenses'!Y126</f>
        <v>2.6275501339975628E-3</v>
      </c>
      <c r="Z127" s="455">
        <f>'Exogenous tax and expenses'!Z126</f>
        <v>6.9520391621970623E-3</v>
      </c>
      <c r="AA127" s="455">
        <f>'Exogenous tax and expenses'!AA126</f>
        <v>1.5253627768554421E-3</v>
      </c>
    </row>
    <row r="128" spans="2:44">
      <c r="B128" s="757"/>
      <c r="C128" s="1">
        <f>'Exogenous tax and expenses'!C127+1</f>
        <v>2025</v>
      </c>
      <c r="D128" s="1"/>
      <c r="E128" s="1"/>
      <c r="F128" s="753">
        <v>-3.5299999999999998E-2</v>
      </c>
      <c r="G128" s="753">
        <v>-4.0300000000000002E-2</v>
      </c>
      <c r="H128" s="759">
        <v>-3.09E-2</v>
      </c>
      <c r="I128" s="759">
        <v>-3.5799999999999998E-2</v>
      </c>
      <c r="J128" s="753">
        <v>-2.7E-2</v>
      </c>
      <c r="K128" s="753">
        <v>-3.1699999999999999E-2</v>
      </c>
      <c r="L128" s="455">
        <f>'Exogenous tax and expenses'!F128+SUM('Exogenous tax and expenses'!R128:V128)-SUM('Exogenous tax and expenses'!X128:AA128)</f>
        <v>-1.2384170585116204E-2</v>
      </c>
      <c r="M128" s="455">
        <f>'Exogenous tax and expenses'!G128+SUM('Exogenous tax and expenses'!R128:V128)-SUM('Exogenous tax and expenses'!X128:AA128)</f>
        <v>-1.738417058511621E-2</v>
      </c>
      <c r="N128" s="455">
        <f>'Exogenous tax and expenses'!H128+SUM('Exogenous tax and expenses'!R128:V128)-SUM('Exogenous tax and expenses'!X128:AA128)</f>
        <v>-7.984170585116206E-3</v>
      </c>
      <c r="O128" s="455">
        <f>'Exogenous tax and expenses'!I128+SUM('Exogenous tax and expenses'!R128:V128)-SUM('Exogenous tax and expenses'!X128:AA128)</f>
        <v>-1.2884170585116204E-2</v>
      </c>
      <c r="P128" s="455">
        <f>'Exogenous tax and expenses'!J128+SUM('Exogenous tax and expenses'!R128:V128)-SUM('Exogenous tax and expenses'!X128:AA128)</f>
        <v>-4.0841705851162053E-3</v>
      </c>
      <c r="Q128" s="455">
        <f>'Exogenous tax and expenses'!K128+SUM('Exogenous tax and expenses'!R128:V128)-SUM('Exogenous tax and expenses'!X128:AA128)</f>
        <v>-8.7841705851162046E-3</v>
      </c>
      <c r="R128" s="455">
        <f>'Exogenous tax and expenses'!R127</f>
        <v>7.1898445654710874E-3</v>
      </c>
      <c r="S128" s="455">
        <f>'Exogenous tax and expenses'!S127</f>
        <v>2.6488404432867107E-3</v>
      </c>
      <c r="T128" s="746">
        <f>'Exogenous tax and expenses'!T127</f>
        <v>1.5861055711979122E-4</v>
      </c>
      <c r="U128" s="455">
        <f t="shared" si="5"/>
        <v>1.0384263403111235E-2</v>
      </c>
      <c r="V128" s="746">
        <f>'Exogenous tax and expenses'!V127</f>
        <v>1.5552160056394643E-2</v>
      </c>
      <c r="W128" s="746"/>
      <c r="X128" s="746">
        <f>'Exogenous tax and expenses'!X127</f>
        <v>1.9129375374496074E-3</v>
      </c>
      <c r="Y128" s="455">
        <f>'Exogenous tax and expenses'!Y127</f>
        <v>2.6275501339975628E-3</v>
      </c>
      <c r="Z128" s="455">
        <f>'Exogenous tax and expenses'!Z127</f>
        <v>6.9520391621970623E-3</v>
      </c>
      <c r="AA128" s="455">
        <f>'Exogenous tax and expenses'!AA127</f>
        <v>1.5253627768554421E-3</v>
      </c>
    </row>
    <row r="129" spans="2:27">
      <c r="B129" s="757"/>
      <c r="C129" s="1">
        <f>'Exogenous tax and expenses'!C128+1</f>
        <v>2026</v>
      </c>
      <c r="D129" s="1"/>
      <c r="E129" s="1"/>
      <c r="F129" s="753">
        <v>-3.5400000000000001E-2</v>
      </c>
      <c r="G129" s="753">
        <v>-4.1700000000000001E-2</v>
      </c>
      <c r="H129" s="759">
        <v>-3.0499999999999999E-2</v>
      </c>
      <c r="I129" s="759">
        <v>-3.6799999999999999E-2</v>
      </c>
      <c r="J129" s="753">
        <v>-2.6100000000000002E-2</v>
      </c>
      <c r="K129" s="753">
        <v>-3.2099999999999997E-2</v>
      </c>
      <c r="L129" s="455">
        <f>'Exogenous tax and expenses'!F129+SUM('Exogenous tax and expenses'!R129:V129)-SUM('Exogenous tax and expenses'!X129:AA129)</f>
        <v>-1.2484170585116207E-2</v>
      </c>
      <c r="M129" s="455">
        <f>'Exogenous tax and expenses'!G129+SUM('Exogenous tax and expenses'!R129:V129)-SUM('Exogenous tax and expenses'!X129:AA129)</f>
        <v>-1.8784170585116208E-2</v>
      </c>
      <c r="N129" s="455">
        <f>'Exogenous tax and expenses'!H129+SUM('Exogenous tax and expenses'!R129:V129)-SUM('Exogenous tax and expenses'!X129:AA129)</f>
        <v>-7.5841705851162049E-3</v>
      </c>
      <c r="O129" s="455">
        <f>'Exogenous tax and expenses'!I129+SUM('Exogenous tax and expenses'!R129:V129)-SUM('Exogenous tax and expenses'!X129:AA129)</f>
        <v>-1.3884170585116205E-2</v>
      </c>
      <c r="P129" s="455">
        <f>'Exogenous tax and expenses'!J129+SUM('Exogenous tax and expenses'!R129:V129)-SUM('Exogenous tax and expenses'!X129:AA129)</f>
        <v>-3.1841705851162073E-3</v>
      </c>
      <c r="Q129" s="455">
        <f>'Exogenous tax and expenses'!K129+SUM('Exogenous tax and expenses'!R129:V129)-SUM('Exogenous tax and expenses'!X129:AA129)</f>
        <v>-9.1841705851162022E-3</v>
      </c>
      <c r="R129" s="455">
        <f>'Exogenous tax and expenses'!R128</f>
        <v>7.1898445654710874E-3</v>
      </c>
      <c r="S129" s="455">
        <f>'Exogenous tax and expenses'!S128</f>
        <v>2.6488404432867107E-3</v>
      </c>
      <c r="T129" s="746">
        <f>'Exogenous tax and expenses'!T128</f>
        <v>1.5861055711979122E-4</v>
      </c>
      <c r="U129" s="455">
        <f t="shared" si="5"/>
        <v>1.0384263403111235E-2</v>
      </c>
      <c r="V129" s="746">
        <f>'Exogenous tax and expenses'!V128</f>
        <v>1.5552160056394643E-2</v>
      </c>
      <c r="W129" s="746"/>
      <c r="X129" s="746">
        <f>'Exogenous tax and expenses'!X128</f>
        <v>1.9129375374496074E-3</v>
      </c>
      <c r="Y129" s="455">
        <f>'Exogenous tax and expenses'!Y128</f>
        <v>2.6275501339975628E-3</v>
      </c>
      <c r="Z129" s="455">
        <f>'Exogenous tax and expenses'!Z128</f>
        <v>6.9520391621970623E-3</v>
      </c>
      <c r="AA129" s="455">
        <f>'Exogenous tax and expenses'!AA128</f>
        <v>1.5253627768554421E-3</v>
      </c>
    </row>
    <row r="130" spans="2:27">
      <c r="B130" s="757"/>
      <c r="C130" s="1">
        <f>'Exogenous tax and expenses'!C129+1</f>
        <v>2027</v>
      </c>
      <c r="D130" s="1"/>
      <c r="E130" s="1"/>
      <c r="F130" s="753">
        <v>-3.49E-2</v>
      </c>
      <c r="G130" s="753">
        <v>-4.2599999999999999E-2</v>
      </c>
      <c r="H130" s="759">
        <v>-2.9899999999999999E-2</v>
      </c>
      <c r="I130" s="759">
        <v>-3.7699999999999997E-2</v>
      </c>
      <c r="J130" s="753">
        <v>-2.46E-2</v>
      </c>
      <c r="K130" s="753">
        <v>-3.2000000000000001E-2</v>
      </c>
      <c r="L130" s="455">
        <f>'Exogenous tax and expenses'!F130+SUM('Exogenous tax and expenses'!R130:V130)-SUM('Exogenous tax and expenses'!X130:AA130)</f>
        <v>-1.1984170585116206E-2</v>
      </c>
      <c r="M130" s="455">
        <f>'Exogenous tax and expenses'!G130+SUM('Exogenous tax and expenses'!R130:V130)-SUM('Exogenous tax and expenses'!X130:AA130)</f>
        <v>-1.9684170585116206E-2</v>
      </c>
      <c r="N130" s="455">
        <f>'Exogenous tax and expenses'!H130+SUM('Exogenous tax and expenses'!R130:V130)-SUM('Exogenous tax and expenses'!X130:AA130)</f>
        <v>-6.9841705851162051E-3</v>
      </c>
      <c r="O130" s="455">
        <f>'Exogenous tax and expenses'!I130+SUM('Exogenous tax and expenses'!R130:V130)-SUM('Exogenous tax and expenses'!X130:AA130)</f>
        <v>-1.4784170585116203E-2</v>
      </c>
      <c r="P130" s="455">
        <f>'Exogenous tax and expenses'!J130+SUM('Exogenous tax and expenses'!R130:V130)-SUM('Exogenous tax and expenses'!X130:AA130)</f>
        <v>-1.6841705851162059E-3</v>
      </c>
      <c r="Q130" s="455">
        <f>'Exogenous tax and expenses'!K130+SUM('Exogenous tax and expenses'!R130:V130)-SUM('Exogenous tax and expenses'!X130:AA130)</f>
        <v>-9.0841705851162063E-3</v>
      </c>
      <c r="R130" s="455">
        <f>'Exogenous tax and expenses'!R129</f>
        <v>7.1898445654710874E-3</v>
      </c>
      <c r="S130" s="455">
        <f>'Exogenous tax and expenses'!S129</f>
        <v>2.6488404432867107E-3</v>
      </c>
      <c r="T130" s="746">
        <f>'Exogenous tax and expenses'!T129</f>
        <v>1.5861055711979122E-4</v>
      </c>
      <c r="U130" s="455">
        <f t="shared" si="5"/>
        <v>1.0384263403111235E-2</v>
      </c>
      <c r="V130" s="746">
        <f>'Exogenous tax and expenses'!V129</f>
        <v>1.5552160056394643E-2</v>
      </c>
      <c r="W130" s="746"/>
      <c r="X130" s="746">
        <f>'Exogenous tax and expenses'!X129</f>
        <v>1.9129375374496074E-3</v>
      </c>
      <c r="Y130" s="455">
        <f>'Exogenous tax and expenses'!Y129</f>
        <v>2.6275501339975628E-3</v>
      </c>
      <c r="Z130" s="455">
        <f>'Exogenous tax and expenses'!Z129</f>
        <v>6.9520391621970623E-3</v>
      </c>
      <c r="AA130" s="455">
        <f>'Exogenous tax and expenses'!AA129</f>
        <v>1.5253627768554421E-3</v>
      </c>
    </row>
    <row r="131" spans="2:27">
      <c r="B131" s="757"/>
      <c r="C131" s="1">
        <f>'Exogenous tax and expenses'!C130+1</f>
        <v>2028</v>
      </c>
      <c r="D131" s="1"/>
      <c r="E131" s="1"/>
      <c r="F131" s="753">
        <v>-3.3799999999999997E-2</v>
      </c>
      <c r="G131" s="753">
        <v>-4.2999999999999997E-2</v>
      </c>
      <c r="H131" s="759">
        <v>-2.8299999999999999E-2</v>
      </c>
      <c r="I131" s="759">
        <v>-3.7499999999999999E-2</v>
      </c>
      <c r="J131" s="753">
        <v>-2.2599999999999999E-2</v>
      </c>
      <c r="K131" s="753">
        <v>-3.1399999999999997E-2</v>
      </c>
      <c r="L131" s="455">
        <f>'Exogenous tax and expenses'!F131+SUM('Exogenous tax and expenses'!R131:V131)-SUM('Exogenous tax and expenses'!X131:AA131)</f>
        <v>-9.3588078082607606E-3</v>
      </c>
      <c r="M131" s="455">
        <f>'Exogenous tax and expenses'!G131+SUM('Exogenous tax and expenses'!R131:V131)-SUM('Exogenous tax and expenses'!X131:AA131)</f>
        <v>-1.855880780826076E-2</v>
      </c>
      <c r="N131" s="455">
        <f>'Exogenous tax and expenses'!H131+SUM('Exogenous tax and expenses'!R131:V131)-SUM('Exogenous tax and expenses'!X131:AA131)</f>
        <v>-3.8588078082607627E-3</v>
      </c>
      <c r="O131" s="455">
        <f>'Exogenous tax and expenses'!I131+SUM('Exogenous tax and expenses'!R131:V131)-SUM('Exogenous tax and expenses'!X131:AA131)</f>
        <v>-1.3058807808260763E-2</v>
      </c>
      <c r="P131" s="455">
        <f>'Exogenous tax and expenses'!J131+SUM('Exogenous tax and expenses'!R131:V131)-SUM('Exogenous tax and expenses'!X131:AA131)</f>
        <v>1.8411921917392375E-3</v>
      </c>
      <c r="Q131" s="455">
        <f>'Exogenous tax and expenses'!K131+SUM('Exogenous tax and expenses'!R131:V131)-SUM('Exogenous tax and expenses'!X131:AA131)</f>
        <v>-6.9588078082607613E-3</v>
      </c>
      <c r="R131" s="455">
        <f>'Exogenous tax and expenses'!R130</f>
        <v>7.1898445654710874E-3</v>
      </c>
      <c r="S131" s="455">
        <f>'Exogenous tax and expenses'!S130</f>
        <v>2.6488404432867107E-3</v>
      </c>
      <c r="T131" s="746">
        <f>'Exogenous tax and expenses'!T130</f>
        <v>1.5861055711979122E-4</v>
      </c>
      <c r="U131" s="455">
        <f t="shared" si="5"/>
        <v>1.0384263403111235E-2</v>
      </c>
      <c r="V131" s="746">
        <f>'Exogenous tax and expenses'!V130</f>
        <v>1.5552160056394643E-2</v>
      </c>
      <c r="W131" s="746"/>
      <c r="X131" s="746">
        <f>'Exogenous tax and expenses'!X130</f>
        <v>1.9129375374496074E-3</v>
      </c>
      <c r="Y131" s="455">
        <f>'Exogenous tax and expenses'!Y130</f>
        <v>2.6275501339975628E-3</v>
      </c>
      <c r="Z131" s="455">
        <f>'Exogenous tax and expenses'!Z130</f>
        <v>6.9520391621970623E-3</v>
      </c>
      <c r="AA131" s="1">
        <v>0</v>
      </c>
    </row>
    <row r="132" spans="2:27">
      <c r="B132" s="757"/>
      <c r="C132" s="1">
        <f>'Exogenous tax and expenses'!C131+1</f>
        <v>2029</v>
      </c>
      <c r="D132" s="1"/>
      <c r="E132" s="1"/>
      <c r="F132" s="753">
        <v>-3.2800000000000003E-2</v>
      </c>
      <c r="G132" s="753">
        <v>-4.3299999999999998E-2</v>
      </c>
      <c r="H132" s="759">
        <v>-2.7300000000000001E-2</v>
      </c>
      <c r="I132" s="759">
        <v>-3.7699999999999997E-2</v>
      </c>
      <c r="J132" s="753">
        <v>-2.12E-2</v>
      </c>
      <c r="K132" s="753">
        <v>-3.1199999999999999E-2</v>
      </c>
      <c r="L132" s="455">
        <f>'Exogenous tax and expenses'!F132+SUM('Exogenous tax and expenses'!R132:V132)-SUM('Exogenous tax and expenses'!X132:AA132)</f>
        <v>-8.3588078082607667E-3</v>
      </c>
      <c r="M132" s="455">
        <f>'Exogenous tax and expenses'!G132+SUM('Exogenous tax and expenses'!R132:V132)-SUM('Exogenous tax and expenses'!X132:AA132)</f>
        <v>-1.8858807808260762E-2</v>
      </c>
      <c r="N132" s="455">
        <f>'Exogenous tax and expenses'!H132+SUM('Exogenous tax and expenses'!R132:V132)-SUM('Exogenous tax and expenses'!X132:AA132)</f>
        <v>-2.8588078082607653E-3</v>
      </c>
      <c r="O132" s="455">
        <f>'Exogenous tax and expenses'!I132+SUM('Exogenous tax and expenses'!R132:V132)-SUM('Exogenous tax and expenses'!X132:AA132)</f>
        <v>-1.3258807808260761E-2</v>
      </c>
      <c r="P132" s="455">
        <f>'Exogenous tax and expenses'!J132+SUM('Exogenous tax and expenses'!R132:V132)-SUM('Exogenous tax and expenses'!X132:AA132)</f>
        <v>3.241192191739236E-3</v>
      </c>
      <c r="Q132" s="455">
        <f>'Exogenous tax and expenses'!K132+SUM('Exogenous tax and expenses'!R132:V132)-SUM('Exogenous tax and expenses'!X132:AA132)</f>
        <v>-6.7588078082607625E-3</v>
      </c>
      <c r="R132" s="455">
        <f>'Exogenous tax and expenses'!R131</f>
        <v>7.1898445654710874E-3</v>
      </c>
      <c r="S132" s="455">
        <f>'Exogenous tax and expenses'!S131</f>
        <v>2.6488404432867107E-3</v>
      </c>
      <c r="T132" s="746">
        <f>'Exogenous tax and expenses'!T131</f>
        <v>1.5861055711979122E-4</v>
      </c>
      <c r="U132" s="455">
        <f t="shared" si="5"/>
        <v>1.0384263403111235E-2</v>
      </c>
      <c r="V132" s="746">
        <f>'Exogenous tax and expenses'!V131</f>
        <v>1.5552160056394643E-2</v>
      </c>
      <c r="W132" s="746"/>
      <c r="X132" s="746">
        <f>'Exogenous tax and expenses'!X131</f>
        <v>1.9129375374496074E-3</v>
      </c>
      <c r="Y132" s="455">
        <f>'Exogenous tax and expenses'!Y131</f>
        <v>2.6275501339975628E-3</v>
      </c>
      <c r="Z132" s="455">
        <f>'Exogenous tax and expenses'!Z131</f>
        <v>6.9520391621970623E-3</v>
      </c>
      <c r="AA132" s="1">
        <v>0</v>
      </c>
    </row>
    <row r="133" spans="2:27">
      <c r="B133" s="757"/>
      <c r="C133" s="1">
        <f>'Exogenous tax and expenses'!C132+1</f>
        <v>2030</v>
      </c>
      <c r="D133" s="1"/>
      <c r="E133" s="1"/>
      <c r="F133" s="753">
        <v>-3.2800000000000003E-2</v>
      </c>
      <c r="G133" s="753">
        <v>-4.4499999999999998E-2</v>
      </c>
      <c r="H133" s="759">
        <v>-2.7099999999999999E-2</v>
      </c>
      <c r="I133" s="759">
        <v>-3.8800000000000001E-2</v>
      </c>
      <c r="J133" s="753">
        <v>-2.12E-2</v>
      </c>
      <c r="K133" s="753">
        <v>-3.2300000000000002E-2</v>
      </c>
      <c r="L133" s="455">
        <f>'Exogenous tax and expenses'!F133+SUM('Exogenous tax and expenses'!R133:V133)-SUM('Exogenous tax and expenses'!X133:AA133)</f>
        <v>-8.3588078082607667E-3</v>
      </c>
      <c r="M133" s="455">
        <f>'Exogenous tax and expenses'!G133+SUM('Exogenous tax and expenses'!R133:V133)-SUM('Exogenous tax and expenses'!X133:AA133)</f>
        <v>-2.0058807808260762E-2</v>
      </c>
      <c r="N133" s="455">
        <f>'Exogenous tax and expenses'!H133+SUM('Exogenous tax and expenses'!R133:V133)-SUM('Exogenous tax and expenses'!X133:AA133)</f>
        <v>-2.658807808260763E-3</v>
      </c>
      <c r="O133" s="455">
        <f>'Exogenous tax and expenses'!I133+SUM('Exogenous tax and expenses'!R133:V133)-SUM('Exogenous tax and expenses'!X133:AA133)</f>
        <v>-1.4358807808260765E-2</v>
      </c>
      <c r="P133" s="455">
        <f>'Exogenous tax and expenses'!J133+SUM('Exogenous tax and expenses'!R133:V133)-SUM('Exogenous tax and expenses'!X133:AA133)</f>
        <v>3.241192191739236E-3</v>
      </c>
      <c r="Q133" s="455">
        <f>'Exogenous tax and expenses'!K133+SUM('Exogenous tax and expenses'!R133:V133)-SUM('Exogenous tax and expenses'!X133:AA133)</f>
        <v>-7.8588078082607662E-3</v>
      </c>
      <c r="R133" s="455">
        <f>'Exogenous tax and expenses'!R132</f>
        <v>7.1898445654710874E-3</v>
      </c>
      <c r="S133" s="455">
        <f>'Exogenous tax and expenses'!S132</f>
        <v>2.6488404432867107E-3</v>
      </c>
      <c r="T133" s="746">
        <f>'Exogenous tax and expenses'!T132</f>
        <v>1.5861055711979122E-4</v>
      </c>
      <c r="U133" s="455">
        <f t="shared" si="5"/>
        <v>1.0384263403111235E-2</v>
      </c>
      <c r="V133" s="746">
        <f>'Exogenous tax and expenses'!V132</f>
        <v>1.5552160056394643E-2</v>
      </c>
      <c r="W133" s="746"/>
      <c r="X133" s="746">
        <f>'Exogenous tax and expenses'!X132</f>
        <v>1.9129375374496074E-3</v>
      </c>
      <c r="Y133" s="455">
        <f>'Exogenous tax and expenses'!Y132</f>
        <v>2.6275501339975628E-3</v>
      </c>
      <c r="Z133" s="455">
        <f>'Exogenous tax and expenses'!Z132</f>
        <v>6.9520391621970623E-3</v>
      </c>
      <c r="AA133" s="1">
        <v>0</v>
      </c>
    </row>
    <row r="134" spans="2:27">
      <c r="B134" s="757"/>
      <c r="C134" s="1">
        <f>'Exogenous tax and expenses'!C133+1</f>
        <v>2031</v>
      </c>
      <c r="D134" s="1"/>
      <c r="E134" s="1"/>
      <c r="F134" s="753">
        <v>-3.1600000000000003E-2</v>
      </c>
      <c r="G134" s="753">
        <v>-4.4600000000000001E-2</v>
      </c>
      <c r="H134" s="759">
        <v>-2.7099999999999999E-2</v>
      </c>
      <c r="I134" s="759">
        <v>-3.9699999999999999E-2</v>
      </c>
      <c r="J134" s="753">
        <v>-2.1299999999999999E-2</v>
      </c>
      <c r="K134" s="753">
        <v>-3.3500000000000002E-2</v>
      </c>
      <c r="L134" s="455">
        <f>'Exogenous tax and expenses'!F134+SUM('Exogenous tax and expenses'!R134:V134)-SUM('Exogenous tax and expenses'!X134:AA134)</f>
        <v>-7.158807808260767E-3</v>
      </c>
      <c r="M134" s="455">
        <f>'Exogenous tax and expenses'!G134+SUM('Exogenous tax and expenses'!R134:V134)-SUM('Exogenous tax and expenses'!X134:AA134)</f>
        <v>-2.0158807808260765E-2</v>
      </c>
      <c r="N134" s="455">
        <f>'Exogenous tax and expenses'!H134+SUM('Exogenous tax and expenses'!R134:V134)-SUM('Exogenous tax and expenses'!X134:AA134)</f>
        <v>-2.658807808260763E-3</v>
      </c>
      <c r="O134" s="455">
        <f>'Exogenous tax and expenses'!I134+SUM('Exogenous tax and expenses'!R134:V134)-SUM('Exogenous tax and expenses'!X134:AA134)</f>
        <v>-1.5258807808260763E-2</v>
      </c>
      <c r="P134" s="455">
        <f>'Exogenous tax and expenses'!J134+SUM('Exogenous tax and expenses'!R134:V134)-SUM('Exogenous tax and expenses'!X134:AA134)</f>
        <v>3.1411921917392366E-3</v>
      </c>
      <c r="Q134" s="455">
        <f>'Exogenous tax and expenses'!K134+SUM('Exogenous tax and expenses'!R134:V134)-SUM('Exogenous tax and expenses'!X134:AA134)</f>
        <v>-9.0588078082607659E-3</v>
      </c>
      <c r="R134" s="455">
        <f>'Exogenous tax and expenses'!R133</f>
        <v>7.1898445654710874E-3</v>
      </c>
      <c r="S134" s="455">
        <f>'Exogenous tax and expenses'!S133</f>
        <v>2.6488404432867107E-3</v>
      </c>
      <c r="T134" s="746">
        <f>'Exogenous tax and expenses'!T133</f>
        <v>1.5861055711979122E-4</v>
      </c>
      <c r="U134" s="455">
        <f t="shared" si="5"/>
        <v>1.0384263403111235E-2</v>
      </c>
      <c r="V134" s="746">
        <f>'Exogenous tax and expenses'!V133</f>
        <v>1.5552160056394643E-2</v>
      </c>
      <c r="W134" s="746"/>
      <c r="X134" s="746">
        <f>'Exogenous tax and expenses'!X133</f>
        <v>1.9129375374496074E-3</v>
      </c>
      <c r="Y134" s="455">
        <f>'Exogenous tax and expenses'!Y133</f>
        <v>2.6275501339975628E-3</v>
      </c>
      <c r="Z134" s="455">
        <f>'Exogenous tax and expenses'!Z133</f>
        <v>6.9520391621970623E-3</v>
      </c>
      <c r="AA134" s="1">
        <v>0</v>
      </c>
    </row>
    <row r="135" spans="2:27">
      <c r="B135" s="757"/>
      <c r="C135" s="1">
        <f>'Exogenous tax and expenses'!C134+1</f>
        <v>2032</v>
      </c>
      <c r="D135" s="1"/>
      <c r="E135" s="1"/>
      <c r="F135" s="753">
        <v>-3.15E-2</v>
      </c>
      <c r="G135" s="753">
        <v>-4.58E-2</v>
      </c>
      <c r="H135" s="759">
        <v>-2.7900000000000001E-2</v>
      </c>
      <c r="I135" s="759">
        <v>-4.1700000000000001E-2</v>
      </c>
      <c r="J135" s="753">
        <v>-2.2100000000000002E-2</v>
      </c>
      <c r="K135" s="753">
        <v>-3.5499999999999997E-2</v>
      </c>
      <c r="L135" s="455">
        <f>'Exogenous tax and expenses'!F135+SUM('Exogenous tax and expenses'!R135:V135)-SUM('Exogenous tax and expenses'!X135:AA135)</f>
        <v>-7.0588078082607641E-3</v>
      </c>
      <c r="M135" s="455">
        <f>'Exogenous tax and expenses'!G135+SUM('Exogenous tax and expenses'!R135:V135)-SUM('Exogenous tax and expenses'!X135:AA135)</f>
        <v>-2.1358807808260764E-2</v>
      </c>
      <c r="N135" s="455">
        <f>'Exogenous tax and expenses'!H135+SUM('Exogenous tax and expenses'!R135:V135)-SUM('Exogenous tax and expenses'!X135:AA135)</f>
        <v>-3.4588078082607651E-3</v>
      </c>
      <c r="O135" s="455">
        <f>'Exogenous tax and expenses'!I135+SUM('Exogenous tax and expenses'!R135:V135)-SUM('Exogenous tax and expenses'!X135:AA135)</f>
        <v>-1.7258807808260765E-2</v>
      </c>
      <c r="P135" s="455">
        <f>'Exogenous tax and expenses'!J135+SUM('Exogenous tax and expenses'!R135:V135)-SUM('Exogenous tax and expenses'!X135:AA135)</f>
        <v>2.3411921917392345E-3</v>
      </c>
      <c r="Q135" s="455">
        <f>'Exogenous tax and expenses'!K135+SUM('Exogenous tax and expenses'!R135:V135)-SUM('Exogenous tax and expenses'!X135:AA135)</f>
        <v>-1.1058807808260761E-2</v>
      </c>
      <c r="R135" s="455">
        <f>'Exogenous tax and expenses'!R134</f>
        <v>7.1898445654710874E-3</v>
      </c>
      <c r="S135" s="455">
        <f>'Exogenous tax and expenses'!S134</f>
        <v>2.6488404432867107E-3</v>
      </c>
      <c r="T135" s="746">
        <f>'Exogenous tax and expenses'!T134</f>
        <v>1.5861055711979122E-4</v>
      </c>
      <c r="U135" s="455">
        <f t="shared" si="5"/>
        <v>1.0384263403111235E-2</v>
      </c>
      <c r="V135" s="746">
        <f>'Exogenous tax and expenses'!V134</f>
        <v>1.5552160056394643E-2</v>
      </c>
      <c r="W135" s="746"/>
      <c r="X135" s="746">
        <f>'Exogenous tax and expenses'!X134</f>
        <v>1.9129375374496074E-3</v>
      </c>
      <c r="Y135" s="455">
        <f>'Exogenous tax and expenses'!Y134</f>
        <v>2.6275501339975628E-3</v>
      </c>
      <c r="Z135" s="455">
        <f>'Exogenous tax and expenses'!Z134</f>
        <v>6.9520391621970623E-3</v>
      </c>
      <c r="AA135" s="1">
        <v>0</v>
      </c>
    </row>
    <row r="136" spans="2:27">
      <c r="B136" s="757"/>
      <c r="C136" s="1">
        <f>'Exogenous tax and expenses'!C135+1</f>
        <v>2033</v>
      </c>
      <c r="D136" s="1"/>
      <c r="E136" s="1"/>
      <c r="F136" s="753">
        <v>-3.15E-2</v>
      </c>
      <c r="G136" s="753">
        <v>-4.7E-2</v>
      </c>
      <c r="H136" s="759">
        <v>-2.8899999999999999E-2</v>
      </c>
      <c r="I136" s="759">
        <v>-4.3999999999999997E-2</v>
      </c>
      <c r="J136" s="753">
        <v>-2.2200000000000001E-2</v>
      </c>
      <c r="K136" s="753">
        <v>-3.6700000000000003E-2</v>
      </c>
      <c r="L136" s="455">
        <f>'Exogenous tax and expenses'!F136+SUM('Exogenous tax and expenses'!R136:V136)-SUM('Exogenous tax and expenses'!X136:AA136)</f>
        <v>-7.0588078082607641E-3</v>
      </c>
      <c r="M136" s="455">
        <f>'Exogenous tax and expenses'!G136+SUM('Exogenous tax and expenses'!R136:V136)-SUM('Exogenous tax and expenses'!X136:AA136)</f>
        <v>-2.2558807808260764E-2</v>
      </c>
      <c r="N136" s="455">
        <f>'Exogenous tax and expenses'!H136+SUM('Exogenous tax and expenses'!R136:V136)-SUM('Exogenous tax and expenses'!X136:AA136)</f>
        <v>-4.4588078082607625E-3</v>
      </c>
      <c r="O136" s="455">
        <f>'Exogenous tax and expenses'!I136+SUM('Exogenous tax and expenses'!R136:V136)-SUM('Exogenous tax and expenses'!X136:AA136)</f>
        <v>-1.9558807808260761E-2</v>
      </c>
      <c r="P136" s="455">
        <f>'Exogenous tax and expenses'!J136+SUM('Exogenous tax and expenses'!R136:V136)-SUM('Exogenous tax and expenses'!X136:AA136)</f>
        <v>2.2411921917392351E-3</v>
      </c>
      <c r="Q136" s="455">
        <f>'Exogenous tax and expenses'!K136+SUM('Exogenous tax and expenses'!R136:V136)-SUM('Exogenous tax and expenses'!X136:AA136)</f>
        <v>-1.2258807808260767E-2</v>
      </c>
      <c r="R136" s="455">
        <f>'Exogenous tax and expenses'!R135</f>
        <v>7.1898445654710874E-3</v>
      </c>
      <c r="S136" s="455">
        <f>'Exogenous tax and expenses'!S135</f>
        <v>2.6488404432867107E-3</v>
      </c>
      <c r="T136" s="746">
        <f>'Exogenous tax and expenses'!T135</f>
        <v>1.5861055711979122E-4</v>
      </c>
      <c r="U136" s="455">
        <f t="shared" si="5"/>
        <v>1.0384263403111235E-2</v>
      </c>
      <c r="V136" s="746">
        <f>'Exogenous tax and expenses'!V135</f>
        <v>1.5552160056394643E-2</v>
      </c>
      <c r="W136" s="746"/>
      <c r="X136" s="746">
        <f>'Exogenous tax and expenses'!X135</f>
        <v>1.9129375374496074E-3</v>
      </c>
      <c r="Y136" s="455">
        <f>'Exogenous tax and expenses'!Y135</f>
        <v>2.6275501339975628E-3</v>
      </c>
      <c r="Z136" s="455">
        <f>'Exogenous tax and expenses'!Z135</f>
        <v>6.9520391621970623E-3</v>
      </c>
      <c r="AA136" s="1">
        <v>0</v>
      </c>
    </row>
    <row r="137" spans="2:27">
      <c r="B137" s="757"/>
      <c r="C137" s="1">
        <f>'Exogenous tax and expenses'!C136+1</f>
        <v>2034</v>
      </c>
      <c r="D137" s="1"/>
      <c r="E137" s="1"/>
      <c r="F137" s="753">
        <v>-3.1399999999999997E-2</v>
      </c>
      <c r="G137" s="753">
        <v>-4.8099999999999997E-2</v>
      </c>
      <c r="H137" s="759">
        <v>-2.93E-2</v>
      </c>
      <c r="I137" s="759">
        <v>-4.5499999999999999E-2</v>
      </c>
      <c r="J137" s="753">
        <v>-2.1899999999999999E-2</v>
      </c>
      <c r="K137" s="753">
        <v>-3.7600000000000001E-2</v>
      </c>
      <c r="L137" s="455">
        <f>'Exogenous tax and expenses'!F137+SUM('Exogenous tax and expenses'!R137:V137)-SUM('Exogenous tax and expenses'!X137:AA137)</f>
        <v>-6.9588078082607613E-3</v>
      </c>
      <c r="M137" s="455">
        <f>'Exogenous tax and expenses'!G137+SUM('Exogenous tax and expenses'!R137:V137)-SUM('Exogenous tax and expenses'!X137:AA137)</f>
        <v>-2.3658807808260761E-2</v>
      </c>
      <c r="N137" s="455">
        <f>'Exogenous tax and expenses'!H137+SUM('Exogenous tax and expenses'!R137:V137)-SUM('Exogenous tax and expenses'!X137:AA137)</f>
        <v>-4.8588078082607636E-3</v>
      </c>
      <c r="O137" s="455">
        <f>'Exogenous tax and expenses'!I137+SUM('Exogenous tax and expenses'!R137:V137)-SUM('Exogenous tax and expenses'!X137:AA137)</f>
        <v>-2.1058807808260763E-2</v>
      </c>
      <c r="P137" s="455">
        <f>'Exogenous tax and expenses'!J137+SUM('Exogenous tax and expenses'!R137:V137)-SUM('Exogenous tax and expenses'!X137:AA137)</f>
        <v>2.5411921917392367E-3</v>
      </c>
      <c r="Q137" s="455">
        <f>'Exogenous tax and expenses'!K137+SUM('Exogenous tax and expenses'!R137:V137)-SUM('Exogenous tax and expenses'!X137:AA137)</f>
        <v>-1.3158807808260765E-2</v>
      </c>
      <c r="R137" s="455">
        <f>'Exogenous tax and expenses'!R136</f>
        <v>7.1898445654710874E-3</v>
      </c>
      <c r="S137" s="455">
        <f>'Exogenous tax and expenses'!S136</f>
        <v>2.6488404432867107E-3</v>
      </c>
      <c r="T137" s="746">
        <f>'Exogenous tax and expenses'!T136</f>
        <v>1.5861055711979122E-4</v>
      </c>
      <c r="U137" s="455">
        <f t="shared" si="5"/>
        <v>1.0384263403111235E-2</v>
      </c>
      <c r="V137" s="746">
        <f>'Exogenous tax and expenses'!V136</f>
        <v>1.5552160056394643E-2</v>
      </c>
      <c r="W137" s="746"/>
      <c r="X137" s="746">
        <f>'Exogenous tax and expenses'!X136</f>
        <v>1.9129375374496074E-3</v>
      </c>
      <c r="Y137" s="455">
        <f>'Exogenous tax and expenses'!Y136</f>
        <v>2.6275501339975628E-3</v>
      </c>
      <c r="Z137" s="455">
        <f>'Exogenous tax and expenses'!Z136</f>
        <v>6.9520391621970623E-3</v>
      </c>
      <c r="AA137" s="1">
        <v>0</v>
      </c>
    </row>
    <row r="138" spans="2:27">
      <c r="B138" s="757"/>
      <c r="C138" s="1">
        <f>'Exogenous tax and expenses'!C137+1</f>
        <v>2035</v>
      </c>
      <c r="D138" s="1"/>
      <c r="E138" s="1"/>
      <c r="F138" s="753">
        <v>-3.15E-2</v>
      </c>
      <c r="G138" s="753">
        <v>-4.9200000000000001E-2</v>
      </c>
      <c r="H138" s="759">
        <v>-2.9600000000000001E-2</v>
      </c>
      <c r="I138" s="759">
        <v>-4.6800000000000001E-2</v>
      </c>
      <c r="J138" s="753">
        <v>-2.2100000000000002E-2</v>
      </c>
      <c r="K138" s="753">
        <v>-3.8899999999999997E-2</v>
      </c>
      <c r="L138" s="455">
        <f>'Exogenous tax and expenses'!F138+SUM('Exogenous tax and expenses'!R138:V138)-SUM('Exogenous tax and expenses'!X138:AA138)</f>
        <v>-7.0588078082607641E-3</v>
      </c>
      <c r="M138" s="455">
        <f>'Exogenous tax and expenses'!G138+SUM('Exogenous tax and expenses'!R138:V138)-SUM('Exogenous tax and expenses'!X138:AA138)</f>
        <v>-2.4758807808260765E-2</v>
      </c>
      <c r="N138" s="455">
        <f>'Exogenous tax and expenses'!H138+SUM('Exogenous tax and expenses'!R138:V138)-SUM('Exogenous tax and expenses'!X138:AA138)</f>
        <v>-5.1588078082607652E-3</v>
      </c>
      <c r="O138" s="455">
        <f>'Exogenous tax and expenses'!I138+SUM('Exogenous tax and expenses'!R138:V138)-SUM('Exogenous tax and expenses'!X138:AA138)</f>
        <v>-2.2358807808260765E-2</v>
      </c>
      <c r="P138" s="455">
        <f>'Exogenous tax and expenses'!J138+SUM('Exogenous tax and expenses'!R138:V138)-SUM('Exogenous tax and expenses'!X138:AA138)</f>
        <v>2.3411921917392345E-3</v>
      </c>
      <c r="Q138" s="455">
        <f>'Exogenous tax and expenses'!K138+SUM('Exogenous tax and expenses'!R138:V138)-SUM('Exogenous tax and expenses'!X138:AA138)</f>
        <v>-1.4458807808260761E-2</v>
      </c>
      <c r="R138" s="455">
        <f>'Exogenous tax and expenses'!R137</f>
        <v>7.1898445654710874E-3</v>
      </c>
      <c r="S138" s="455">
        <f>'Exogenous tax and expenses'!S137</f>
        <v>2.6488404432867107E-3</v>
      </c>
      <c r="T138" s="746">
        <f>'Exogenous tax and expenses'!T137</f>
        <v>1.5861055711979122E-4</v>
      </c>
      <c r="U138" s="455">
        <f t="shared" si="5"/>
        <v>1.0384263403111235E-2</v>
      </c>
      <c r="V138" s="746">
        <f>'Exogenous tax and expenses'!V137</f>
        <v>1.5552160056394643E-2</v>
      </c>
      <c r="W138" s="746"/>
      <c r="X138" s="746">
        <f>'Exogenous tax and expenses'!X137</f>
        <v>1.9129375374496074E-3</v>
      </c>
      <c r="Y138" s="455">
        <f>'Exogenous tax and expenses'!Y137</f>
        <v>2.6275501339975628E-3</v>
      </c>
      <c r="Z138" s="455">
        <f>'Exogenous tax and expenses'!Z137</f>
        <v>6.9520391621970623E-3</v>
      </c>
      <c r="AA138" s="1">
        <v>0</v>
      </c>
    </row>
    <row r="139" spans="2:27">
      <c r="B139" s="757"/>
      <c r="C139" s="1">
        <f>'Exogenous tax and expenses'!C138+1</f>
        <v>2036</v>
      </c>
      <c r="D139" s="1"/>
      <c r="E139" s="1"/>
      <c r="F139" s="753">
        <v>-3.1300000000000001E-2</v>
      </c>
      <c r="G139" s="753">
        <v>-5.04E-2</v>
      </c>
      <c r="H139" s="759">
        <v>-2.93E-2</v>
      </c>
      <c r="I139" s="759">
        <v>-4.8000000000000001E-2</v>
      </c>
      <c r="J139" s="753">
        <v>-2.18E-2</v>
      </c>
      <c r="K139" s="753">
        <v>-3.9800000000000002E-2</v>
      </c>
      <c r="L139" s="455">
        <f>'Exogenous tax and expenses'!F139+SUM('Exogenous tax and expenses'!R139:V139)-SUM('Exogenous tax and expenses'!X139:AA139)</f>
        <v>-6.8588078082607654E-3</v>
      </c>
      <c r="M139" s="455">
        <f>'Exogenous tax and expenses'!G139+SUM('Exogenous tax and expenses'!R139:V139)-SUM('Exogenous tax and expenses'!X139:AA139)</f>
        <v>-2.5958807808260764E-2</v>
      </c>
      <c r="N139" s="455">
        <f>'Exogenous tax and expenses'!H139+SUM('Exogenous tax and expenses'!R139:V139)-SUM('Exogenous tax and expenses'!X139:AA139)</f>
        <v>-4.8588078082607636E-3</v>
      </c>
      <c r="O139" s="455">
        <f>'Exogenous tax and expenses'!I139+SUM('Exogenous tax and expenses'!R139:V139)-SUM('Exogenous tax and expenses'!X139:AA139)</f>
        <v>-2.3558807808260765E-2</v>
      </c>
      <c r="P139" s="455">
        <f>'Exogenous tax and expenses'!J139+SUM('Exogenous tax and expenses'!R139:V139)-SUM('Exogenous tax and expenses'!X139:AA139)</f>
        <v>2.6411921917392361E-3</v>
      </c>
      <c r="Q139" s="455">
        <f>'Exogenous tax and expenses'!K139+SUM('Exogenous tax and expenses'!R139:V139)-SUM('Exogenous tax and expenses'!X139:AA139)</f>
        <v>-1.5358807808260766E-2</v>
      </c>
      <c r="R139" s="455">
        <f>'Exogenous tax and expenses'!R138</f>
        <v>7.1898445654710874E-3</v>
      </c>
      <c r="S139" s="455">
        <f>'Exogenous tax and expenses'!S138</f>
        <v>2.6488404432867107E-3</v>
      </c>
      <c r="T139" s="746">
        <f>'Exogenous tax and expenses'!T138</f>
        <v>1.5861055711979122E-4</v>
      </c>
      <c r="U139" s="455">
        <f t="shared" si="5"/>
        <v>1.0384263403111235E-2</v>
      </c>
      <c r="V139" s="746">
        <f>'Exogenous tax and expenses'!V138</f>
        <v>1.5552160056394643E-2</v>
      </c>
      <c r="W139" s="746"/>
      <c r="X139" s="746">
        <f>'Exogenous tax and expenses'!X138</f>
        <v>1.9129375374496074E-3</v>
      </c>
      <c r="Y139" s="455">
        <f>'Exogenous tax and expenses'!Y138</f>
        <v>2.6275501339975628E-3</v>
      </c>
      <c r="Z139" s="455">
        <f>'Exogenous tax and expenses'!Z138</f>
        <v>6.9520391621970623E-3</v>
      </c>
      <c r="AA139" s="1">
        <v>0</v>
      </c>
    </row>
    <row r="140" spans="2:27">
      <c r="B140" s="757"/>
      <c r="C140" s="1">
        <f>'Exogenous tax and expenses'!C139+1</f>
        <v>2037</v>
      </c>
      <c r="D140" s="1"/>
      <c r="E140" s="1"/>
      <c r="F140" s="753">
        <v>-3.0499999999999999E-2</v>
      </c>
      <c r="G140" s="753">
        <v>-5.0900000000000001E-2</v>
      </c>
      <c r="H140" s="759">
        <v>-2.8400000000000002E-2</v>
      </c>
      <c r="I140" s="759">
        <v>-4.87E-2</v>
      </c>
      <c r="J140" s="753">
        <v>-2.2100000000000002E-2</v>
      </c>
      <c r="K140" s="753">
        <v>-4.1399999999999999E-2</v>
      </c>
      <c r="L140" s="455">
        <f>'Exogenous tax and expenses'!F140+SUM('Exogenous tax and expenses'!R140:V140)-SUM('Exogenous tax and expenses'!X140:AA140)</f>
        <v>-6.0588078082607633E-3</v>
      </c>
      <c r="M140" s="455">
        <f>'Exogenous tax and expenses'!G140+SUM('Exogenous tax and expenses'!R140:V140)-SUM('Exogenous tax and expenses'!X140:AA140)</f>
        <v>-2.6458807808260765E-2</v>
      </c>
      <c r="N140" s="455">
        <f>'Exogenous tax and expenses'!H140+SUM('Exogenous tax and expenses'!R140:V140)-SUM('Exogenous tax and expenses'!X140:AA140)</f>
        <v>-3.9588078082607656E-3</v>
      </c>
      <c r="O140" s="455">
        <f>'Exogenous tax and expenses'!I140+SUM('Exogenous tax and expenses'!R140:V140)-SUM('Exogenous tax and expenses'!X140:AA140)</f>
        <v>-2.4258807808260764E-2</v>
      </c>
      <c r="P140" s="455">
        <f>'Exogenous tax and expenses'!J140+SUM('Exogenous tax and expenses'!R140:V140)-SUM('Exogenous tax and expenses'!X140:AA140)</f>
        <v>2.3411921917392345E-3</v>
      </c>
      <c r="Q140" s="455">
        <f>'Exogenous tax and expenses'!K140+SUM('Exogenous tax and expenses'!R140:V140)-SUM('Exogenous tax and expenses'!X140:AA140)</f>
        <v>-1.6958807808260763E-2</v>
      </c>
      <c r="R140" s="455">
        <f>'Exogenous tax and expenses'!R139</f>
        <v>7.1898445654710874E-3</v>
      </c>
      <c r="S140" s="455">
        <f>'Exogenous tax and expenses'!S139</f>
        <v>2.6488404432867107E-3</v>
      </c>
      <c r="T140" s="746">
        <f>'Exogenous tax and expenses'!T139</f>
        <v>1.5861055711979122E-4</v>
      </c>
      <c r="U140" s="455">
        <f t="shared" si="5"/>
        <v>1.0384263403111235E-2</v>
      </c>
      <c r="V140" s="746">
        <f>'Exogenous tax and expenses'!V139</f>
        <v>1.5552160056394643E-2</v>
      </c>
      <c r="W140" s="746"/>
      <c r="X140" s="746">
        <f>'Exogenous tax and expenses'!X139</f>
        <v>1.9129375374496074E-3</v>
      </c>
      <c r="Y140" s="455">
        <f>'Exogenous tax and expenses'!Y139</f>
        <v>2.6275501339975628E-3</v>
      </c>
      <c r="Z140" s="455">
        <f>'Exogenous tax and expenses'!Z139</f>
        <v>6.9520391621970623E-3</v>
      </c>
      <c r="AA140" s="1">
        <v>0</v>
      </c>
    </row>
    <row r="141" spans="2:27">
      <c r="B141" s="757"/>
      <c r="C141" s="1">
        <f>'Exogenous tax and expenses'!C140+1</f>
        <v>2038</v>
      </c>
      <c r="D141" s="1"/>
      <c r="E141" s="1"/>
      <c r="F141" s="753">
        <v>-3.0499999999999999E-2</v>
      </c>
      <c r="G141" s="753">
        <v>-5.2499999999999998E-2</v>
      </c>
      <c r="H141" s="759">
        <v>-2.9100000000000001E-2</v>
      </c>
      <c r="I141" s="759">
        <v>-5.0900000000000001E-2</v>
      </c>
      <c r="J141" s="753">
        <v>-2.2100000000000002E-2</v>
      </c>
      <c r="K141" s="753">
        <v>-4.2700000000000002E-2</v>
      </c>
      <c r="L141" s="455">
        <f>'Exogenous tax and expenses'!F141+SUM('Exogenous tax and expenses'!R141:V141)-SUM('Exogenous tax and expenses'!X141:AA141)</f>
        <v>-6.0588078082607633E-3</v>
      </c>
      <c r="M141" s="455">
        <f>'Exogenous tax and expenses'!G141+SUM('Exogenous tax and expenses'!R141:V141)-SUM('Exogenous tax and expenses'!X141:AA141)</f>
        <v>-2.8058807808260762E-2</v>
      </c>
      <c r="N141" s="455">
        <f>'Exogenous tax and expenses'!H141+SUM('Exogenous tax and expenses'!R141:V141)-SUM('Exogenous tax and expenses'!X141:AA141)</f>
        <v>-4.6588078082607648E-3</v>
      </c>
      <c r="O141" s="455">
        <f>'Exogenous tax and expenses'!I141+SUM('Exogenous tax and expenses'!R141:V141)-SUM('Exogenous tax and expenses'!X141:AA141)</f>
        <v>-2.6458807808260765E-2</v>
      </c>
      <c r="P141" s="455">
        <f>'Exogenous tax and expenses'!J141+SUM('Exogenous tax and expenses'!R141:V141)-SUM('Exogenous tax and expenses'!X141:AA141)</f>
        <v>2.3411921917392345E-3</v>
      </c>
      <c r="Q141" s="455">
        <f>'Exogenous tax and expenses'!K141+SUM('Exogenous tax and expenses'!R141:V141)-SUM('Exogenous tax and expenses'!X141:AA141)</f>
        <v>-1.8258807808260766E-2</v>
      </c>
      <c r="R141" s="455">
        <f>'Exogenous tax and expenses'!R140</f>
        <v>7.1898445654710874E-3</v>
      </c>
      <c r="S141" s="455">
        <f>'Exogenous tax and expenses'!S140</f>
        <v>2.6488404432867107E-3</v>
      </c>
      <c r="T141" s="746">
        <f>'Exogenous tax and expenses'!T140</f>
        <v>1.5861055711979122E-4</v>
      </c>
      <c r="U141" s="455">
        <f t="shared" si="5"/>
        <v>1.0384263403111235E-2</v>
      </c>
      <c r="V141" s="746">
        <f>'Exogenous tax and expenses'!V140</f>
        <v>1.5552160056394643E-2</v>
      </c>
      <c r="W141" s="746"/>
      <c r="X141" s="746">
        <f>'Exogenous tax and expenses'!X140</f>
        <v>1.9129375374496074E-3</v>
      </c>
      <c r="Y141" s="455">
        <f>'Exogenous tax and expenses'!Y140</f>
        <v>2.6275501339975628E-3</v>
      </c>
      <c r="Z141" s="455">
        <f>'Exogenous tax and expenses'!Z140</f>
        <v>6.9520391621970623E-3</v>
      </c>
      <c r="AA141" s="1">
        <v>0</v>
      </c>
    </row>
    <row r="142" spans="2:27">
      <c r="B142" s="757"/>
      <c r="C142" s="1">
        <f>'Exogenous tax and expenses'!C141+1</f>
        <v>2039</v>
      </c>
      <c r="D142" s="1"/>
      <c r="E142" s="1"/>
      <c r="F142" s="753">
        <v>-2.9899999999999999E-2</v>
      </c>
      <c r="G142" s="753">
        <v>-5.3400000000000003E-2</v>
      </c>
      <c r="H142" s="759">
        <v>-2.93E-2</v>
      </c>
      <c r="I142" s="759">
        <v>-5.2600000000000001E-2</v>
      </c>
      <c r="J142" s="753">
        <v>-2.2599999999999999E-2</v>
      </c>
      <c r="K142" s="753">
        <v>-4.4699999999999997E-2</v>
      </c>
      <c r="L142" s="455">
        <f>'Exogenous tax and expenses'!F142+SUM('Exogenous tax and expenses'!R142:V142)-SUM('Exogenous tax and expenses'!X142:AA142)</f>
        <v>-5.4588078082607634E-3</v>
      </c>
      <c r="M142" s="455">
        <f>'Exogenous tax and expenses'!G142+SUM('Exogenous tax and expenses'!R142:V142)-SUM('Exogenous tax and expenses'!X142:AA142)</f>
        <v>-2.8958807808260767E-2</v>
      </c>
      <c r="N142" s="455">
        <f>'Exogenous tax and expenses'!H142+SUM('Exogenous tax and expenses'!R142:V142)-SUM('Exogenous tax and expenses'!X142:AA142)</f>
        <v>-4.8588078082607636E-3</v>
      </c>
      <c r="O142" s="455">
        <f>'Exogenous tax and expenses'!I142+SUM('Exogenous tax and expenses'!R142:V142)-SUM('Exogenous tax and expenses'!X142:AA142)</f>
        <v>-2.8158807808260765E-2</v>
      </c>
      <c r="P142" s="455">
        <f>'Exogenous tax and expenses'!J142+SUM('Exogenous tax and expenses'!R142:V142)-SUM('Exogenous tax and expenses'!X142:AA142)</f>
        <v>1.8411921917392375E-3</v>
      </c>
      <c r="Q142" s="455">
        <f>'Exogenous tax and expenses'!K142+SUM('Exogenous tax and expenses'!R142:V142)-SUM('Exogenous tax and expenses'!X142:AA142)</f>
        <v>-2.0258807808260761E-2</v>
      </c>
      <c r="R142" s="455">
        <f>'Exogenous tax and expenses'!R141</f>
        <v>7.1898445654710874E-3</v>
      </c>
      <c r="S142" s="455">
        <f>'Exogenous tax and expenses'!S141</f>
        <v>2.6488404432867107E-3</v>
      </c>
      <c r="T142" s="746">
        <f>'Exogenous tax and expenses'!T141</f>
        <v>1.5861055711979122E-4</v>
      </c>
      <c r="U142" s="455">
        <f t="shared" si="5"/>
        <v>1.0384263403111235E-2</v>
      </c>
      <c r="V142" s="746">
        <f>'Exogenous tax and expenses'!V141</f>
        <v>1.5552160056394643E-2</v>
      </c>
      <c r="W142" s="746"/>
      <c r="X142" s="746">
        <f>'Exogenous tax and expenses'!X141</f>
        <v>1.9129375374496074E-3</v>
      </c>
      <c r="Y142" s="455">
        <f>'Exogenous tax and expenses'!Y141</f>
        <v>2.6275501339975628E-3</v>
      </c>
      <c r="Z142" s="455">
        <f>'Exogenous tax and expenses'!Z141</f>
        <v>6.9520391621970623E-3</v>
      </c>
      <c r="AA142" s="1">
        <v>0</v>
      </c>
    </row>
    <row r="143" spans="2:27">
      <c r="B143" s="757"/>
      <c r="C143" s="1">
        <f>'Exogenous tax and expenses'!C142+1</f>
        <v>2040</v>
      </c>
      <c r="D143" s="1"/>
      <c r="E143" s="1"/>
      <c r="F143" s="753">
        <v>-3.0499999999999999E-2</v>
      </c>
      <c r="G143" s="753">
        <v>-5.5300000000000002E-2</v>
      </c>
      <c r="H143" s="759">
        <v>-2.8899999999999999E-2</v>
      </c>
      <c r="I143" s="759">
        <v>-5.3499999999999999E-2</v>
      </c>
      <c r="J143" s="753">
        <v>-2.3400000000000001E-2</v>
      </c>
      <c r="K143" s="753">
        <v>-4.6899999999999997E-2</v>
      </c>
      <c r="L143" s="455">
        <f>'Exogenous tax and expenses'!F143+SUM('Exogenous tax and expenses'!R143:V143)-SUM('Exogenous tax and expenses'!X143:AA143)</f>
        <v>-6.0588078082607633E-3</v>
      </c>
      <c r="M143" s="455">
        <f>'Exogenous tax and expenses'!G143+SUM('Exogenous tax and expenses'!R143:V143)-SUM('Exogenous tax and expenses'!X143:AA143)</f>
        <v>-3.0858807808260766E-2</v>
      </c>
      <c r="N143" s="455">
        <f>'Exogenous tax and expenses'!H143+SUM('Exogenous tax and expenses'!R143:V143)-SUM('Exogenous tax and expenses'!X143:AA143)</f>
        <v>-4.4588078082607625E-3</v>
      </c>
      <c r="O143" s="455">
        <f>'Exogenous tax and expenses'!I143+SUM('Exogenous tax and expenses'!R143:V143)-SUM('Exogenous tax and expenses'!X143:AA143)</f>
        <v>-2.9058807808260763E-2</v>
      </c>
      <c r="P143" s="455">
        <f>'Exogenous tax and expenses'!J143+SUM('Exogenous tax and expenses'!R143:V143)-SUM('Exogenous tax and expenses'!X143:AA143)</f>
        <v>1.0411921917392354E-3</v>
      </c>
      <c r="Q143" s="455">
        <f>'Exogenous tax and expenses'!K143+SUM('Exogenous tax and expenses'!R143:V143)-SUM('Exogenous tax and expenses'!X143:AA143)</f>
        <v>-2.2458807808260761E-2</v>
      </c>
      <c r="R143" s="455">
        <f>'Exogenous tax and expenses'!R142</f>
        <v>7.1898445654710874E-3</v>
      </c>
      <c r="S143" s="455">
        <f>'Exogenous tax and expenses'!S142</f>
        <v>2.6488404432867107E-3</v>
      </c>
      <c r="T143" s="746">
        <f>'Exogenous tax and expenses'!T142</f>
        <v>1.5861055711979122E-4</v>
      </c>
      <c r="U143" s="455">
        <f t="shared" si="5"/>
        <v>1.0384263403111235E-2</v>
      </c>
      <c r="V143" s="746">
        <f>'Exogenous tax and expenses'!V142</f>
        <v>1.5552160056394643E-2</v>
      </c>
      <c r="W143" s="746"/>
      <c r="X143" s="746">
        <f>'Exogenous tax and expenses'!X142</f>
        <v>1.9129375374496074E-3</v>
      </c>
      <c r="Y143" s="455">
        <f>'Exogenous tax and expenses'!Y142</f>
        <v>2.6275501339975628E-3</v>
      </c>
      <c r="Z143" s="455">
        <f>'Exogenous tax and expenses'!Z142</f>
        <v>6.9520391621970623E-3</v>
      </c>
      <c r="AA143" s="1">
        <v>0</v>
      </c>
    </row>
    <row r="144" spans="2:27">
      <c r="B144" s="1"/>
      <c r="C144" s="1"/>
      <c r="D144" s="1"/>
      <c r="E144" s="1"/>
    </row>
  </sheetData>
  <mergeCells count="12">
    <mergeCell ref="Q3:V3"/>
    <mergeCell ref="Y3:AB3"/>
    <mergeCell ref="AG3:AH3"/>
    <mergeCell ref="I30:N30"/>
    <mergeCell ref="I31:N31"/>
    <mergeCell ref="F115:K115"/>
    <mergeCell ref="L115:Q115"/>
    <mergeCell ref="I32:N42"/>
    <mergeCell ref="D38:D39"/>
    <mergeCell ref="E38:E39"/>
    <mergeCell ref="F59:K59"/>
    <mergeCell ref="L59:Q5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P64"/>
  <sheetViews>
    <sheetView topLeftCell="G40" zoomScale="95" zoomScaleNormal="95" workbookViewId="0">
      <selection activeCell="M7" sqref="M7"/>
    </sheetView>
    <sheetView workbookViewId="1"/>
  </sheetViews>
  <sheetFormatPr baseColWidth="10" defaultColWidth="10.42578125" defaultRowHeight="15"/>
  <cols>
    <col min="4" max="8" width="23.85546875" customWidth="1"/>
    <col min="11" max="13" width="17.85546875" customWidth="1"/>
    <col min="15" max="15" width="15" customWidth="1"/>
  </cols>
  <sheetData>
    <row r="3" spans="3:13" ht="75">
      <c r="C3" s="760"/>
      <c r="D3" s="761" t="s">
        <v>1057</v>
      </c>
      <c r="E3" s="761" t="s">
        <v>1058</v>
      </c>
      <c r="F3" s="761" t="s">
        <v>1059</v>
      </c>
      <c r="G3" s="761" t="s">
        <v>1060</v>
      </c>
      <c r="H3" s="761" t="s">
        <v>1061</v>
      </c>
      <c r="J3" s="762"/>
      <c r="K3" s="762" t="s">
        <v>1062</v>
      </c>
      <c r="L3" s="762" t="s">
        <v>1063</v>
      </c>
      <c r="M3" s="762" t="s">
        <v>1064</v>
      </c>
    </row>
    <row r="4" spans="3:13">
      <c r="C4" s="763">
        <v>1994</v>
      </c>
      <c r="D4" s="764">
        <f>('[1]Beneficiarios de jubilaciones'!O4+'[1]Beneficiarios de jubilaciones'!Q4+'[1]Beneficiarios de jubilaciones'!S4+'[1]Beneficiarios de jubilaciones'!U4)/'[1]Población 1950-2100'!AT80</f>
        <v>0.51491532131269679</v>
      </c>
      <c r="E4" s="764">
        <f>'[1]Contribuyentes ANSES'!D56/'[1]Población 1950-2100'!$AT$82</f>
        <v>0.27806862837525603</v>
      </c>
      <c r="F4" s="765">
        <f>'[1]Contribuyentes ANSES'!C4*1000000/'[1]Beneficiarios de jubilaciones'!V4</f>
        <v>1.1750651181919665</v>
      </c>
      <c r="G4" s="765">
        <f>'[1]Contribuyentes ANSES'!D56/'[1]Beneficiarios de jubilaciones'!V4</f>
        <v>2.5133355202600809</v>
      </c>
      <c r="H4" s="765">
        <f>'[1]Contribuyentes ANSES'!D56/'[1]Beneficiarios de jubilaciones'!V4</f>
        <v>2.5133355202600809</v>
      </c>
      <c r="J4" s="766">
        <v>1994</v>
      </c>
      <c r="K4" s="767">
        <f>(SUM('[1]Beneficiarios de AAFF y AUH'!C4:F4))/'[1]Población 1950-2100'!$AT$81</f>
        <v>0</v>
      </c>
      <c r="L4" s="767"/>
      <c r="M4" s="767">
        <f t="shared" ref="M4:M28" si="0">K4+L4</f>
        <v>0</v>
      </c>
    </row>
    <row r="5" spans="3:13">
      <c r="C5" s="768">
        <f t="shared" ref="C5:C17" si="1">C4+1</f>
        <v>1995</v>
      </c>
      <c r="D5" s="769">
        <f>('[1]Beneficiarios de jubilaciones'!O5+'[1]Beneficiarios de jubilaciones'!Q5+'[1]Beneficiarios de jubilaciones'!S5+'[1]Beneficiarios de jubilaciones'!U5)/'[1]Población 1950-2100'!AU80</f>
        <v>0.51032380122769527</v>
      </c>
      <c r="E5" s="769">
        <f>'[1]Contribuyentes ANSES'!D57/'[1]Población 1950-2100'!$AU$82</f>
        <v>0.25097596485396134</v>
      </c>
      <c r="F5" s="770">
        <f>'[1]Contribuyentes ANSES'!C5*1000000/'[1]Beneficiarios de jubilaciones'!V5</f>
        <v>0.92135953873831933</v>
      </c>
      <c r="G5" s="770">
        <f>'[1]Contribuyentes ANSES'!D57/('[1]Beneficiarios de jubilaciones'!B3+'[1]Beneficiarios de jubilaciones'!V5)</f>
        <v>2.2819542711867364</v>
      </c>
      <c r="H5" s="770">
        <f>'[1]Contribuyentes ANSES'!D57/('[1]Beneficiarios de jubilaciones'!B3+'[1]Beneficiarios de jubilaciones'!V5)</f>
        <v>2.2819542711867364</v>
      </c>
      <c r="J5" s="768">
        <f t="shared" ref="J5:J28" si="2">J4+1</f>
        <v>1995</v>
      </c>
      <c r="K5" s="771">
        <f>(SUM('[1]Beneficiarios de AAFF y AUH'!C5:F5))/'[1]Población 1950-2100'!$AU$81</f>
        <v>5.9132707766009962E-3</v>
      </c>
      <c r="L5" s="771"/>
      <c r="M5" s="771">
        <f t="shared" si="0"/>
        <v>5.9132707766009962E-3</v>
      </c>
    </row>
    <row r="6" spans="3:13">
      <c r="C6" s="763">
        <f t="shared" si="1"/>
        <v>1996</v>
      </c>
      <c r="D6" s="764">
        <f>('[1]Beneficiarios de jubilaciones'!O6+'[1]Beneficiarios de jubilaciones'!Q6+'[1]Beneficiarios de jubilaciones'!S6+'[1]Beneficiarios de jubilaciones'!U6)/'[1]Población 1950-2100'!AV80</f>
        <v>0.51407223739875207</v>
      </c>
      <c r="E6" s="764">
        <f>'[1]Contribuyentes ANSES'!D58/'[1]Población 1950-2100'!$AV$82</f>
        <v>0.25767080127791647</v>
      </c>
      <c r="F6" s="765">
        <f>'[1]Contribuyentes ANSES'!C6*1000000/'[1]Beneficiarios de jubilaciones'!V6</f>
        <v>0.75678206804889758</v>
      </c>
      <c r="G6" s="765">
        <f>'[1]Contribuyentes ANSES'!D58/('[1]Beneficiarios de jubilaciones'!B4+'[1]Beneficiarios de jubilaciones'!V6)</f>
        <v>2.3192105817447146</v>
      </c>
      <c r="H6" s="765">
        <f>'[1]Contribuyentes ANSES'!D58/('[1]Beneficiarios de jubilaciones'!B4+'[1]Beneficiarios de jubilaciones'!V6)</f>
        <v>2.3192105817447146</v>
      </c>
      <c r="J6" s="766">
        <f t="shared" si="2"/>
        <v>1996</v>
      </c>
      <c r="K6" s="767">
        <f>(SUM('[1]Beneficiarios de AAFF y AUH'!C6:F6))/'[1]Población 1950-2100'!$AV$81</f>
        <v>1.3031773828899548E-2</v>
      </c>
      <c r="L6" s="767"/>
      <c r="M6" s="767">
        <f t="shared" si="0"/>
        <v>1.3031773828899548E-2</v>
      </c>
    </row>
    <row r="7" spans="3:13">
      <c r="C7" s="768">
        <f t="shared" si="1"/>
        <v>1997</v>
      </c>
      <c r="D7" s="769">
        <f>('[1]Beneficiarios de jubilaciones'!O7+'[1]Beneficiarios de jubilaciones'!Q7+'[1]Beneficiarios de jubilaciones'!S7+'[1]Beneficiarios de jubilaciones'!U7)/'[1]Población 1950-2100'!AW80</f>
        <v>0.47451007205915097</v>
      </c>
      <c r="E7" s="769">
        <f>'[1]Contribuyentes ANSES'!D59/'[1]Población 1950-2100'!$AW$82</f>
        <v>0.26443170233384755</v>
      </c>
      <c r="F7" s="770">
        <f>'[1]Contribuyentes ANSES'!C7*1000000/'[1]Beneficiarios de jubilaciones'!V7</f>
        <v>0.65507420479030576</v>
      </c>
      <c r="G7" s="770">
        <f>'[1]Contribuyentes ANSES'!D59/('[1]Beneficiarios de jubilaciones'!B5+'[1]Beneficiarios de jubilaciones'!V7)</f>
        <v>2.5692440703533714</v>
      </c>
      <c r="H7" s="770">
        <f>'[1]Contribuyentes ANSES'!D59/('[1]Beneficiarios de jubilaciones'!B5+'[1]Beneficiarios de jubilaciones'!V7)</f>
        <v>2.5692440703533714</v>
      </c>
      <c r="J7" s="768">
        <f t="shared" si="2"/>
        <v>1997</v>
      </c>
      <c r="K7" s="771">
        <f>(SUM('[1]Beneficiarios de AAFF y AUH'!C7:F7))/'[1]Población 1950-2100'!$AW$81</f>
        <v>3.7343572537091974E-2</v>
      </c>
      <c r="L7" s="771"/>
      <c r="M7" s="771">
        <f t="shared" si="0"/>
        <v>3.7343572537091974E-2</v>
      </c>
    </row>
    <row r="8" spans="3:13">
      <c r="C8" s="763">
        <f t="shared" si="1"/>
        <v>1998</v>
      </c>
      <c r="D8" s="764">
        <f>('[1]Beneficiarios de jubilaciones'!O8+'[1]Beneficiarios de jubilaciones'!Q8+'[1]Beneficiarios de jubilaciones'!S8+'[1]Beneficiarios de jubilaciones'!U8)/'[1]Población 1950-2100'!AX80</f>
        <v>0.49159536685171445</v>
      </c>
      <c r="E8" s="764">
        <f>'[1]Contribuyentes ANSES'!D60/'[1]Población 1950-2100'!$AX$82</f>
        <v>0.27886447341483883</v>
      </c>
      <c r="F8" s="765">
        <f>'[1]Contribuyentes ANSES'!C8*1000000/'[1]Beneficiarios de jubilaciones'!V8</f>
        <v>0.57429326931877689</v>
      </c>
      <c r="G8" s="765">
        <f>'[1]Contribuyentes ANSES'!D60/('[1]Beneficiarios de jubilaciones'!B6+'[1]Beneficiarios de jubilaciones'!V8)</f>
        <v>2.6073507890510892</v>
      </c>
      <c r="H8" s="765">
        <f>('[1]Contribuyentes ANSES'!D60-'[1]Contribuyentes ANSES'!F60-'[1]Contribuyentes ANSES'!H60)/('[1]Beneficiarios de jubilaciones'!B6+'[1]Beneficiarios de jubilaciones'!V8)</f>
        <v>2.3604124705806675</v>
      </c>
      <c r="J8" s="766">
        <f t="shared" si="2"/>
        <v>1998</v>
      </c>
      <c r="K8" s="767">
        <f>(SUM('[1]Beneficiarios de AAFF y AUH'!C8:F8))/'[1]Población 1950-2100'!$AX$81</f>
        <v>3.609056886778917E-2</v>
      </c>
      <c r="L8" s="767"/>
      <c r="M8" s="767">
        <f t="shared" si="0"/>
        <v>3.609056886778917E-2</v>
      </c>
    </row>
    <row r="9" spans="3:13">
      <c r="C9" s="768">
        <f t="shared" si="1"/>
        <v>1999</v>
      </c>
      <c r="D9" s="769">
        <f>('[1]Beneficiarios de jubilaciones'!O9+'[1]Beneficiarios de jubilaciones'!Q9+'[1]Beneficiarios de jubilaciones'!S9+'[1]Beneficiarios de jubilaciones'!U9)/'[1]Población 1950-2100'!AY80</f>
        <v>0.47109174141877708</v>
      </c>
      <c r="E9" s="769">
        <f>'[1]Contribuyentes ANSES'!D61/'[1]Población 1950-2100'!$AY$82</f>
        <v>0.27132187579228867</v>
      </c>
      <c r="F9" s="770">
        <f>'[1]Contribuyentes ANSES'!C9*1000000/'[1]Beneficiarios de jubilaciones'!V9</f>
        <v>0.5407029507020229</v>
      </c>
      <c r="G9" s="770">
        <f>'[1]Contribuyentes ANSES'!D61/('[1]Beneficiarios de jubilaciones'!B7+'[1]Beneficiarios de jubilaciones'!V9)</f>
        <v>2.6311649164703534</v>
      </c>
      <c r="H9" s="770">
        <f>('[1]Contribuyentes ANSES'!D61-'[1]Contribuyentes ANSES'!F61-'[1]Contribuyentes ANSES'!H61)/('[1]Beneficiarios de jubilaciones'!B7+'[1]Beneficiarios de jubilaciones'!V9)</f>
        <v>2.3683172739694651</v>
      </c>
      <c r="J9" s="768">
        <f t="shared" si="2"/>
        <v>1999</v>
      </c>
      <c r="K9" s="771">
        <f>(SUM('[1]Beneficiarios de AAFF y AUH'!C9:F9))/'[1]Población 1950-2100'!$AY$81</f>
        <v>3.6491797424597107E-2</v>
      </c>
      <c r="L9" s="771"/>
      <c r="M9" s="771">
        <f t="shared" si="0"/>
        <v>3.6491797424597107E-2</v>
      </c>
    </row>
    <row r="10" spans="3:13">
      <c r="C10" s="763">
        <f t="shared" si="1"/>
        <v>2000</v>
      </c>
      <c r="D10" s="764">
        <f>('[1]Beneficiarios de jubilaciones'!O10+'[1]Beneficiarios de jubilaciones'!Q10+'[1]Beneficiarios de jubilaciones'!S10+'[1]Beneficiarios de jubilaciones'!U10)/'[1]Población 1950-2100'!AZ80</f>
        <v>0.45047200185819247</v>
      </c>
      <c r="E10" s="764">
        <f>'[1]Contribuyentes ANSES'!D62/'[1]Población 1950-2100'!$AZ$82</f>
        <v>0.27644846850988797</v>
      </c>
      <c r="F10" s="765">
        <f>'[1]Contribuyentes ANSES'!C10*1000000/'[1]Beneficiarios de jubilaciones'!V10</f>
        <v>0.50600955927958913</v>
      </c>
      <c r="G10" s="765">
        <f>'[1]Contribuyentes ANSES'!D62/('[1]Beneficiarios de jubilaciones'!B8+'[1]Beneficiarios de jubilaciones'!V10)</f>
        <v>2.7794346376349441</v>
      </c>
      <c r="H10" s="765">
        <f>('[1]Contribuyentes ANSES'!D62-'[1]Contribuyentes ANSES'!F62-'[1]Contribuyentes ANSES'!H62)/('[1]Beneficiarios de jubilaciones'!B8+'[1]Beneficiarios de jubilaciones'!V10)</f>
        <v>2.4243730557237502</v>
      </c>
      <c r="J10" s="766">
        <f t="shared" si="2"/>
        <v>2000</v>
      </c>
      <c r="K10" s="767">
        <f>(SUM('[1]Beneficiarios de AAFF y AUH'!C10:F10))/'[1]Población 1950-2100'!$AZ$81</f>
        <v>4.2482619331599192E-2</v>
      </c>
      <c r="L10" s="767"/>
      <c r="M10" s="767">
        <f t="shared" si="0"/>
        <v>4.2482619331599192E-2</v>
      </c>
    </row>
    <row r="11" spans="3:13">
      <c r="C11" s="768">
        <f t="shared" si="1"/>
        <v>2001</v>
      </c>
      <c r="D11" s="769">
        <f>('[1]Beneficiarios de jubilaciones'!O11+'[1]Beneficiarios de jubilaciones'!Q11+'[1]Beneficiarios de jubilaciones'!S11+'[1]Beneficiarios de jubilaciones'!U11)/'[1]Población 1950-2100'!BA80</f>
        <v>0.43474501353499762</v>
      </c>
      <c r="E11" s="769">
        <f>'[1]Contribuyentes ANSES'!D63/'[1]Población 1950-2100'!$BA$82</f>
        <v>0.24978652032076107</v>
      </c>
      <c r="F11" s="770">
        <f>'[1]Contribuyentes ANSES'!C11*1000000/'[1]Beneficiarios de jubilaciones'!V11</f>
        <v>0.46468521449095024</v>
      </c>
      <c r="G11" s="770">
        <f>'[1]Contribuyentes ANSES'!D63/('[1]Beneficiarios de jubilaciones'!B9+'[1]Beneficiarios de jubilaciones'!V11)</f>
        <v>2.573119506307215</v>
      </c>
      <c r="H11" s="770">
        <f>('[1]Contribuyentes ANSES'!D63-'[1]Contribuyentes ANSES'!F63-'[1]Contribuyentes ANSES'!H63)/('[1]Beneficiarios de jubilaciones'!B9+'[1]Beneficiarios de jubilaciones'!V11)</f>
        <v>2.2582610410586836</v>
      </c>
      <c r="J11" s="768">
        <f t="shared" si="2"/>
        <v>2001</v>
      </c>
      <c r="K11" s="771">
        <f>(SUM('[1]Beneficiarios de AAFF y AUH'!C11:F11))/'[1]Población 1950-2100'!$BA$81</f>
        <v>4.0775323794718071E-2</v>
      </c>
      <c r="L11" s="771"/>
      <c r="M11" s="771">
        <f t="shared" si="0"/>
        <v>4.0775323794718071E-2</v>
      </c>
    </row>
    <row r="12" spans="3:13">
      <c r="C12" s="763">
        <f t="shared" si="1"/>
        <v>2002</v>
      </c>
      <c r="D12" s="764">
        <f>('[1]Beneficiarios de jubilaciones'!O12+'[1]Beneficiarios de jubilaciones'!Q12+'[1]Beneficiarios de jubilaciones'!S12+'[1]Beneficiarios de jubilaciones'!U12)/'[1]Población 1950-2100'!BB80</f>
        <v>0.41872219667567318</v>
      </c>
      <c r="E12" s="764">
        <f>'[1]Contribuyentes ANSES'!D64/'[1]Población 1950-2100'!$BB$82</f>
        <v>0.23356307009601887</v>
      </c>
      <c r="F12" s="765">
        <f>'[1]Contribuyentes ANSES'!C12*1000000/'[1]Beneficiarios de jubilaciones'!V12</f>
        <v>0.42253640151099014</v>
      </c>
      <c r="G12" s="765">
        <f>'[1]Contribuyentes ANSES'!D64/('[1]Beneficiarios de jubilaciones'!B10+'[1]Beneficiarios de jubilaciones'!V12)</f>
        <v>2.4584422454724564</v>
      </c>
      <c r="H12" s="765">
        <f>('[1]Contribuyentes ANSES'!D64-'[1]Contribuyentes ANSES'!F64-'[1]Contribuyentes ANSES'!H64)/('[1]Beneficiarios de jubilaciones'!B10+'[1]Beneficiarios de jubilaciones'!V12)</f>
        <v>2.1789977501827913</v>
      </c>
      <c r="J12" s="766">
        <f t="shared" si="2"/>
        <v>2002</v>
      </c>
      <c r="K12" s="767">
        <f>(SUM('[1]Beneficiarios de AAFF y AUH'!C12:F12))/'[1]Población 1950-2100'!$BB$81</f>
        <v>5.2755095033639621E-2</v>
      </c>
      <c r="L12" s="767"/>
      <c r="M12" s="767">
        <f t="shared" si="0"/>
        <v>5.2755095033639621E-2</v>
      </c>
    </row>
    <row r="13" spans="3:13">
      <c r="C13" s="768">
        <f t="shared" si="1"/>
        <v>2003</v>
      </c>
      <c r="D13" s="769">
        <f>('[1]Beneficiarios de jubilaciones'!O13+'[1]Beneficiarios de jubilaciones'!Q13+'[1]Beneficiarios de jubilaciones'!S13+'[1]Beneficiarios de jubilaciones'!U13)/'[1]Población 1950-2100'!BC80</f>
        <v>0.4056785650667748</v>
      </c>
      <c r="E13" s="769">
        <f>'[1]Contribuyentes ANSES'!D65/'[1]Población 1950-2100'!$BC$82</f>
        <v>0.25128280451086393</v>
      </c>
      <c r="F13" s="770">
        <f>'[1]Contribuyentes ANSES'!C13*1000000/'[1]Beneficiarios de jubilaciones'!V13</f>
        <v>0.48343977065617277</v>
      </c>
      <c r="G13" s="770">
        <f>'[1]Contribuyentes ANSES'!D65/('[1]Beneficiarios de jubilaciones'!B11+'[1]Beneficiarios de jubilaciones'!V13)</f>
        <v>2.6657430015501582</v>
      </c>
      <c r="H13" s="770">
        <f>('[1]Contribuyentes ANSES'!D65-'[1]Contribuyentes ANSES'!F65-'[1]Contribuyentes ANSES'!H65)/('[1]Beneficiarios de jubilaciones'!B11+'[1]Beneficiarios de jubilaciones'!V13)</f>
        <v>2.364907855034716</v>
      </c>
      <c r="J13" s="768">
        <f t="shared" si="2"/>
        <v>2003</v>
      </c>
      <c r="K13" s="771">
        <f>(SUM('[1]Beneficiarios de AAFF y AUH'!C13:F13))/'[1]Población 1950-2100'!$BC$81</f>
        <v>4.4711858462140527E-2</v>
      </c>
      <c r="L13" s="771"/>
      <c r="M13" s="771">
        <f t="shared" si="0"/>
        <v>4.4711858462140527E-2</v>
      </c>
    </row>
    <row r="14" spans="3:13">
      <c r="C14" s="763">
        <f t="shared" si="1"/>
        <v>2004</v>
      </c>
      <c r="D14" s="764">
        <f>('[1]Beneficiarios de jubilaciones'!O14+'[1]Beneficiarios de jubilaciones'!Q14+'[1]Beneficiarios de jubilaciones'!S14+'[1]Beneficiarios de jubilaciones'!U14)/'[1]Población 1950-2100'!BD80</f>
        <v>0.39055201154844388</v>
      </c>
      <c r="E14" s="764">
        <f>'[1]Contribuyentes ANSES'!D66/'[1]Población 1950-2100'!$BD$82</f>
        <v>0.28387390484308778</v>
      </c>
      <c r="F14" s="765">
        <f>'[1]Contribuyentes ANSES'!C14*1000000/'[1]Beneficiarios de jubilaciones'!V14</f>
        <v>0.54958704029792016</v>
      </c>
      <c r="G14" s="765">
        <f>'[1]Contribuyentes ANSES'!D66/('[1]Beneficiarios de jubilaciones'!B12+'[1]Beneficiarios de jubilaciones'!V14)</f>
        <v>3.0585278145274359</v>
      </c>
      <c r="H14" s="765">
        <f>('[1]Contribuyentes ANSES'!D66-'[1]Contribuyentes ANSES'!F66-'[1]Contribuyentes ANSES'!H66)/('[1]Beneficiarios de jubilaciones'!B12+'[1]Beneficiarios de jubilaciones'!V14)</f>
        <v>2.6245903518506561</v>
      </c>
      <c r="J14" s="766">
        <f t="shared" si="2"/>
        <v>2004</v>
      </c>
      <c r="K14" s="767">
        <f>(SUM('[1]Beneficiarios de AAFF y AUH'!C14:F14))/'[1]Población 1950-2100'!$BD$81</f>
        <v>5.705319319561987E-2</v>
      </c>
      <c r="L14" s="767"/>
      <c r="M14" s="767">
        <f t="shared" si="0"/>
        <v>5.705319319561987E-2</v>
      </c>
    </row>
    <row r="15" spans="3:13">
      <c r="C15" s="768">
        <f t="shared" si="1"/>
        <v>2005</v>
      </c>
      <c r="D15" s="769">
        <f>('[1]Beneficiarios de jubilaciones'!O15+'[1]Beneficiarios de jubilaciones'!Q15+'[1]Beneficiarios de jubilaciones'!S15+'[1]Beneficiarios de jubilaciones'!U15)/'[1]Población 1950-2100'!BE80</f>
        <v>0.37950052827156011</v>
      </c>
      <c r="E15" s="769">
        <f>'[1]Contribuyentes ANSES'!D67/'[1]Población 1950-2100'!$BE$82</f>
        <v>0.31000491094547267</v>
      </c>
      <c r="F15" s="770">
        <f>'[1]Contribuyentes ANSES'!C15*1000000/'[1]Beneficiarios de jubilaciones'!V15</f>
        <v>0.66803502507636481</v>
      </c>
      <c r="G15" s="770">
        <f>'[1]Contribuyentes ANSES'!D67/('[1]Beneficiarios de jubilaciones'!B13+'[1]Beneficiarios de jubilaciones'!V15)</f>
        <v>3.3593135745572651</v>
      </c>
      <c r="H15" s="770">
        <f>('[1]Contribuyentes ANSES'!D67-'[1]Contribuyentes ANSES'!F67-'[1]Contribuyentes ANSES'!H67)/('[1]Beneficiarios de jubilaciones'!B13+'[1]Beneficiarios de jubilaciones'!V15)</f>
        <v>2.8528913101776898</v>
      </c>
      <c r="J15" s="768">
        <f t="shared" si="2"/>
        <v>2005</v>
      </c>
      <c r="K15" s="771">
        <f>(SUM('[1]Beneficiarios de AAFF y AUH'!C15:F15))/'[1]Población 1950-2100'!$BE$81</f>
        <v>9.3323717114691104E-2</v>
      </c>
      <c r="L15" s="771"/>
      <c r="M15" s="771">
        <f t="shared" si="0"/>
        <v>9.3323717114691104E-2</v>
      </c>
    </row>
    <row r="16" spans="3:13">
      <c r="C16" s="763">
        <f t="shared" si="1"/>
        <v>2006</v>
      </c>
      <c r="D16" s="764">
        <f>('[1]Beneficiarios de jubilaciones'!O16+'[1]Beneficiarios de jubilaciones'!Q16+'[1]Beneficiarios de jubilaciones'!S16+'[1]Beneficiarios de jubilaciones'!U16)/'[1]Población 1950-2100'!BF80</f>
        <v>0.40993227281865285</v>
      </c>
      <c r="E16" s="764">
        <f>'[1]Contribuyentes ANSES'!D68/'[1]Población 1950-2100'!$BF$82</f>
        <v>0.3356360173188121</v>
      </c>
      <c r="F16" s="765">
        <f>'[1]Contribuyentes ANSES'!C16*1000000/'[1]Beneficiarios de jubilaciones'!V16</f>
        <v>0.70976818464112346</v>
      </c>
      <c r="G16" s="765">
        <f>'[1]Contribuyentes ANSES'!D68/('[1]Beneficiarios de jubilaciones'!B14+'[1]Beneficiarios de jubilaciones'!V16)</f>
        <v>3.3080192843198373</v>
      </c>
      <c r="H16" s="765">
        <f>('[1]Contribuyentes ANSES'!D68-'[1]Contribuyentes ANSES'!F68-'[1]Contribuyentes ANSES'!H68)/('[1]Beneficiarios de jubilaciones'!B14+'[1]Beneficiarios de jubilaciones'!V16)</f>
        <v>2.7441877667825407</v>
      </c>
      <c r="J16" s="766">
        <f t="shared" si="2"/>
        <v>2006</v>
      </c>
      <c r="K16" s="767">
        <f>(SUM('[1]Beneficiarios de AAFF y AUH'!C16:F16))/'[1]Población 1950-2100'!$BF$81</f>
        <v>0.12701205890710263</v>
      </c>
      <c r="L16" s="767"/>
      <c r="M16" s="767">
        <f t="shared" si="0"/>
        <v>0.12701205890710263</v>
      </c>
    </row>
    <row r="17" spans="2:16">
      <c r="C17" s="768">
        <f t="shared" si="1"/>
        <v>2007</v>
      </c>
      <c r="D17" s="769">
        <f>('[1]Beneficiarios de jubilaciones'!O17+'[1]Beneficiarios de jubilaciones'!Q17+'[1]Beneficiarios de jubilaciones'!S17+'[1]Beneficiarios de jubilaciones'!U17)/'[1]Población 1950-2100'!BG80</f>
        <v>0.6325495440994201</v>
      </c>
      <c r="E17" s="769">
        <f>'[1]Contribuyentes ANSES'!D69/'[1]Población 1950-2100'!$BG$82</f>
        <v>0.35655015322888112</v>
      </c>
      <c r="F17" s="770">
        <f>'[1]Contribuyentes ANSES'!C17*1000000/'[1]Beneficiarios de jubilaciones'!V17</f>
        <v>0.71085767239994924</v>
      </c>
      <c r="G17" s="770">
        <f>'[1]Contribuyentes ANSES'!D69/('[1]Beneficiarios de jubilaciones'!B15+'[1]Beneficiarios de jubilaciones'!V17)</f>
        <v>2.2941639115381283</v>
      </c>
      <c r="H17" s="770">
        <f>('[1]Contribuyentes ANSES'!D69-'[1]Contribuyentes ANSES'!F69-'[1]Contribuyentes ANSES'!H69)/('[1]Beneficiarios de jubilaciones'!B15+'[1]Beneficiarios de jubilaciones'!V17)</f>
        <v>1.8948836416264281</v>
      </c>
      <c r="J17" s="768">
        <f t="shared" si="2"/>
        <v>2007</v>
      </c>
      <c r="K17" s="771">
        <f>(SUM('[1]Beneficiarios de AAFF y AUH'!C17:F17))/'[1]Población 1950-2100'!$BG$81</f>
        <v>0.15402780144904724</v>
      </c>
      <c r="L17" s="771"/>
      <c r="M17" s="771">
        <f t="shared" si="0"/>
        <v>0.15402780144904724</v>
      </c>
    </row>
    <row r="18" spans="2:16">
      <c r="C18" s="763" t="s">
        <v>1065</v>
      </c>
      <c r="D18" s="764"/>
      <c r="E18" s="764"/>
      <c r="F18" s="765">
        <f>'[1]Contribuyentes ANSES'!C18*1000000/'[1]Beneficiarios de jubilaciones'!V18</f>
        <v>0.96887848326062942</v>
      </c>
      <c r="G18" s="765">
        <f>'[1]Contribuyentes ANSES'!D70/('[1]Beneficiarios de jubilaciones'!B16+'[1]Beneficiarios de jubilaciones'!V18)</f>
        <v>2.1258039899148811</v>
      </c>
      <c r="H18" s="765">
        <f>('[1]Contribuyentes ANSES'!D70-'[1]Contribuyentes ANSES'!F70-'[1]Contribuyentes ANSES'!H70)/('[1]Beneficiarios de jubilaciones'!B16+'[1]Beneficiarios de jubilaciones'!V18)</f>
        <v>1.7306439683389385</v>
      </c>
      <c r="J18" s="766">
        <f t="shared" si="2"/>
        <v>2008</v>
      </c>
      <c r="K18" s="767">
        <f>(SUM('[1]Beneficiarios de AAFF y AUH'!C18:F18))/'[1]Población 1950-2100'!$BH$81</f>
        <v>0.18408596602722191</v>
      </c>
      <c r="L18" s="767"/>
      <c r="M18" s="767">
        <f t="shared" si="0"/>
        <v>0.18408596602722191</v>
      </c>
    </row>
    <row r="19" spans="2:16">
      <c r="C19" s="768" t="s">
        <v>1066</v>
      </c>
      <c r="D19" s="769">
        <f>('[1]Beneficiarios de jubilaciones'!O18+'[1]Beneficiarios de jubilaciones'!Q18+'[1]Beneficiarios de jubilaciones'!S18+'[1]Beneficiarios de jubilaciones'!U18)/'[1]Población 1950-2100'!BH80</f>
        <v>0.70506061476915582</v>
      </c>
      <c r="E19" s="769">
        <f>'[1]Contribuyentes ANSES'!D70/'[1]Población 1950-2100'!$BH$82</f>
        <v>0.36646876300723835</v>
      </c>
      <c r="F19" s="770">
        <f>G19</f>
        <v>2.37190742537071</v>
      </c>
      <c r="G19" s="770">
        <f>'[1]Contribuyentes ANSES'!D70/('[1]Beneficiarios de jubilaciones'!B17+'[1]Beneficiarios de jubilaciones'!V18)</f>
        <v>2.37190742537071</v>
      </c>
      <c r="H19" s="770">
        <f>('[1]Contribuyentes ANSES'!D70-'[1]Contribuyentes ANSES'!F70-'[1]Contribuyentes ANSES'!H70)/('[1]Beneficiarios de jubilaciones'!B17+'[1]Beneficiarios de jubilaciones'!V18)</f>
        <v>1.9309998939932953</v>
      </c>
      <c r="J19" s="768">
        <f t="shared" si="2"/>
        <v>2009</v>
      </c>
      <c r="K19" s="771">
        <f>(SUM('[1]Beneficiarios de AAFF y AUH'!C19:F19))/'[1]Población 1950-2100'!$BI$81</f>
        <v>0.24231054564797364</v>
      </c>
      <c r="L19" s="771">
        <f>(SUM('[1]Beneficiarios de AAFF y AUH'!G19:H19))/'[1]Población 1950-2100'!$BI$81</f>
        <v>0.265905834578891</v>
      </c>
      <c r="M19" s="771">
        <f t="shared" si="0"/>
        <v>0.50821638022686466</v>
      </c>
    </row>
    <row r="20" spans="2:16">
      <c r="C20" s="763">
        <v>2009</v>
      </c>
      <c r="D20" s="764">
        <f>('[1]Beneficiarios de jubilaciones'!O19+'[1]Beneficiarios de jubilaciones'!Q19+'[1]Beneficiarios de jubilaciones'!S19+'[1]Beneficiarios de jubilaciones'!U19)/'[1]Población 1950-2100'!BI80</f>
        <v>0.78661058918485127</v>
      </c>
      <c r="E20" s="764">
        <f>'[1]Contribuyentes ANSES'!D71/'[1]Población 1950-2100'!$BI$82</f>
        <v>0.36903840566531038</v>
      </c>
      <c r="F20" s="765"/>
      <c r="G20" s="765">
        <f>'[1]Contribuyentes ANSES'!D71/(+'[1]Beneficiarios de jubilaciones'!V19)</f>
        <v>2.0948399607763335</v>
      </c>
      <c r="H20" s="765">
        <f>('[1]Contribuyentes ANSES'!D71-'[1]Contribuyentes ANSES'!F71-'[1]Contribuyentes ANSES'!H71)/('[1]Beneficiarios de jubilaciones'!V19)</f>
        <v>1.6878783045622725</v>
      </c>
      <c r="J20" s="766">
        <f t="shared" si="2"/>
        <v>2010</v>
      </c>
      <c r="K20" s="767">
        <f>(SUM('[1]Beneficiarios de AAFF y AUH'!C20:F20))/'[1]Población 1950-2100'!$BJ$81</f>
        <v>0.2599204160158885</v>
      </c>
      <c r="L20" s="767">
        <f>(SUM('[1]Beneficiarios de AAFF y AUH'!G20:H20))/'[1]Población 1950-2100'!$BJ$81</f>
        <v>0.27491758019364371</v>
      </c>
      <c r="M20" s="767">
        <f t="shared" si="0"/>
        <v>0.53483799620953221</v>
      </c>
    </row>
    <row r="21" spans="2:16">
      <c r="C21" s="768">
        <f t="shared" ref="C21:C29" si="3">C20+1</f>
        <v>2010</v>
      </c>
      <c r="D21" s="769">
        <f>('[1]Beneficiarios de jubilaciones'!O20+'[1]Beneficiarios de jubilaciones'!Q20+'[1]Beneficiarios de jubilaciones'!S20+'[1]Beneficiarios de jubilaciones'!U20)/'[1]Población 1950-2100'!BJ80</f>
        <v>0.80138193135938007</v>
      </c>
      <c r="E21" s="769">
        <f>'[1]Contribuyentes ANSES'!D72/'[1]Población 1950-2100'!$BJ$82</f>
        <v>0.38023768482231218</v>
      </c>
      <c r="F21" s="770"/>
      <c r="G21" s="770">
        <f>'[1]Contribuyentes ANSES'!D72/(+'[1]Beneficiarios de jubilaciones'!V20)</f>
        <v>2.097289004786087</v>
      </c>
      <c r="H21" s="770">
        <f>('[1]Contribuyentes ANSES'!D72-'[1]Contribuyentes ANSES'!F72-'[1]Contribuyentes ANSES'!H72)/('[1]Beneficiarios de jubilaciones'!V20)</f>
        <v>1.6841118627380642</v>
      </c>
      <c r="J21" s="768">
        <f t="shared" si="2"/>
        <v>2011</v>
      </c>
      <c r="K21" s="771">
        <f>(SUM('[1]Beneficiarios de AAFF y AUH'!C21:F21))/'[1]Población 1950-2100'!$BK$81</f>
        <v>0.28353316403093731</v>
      </c>
      <c r="L21" s="771">
        <f>(SUM('[1]Beneficiarios de AAFF y AUH'!G21:H21))/'[1]Población 1950-2100'!$BK$81</f>
        <v>0.27743240319584522</v>
      </c>
      <c r="M21" s="771">
        <f t="shared" si="0"/>
        <v>0.56096556722678259</v>
      </c>
    </row>
    <row r="22" spans="2:16">
      <c r="C22" s="763">
        <f t="shared" si="3"/>
        <v>2011</v>
      </c>
      <c r="D22" s="764">
        <f>('[1]Beneficiarios de jubilaciones'!O21+'[1]Beneficiarios de jubilaciones'!Q21+'[1]Beneficiarios de jubilaciones'!S21+'[1]Beneficiarios de jubilaciones'!U21)/'[1]Población 1950-2100'!BK80</f>
        <v>0.79936583805189809</v>
      </c>
      <c r="E22" s="764">
        <f>'[1]Contribuyentes ANSES'!D73/'[1]Población 1950-2100'!$BK$82</f>
        <v>0.39150767662946001</v>
      </c>
      <c r="F22" s="765"/>
      <c r="G22" s="765">
        <f>'[1]Contribuyentes ANSES'!D73/(+'[1]Beneficiarios de jubilaciones'!V21)</f>
        <v>2.1563145539741595</v>
      </c>
      <c r="H22" s="765">
        <f>('[1]Contribuyentes ANSES'!D73-'[1]Contribuyentes ANSES'!F73-'[1]Contribuyentes ANSES'!H73)/('[1]Beneficiarios de jubilaciones'!V21)</f>
        <v>1.7235532376179594</v>
      </c>
      <c r="J22" s="766">
        <f t="shared" si="2"/>
        <v>2012</v>
      </c>
      <c r="K22" s="767">
        <f>(SUM('[1]Beneficiarios de AAFF y AUH'!C22:F22))/'[1]Población 1950-2100'!$BL$81</f>
        <v>0.2563035616189463</v>
      </c>
      <c r="L22" s="767">
        <f>(SUM('[1]Beneficiarios de AAFF y AUH'!G22:H22))/'[1]Población 1950-2100'!$BL$81</f>
        <v>0.26541984060735785</v>
      </c>
      <c r="M22" s="767">
        <f t="shared" si="0"/>
        <v>0.5217234022263042</v>
      </c>
    </row>
    <row r="23" spans="2:16">
      <c r="C23" s="768">
        <f t="shared" si="3"/>
        <v>2012</v>
      </c>
      <c r="D23" s="769">
        <f>('[1]Beneficiarios de jubilaciones'!O22+'[1]Beneficiarios de jubilaciones'!Q22+'[1]Beneficiarios de jubilaciones'!S22+'[1]Beneficiarios de jubilaciones'!U22)/'[1]Población 1950-2100'!BL80</f>
        <v>0.78797967308356609</v>
      </c>
      <c r="E23" s="769">
        <f>'[1]Contribuyentes ANSES'!D74/'[1]Población 1950-2100'!$BL$82</f>
        <v>0.39199446132309324</v>
      </c>
      <c r="F23" s="770"/>
      <c r="G23" s="770">
        <f>'[1]Contribuyentes ANSES'!D74/(+'[1]Beneficiarios de jubilaciones'!V22)</f>
        <v>2.1706679950858976</v>
      </c>
      <c r="H23" s="770">
        <f>('[1]Contribuyentes ANSES'!D74-'[1]Contribuyentes ANSES'!F74-'[1]Contribuyentes ANSES'!H74)/('[1]Beneficiarios de jubilaciones'!V22)</f>
        <v>1.7198823355530426</v>
      </c>
      <c r="J23" s="768">
        <f t="shared" si="2"/>
        <v>2013</v>
      </c>
      <c r="K23" s="771">
        <f>(SUM('[1]Beneficiarios de AAFF y AUH'!C23:F23))/'[1]Población 1950-2100'!$BM$81</f>
        <v>0.2982804268896741</v>
      </c>
      <c r="L23" s="771">
        <f>(SUM('[1]Beneficiarios de AAFF y AUH'!G23:H23))/'[1]Población 1950-2100'!$BM$81</f>
        <v>0.26031641384661869</v>
      </c>
      <c r="M23" s="771">
        <f t="shared" si="0"/>
        <v>0.55859684073629279</v>
      </c>
    </row>
    <row r="24" spans="2:16">
      <c r="C24" s="763">
        <f t="shared" si="3"/>
        <v>2013</v>
      </c>
      <c r="D24" s="764">
        <f>('[1]Beneficiarios de jubilaciones'!O23+'[1]Beneficiarios de jubilaciones'!Q23+'[1]Beneficiarios de jubilaciones'!S23+'[1]Beneficiarios de jubilaciones'!U23)/'[1]Población 1950-2100'!BM80</f>
        <v>0.77772493853427693</v>
      </c>
      <c r="E24" s="764">
        <f>'[1]Contribuyentes ANSES'!D75/'[1]Población 1950-2100'!$BM$82</f>
        <v>0.40176490464965109</v>
      </c>
      <c r="F24" s="765"/>
      <c r="G24" s="765">
        <f>'[1]Contribuyentes ANSES'!D75/(+'[1]Beneficiarios de jubilaciones'!V23)</f>
        <v>2.2370582487492294</v>
      </c>
      <c r="H24" s="765">
        <f>('[1]Contribuyentes ANSES'!D75-'[1]Contribuyentes ANSES'!F75-'[1]Contribuyentes ANSES'!H75)/('[1]Beneficiarios de jubilaciones'!V23)</f>
        <v>1.7286344616593183</v>
      </c>
      <c r="J24" s="766">
        <f t="shared" si="2"/>
        <v>2014</v>
      </c>
      <c r="K24" s="767">
        <f>(SUM('[1]Beneficiarios de AAFF y AUH'!C24:F24))/'[1]Población 1950-2100'!$BN$81</f>
        <v>0.32756951643436383</v>
      </c>
      <c r="L24" s="767">
        <f>(SUM('[1]Beneficiarios de AAFF y AUH'!G24:H24))/'[1]Población 1950-2100'!$BN$81</f>
        <v>0.265648822789121</v>
      </c>
      <c r="M24" s="767">
        <f t="shared" si="0"/>
        <v>0.59321833922348488</v>
      </c>
    </row>
    <row r="25" spans="2:16">
      <c r="C25" s="768">
        <f t="shared" si="3"/>
        <v>2014</v>
      </c>
      <c r="D25" s="769">
        <f>('[1]Beneficiarios de jubilaciones'!O24+'[1]Beneficiarios de jubilaciones'!Q24+'[1]Beneficiarios de jubilaciones'!S24+'[1]Beneficiarios de jubilaciones'!U24)/'[1]Población 1950-2100'!BN80</f>
        <v>0.76877332040919277</v>
      </c>
      <c r="E25" s="769">
        <f>'[1]Contribuyentes ANSES'!D76/'[1]Población 1950-2100'!$BN$82</f>
        <v>0.39810216289211542</v>
      </c>
      <c r="F25" s="770"/>
      <c r="G25" s="770">
        <f>'[1]Contribuyentes ANSES'!D76/(+'[1]Beneficiarios de jubilaciones'!V24)</f>
        <v>2.2241405993989787</v>
      </c>
      <c r="H25" s="770">
        <f>('[1]Contribuyentes ANSES'!D76-'[1]Contribuyentes ANSES'!F76-'[1]Contribuyentes ANSES'!H76)/('[1]Beneficiarios de jubilaciones'!V24)</f>
        <v>1.7194033971711544</v>
      </c>
      <c r="J25" s="768">
        <f t="shared" si="2"/>
        <v>2015</v>
      </c>
      <c r="K25" s="771">
        <f>(SUM('[1]Beneficiarios de AAFF y AUH'!C25:F25))/'[1]Población 1950-2100'!$BO$81</f>
        <v>0.29526736977493701</v>
      </c>
      <c r="L25" s="771">
        <f>(SUM('[1]Beneficiarios de AAFF y AUH'!G25:H25))/'[1]Población 1950-2100'!$BO$81</f>
        <v>0.27559584541219723</v>
      </c>
      <c r="M25" s="771">
        <f t="shared" si="0"/>
        <v>0.57086321518713423</v>
      </c>
    </row>
    <row r="26" spans="2:16">
      <c r="C26" s="763">
        <f t="shared" si="3"/>
        <v>2015</v>
      </c>
      <c r="D26" s="764">
        <f>('[1]Beneficiarios de jubilaciones'!O25+'[1]Beneficiarios de jubilaciones'!Q25+'[1]Beneficiarios de jubilaciones'!S25+'[1]Beneficiarios de jubilaciones'!U25)/'[1]Población 1950-2100'!BO80</f>
        <v>0.8331996460776615</v>
      </c>
      <c r="E26" s="764">
        <f>'[1]Contribuyentes ANSES'!D77/'[1]Población 1950-2100'!$BO$82</f>
        <v>0.39957605553681552</v>
      </c>
      <c r="F26" s="765"/>
      <c r="G26" s="765">
        <f>'[1]Contribuyentes ANSES'!D77/(+'[1]Beneficiarios de jubilaciones'!V25)</f>
        <v>2.0422647957059277</v>
      </c>
      <c r="H26" s="765">
        <f>('[1]Contribuyentes ANSES'!D77-'[1]Contribuyentes ANSES'!F77-'[1]Contribuyentes ANSES'!H77)/('[1]Beneficiarios de jubilaciones'!V25)</f>
        <v>1.5771969680528639</v>
      </c>
      <c r="J26" s="766">
        <f t="shared" si="2"/>
        <v>2016</v>
      </c>
      <c r="K26" s="767">
        <f>(SUM('[1]Beneficiarios de AAFF y AUH'!C26:F26))/'[1]Población 1950-2100'!$BP$81</f>
        <v>0.34754421200772179</v>
      </c>
      <c r="L26" s="767">
        <f>(SUM('[1]Beneficiarios de AAFF y AUH'!G26:H26))/'[1]Población 1950-2100'!$BP$81</f>
        <v>0.29809686416947373</v>
      </c>
      <c r="M26" s="767">
        <f t="shared" si="0"/>
        <v>0.64564107617719557</v>
      </c>
    </row>
    <row r="27" spans="2:16">
      <c r="C27" s="768">
        <f t="shared" si="3"/>
        <v>2016</v>
      </c>
      <c r="D27" s="769">
        <f>('[1]Beneficiarios de jubilaciones'!O26+'[1]Beneficiarios de jubilaciones'!Q26+'[1]Beneficiarios de jubilaciones'!S26+'[1]Beneficiarios de jubilaciones'!U26)/'[1]Población 1950-2100'!BP80</f>
        <v>0.86310330831481741</v>
      </c>
      <c r="E27" s="769">
        <f>'[1]Contribuyentes ANSES'!D78/'[1]Población 1950-2100'!$BP$82</f>
        <v>0.39821361009298484</v>
      </c>
      <c r="F27" s="770"/>
      <c r="G27" s="770">
        <f>'[1]Contribuyentes ANSES'!D78/(+'[1]Beneficiarios de jubilaciones'!V26)</f>
        <v>1.9427001869376144</v>
      </c>
      <c r="H27" s="770">
        <f>('[1]Contribuyentes ANSES'!D78-'[1]Contribuyentes ANSES'!F78-'[1]Contribuyentes ANSES'!H78)/('[1]Beneficiarios de jubilaciones'!V26)</f>
        <v>1.4853658159534318</v>
      </c>
      <c r="J27" s="768">
        <f t="shared" si="2"/>
        <v>2017</v>
      </c>
      <c r="K27" s="771">
        <f>(SUM('[1]Beneficiarios de AAFF y AUH'!C27:F27))/'[1]Población 1950-2100'!$BQ$81</f>
        <v>0.37774033997675532</v>
      </c>
      <c r="L27" s="771">
        <f>(SUM('[1]Beneficiarios de AAFF y AUH'!G27:H27))/'[1]Población 1950-2100'!$BQ$81</f>
        <v>0.29930350075142381</v>
      </c>
      <c r="M27" s="771">
        <f t="shared" si="0"/>
        <v>0.67704384072817914</v>
      </c>
    </row>
    <row r="28" spans="2:16">
      <c r="C28" s="763">
        <f t="shared" si="3"/>
        <v>2017</v>
      </c>
      <c r="D28" s="764">
        <f>('[1]Beneficiarios de jubilaciones'!O27+'[1]Beneficiarios de jubilaciones'!Q27+'[1]Beneficiarios de jubilaciones'!S27+'[1]Beneficiarios de jubilaciones'!U27)/'[1]Población 1950-2100'!BQ80</f>
        <v>0.87001767187119383</v>
      </c>
      <c r="E28" s="764">
        <f>'[1]Contribuyentes ANSES'!D79/'[1]Población 1950-2100'!$BQ$82</f>
        <v>0.4006719722349335</v>
      </c>
      <c r="F28" s="765"/>
      <c r="G28" s="765">
        <f>'[1]Contribuyentes ANSES'!D79/(+'[1]Beneficiarios de jubilaciones'!V27)</f>
        <v>1.9225250325282572</v>
      </c>
      <c r="H28" s="765">
        <f>('[1]Contribuyentes ANSES'!D79-'[1]Contribuyentes ANSES'!F79-'[1]Contribuyentes ANSES'!H79)/('[1]Beneficiarios de jubilaciones'!V27)</f>
        <v>1.4586799977678135</v>
      </c>
      <c r="J28" s="766">
        <f t="shared" si="2"/>
        <v>2018</v>
      </c>
      <c r="K28" s="767">
        <f>(SUM('[1]Beneficiarios de AAFF y AUH'!C28:F28))/'[1]Población 1950-2100'!$BR$81</f>
        <v>0.38653020837011354</v>
      </c>
      <c r="L28" s="767">
        <f>(SUM('[1]Beneficiarios de AAFF y AUH'!G28:H28))/'[1]Población 1950-2100'!$BR$81</f>
        <v>0.30119300212248246</v>
      </c>
      <c r="M28" s="767">
        <f t="shared" si="0"/>
        <v>0.68772321049259599</v>
      </c>
    </row>
    <row r="29" spans="2:16">
      <c r="C29" s="768">
        <f t="shared" si="3"/>
        <v>2018</v>
      </c>
      <c r="D29" s="769">
        <f>('[1]Beneficiarios de jubilaciones'!O28+'[1]Beneficiarios de jubilaciones'!Q28+'[1]Beneficiarios de jubilaciones'!S28+'[1]Beneficiarios de jubilaciones'!U28)/'[1]Población 1950-2100'!BR80</f>
        <v>0.86807346283748399</v>
      </c>
      <c r="E29" s="769">
        <f>AVERAGE('[1]Contribuyentes ANSES'!D80:D85)/'[1]Población 1950-2100'!$BR$82</f>
        <v>0.39116544460163744</v>
      </c>
      <c r="F29" s="770"/>
      <c r="G29" s="770">
        <f>'[1]Contribuyentes ANSES'!D80/(+'[1]Beneficiarios de jubilaciones'!V28)</f>
        <v>1.9060573598553934</v>
      </c>
      <c r="H29" s="770">
        <f>('[1]Contribuyentes ANSES'!D80-'[1]Contribuyentes ANSES'!F80-'[1]Contribuyentes ANSES'!H80)/('[1]Beneficiarios de jubilaciones'!V28)</f>
        <v>1.4467303209814808</v>
      </c>
      <c r="J29" t="s">
        <v>1067</v>
      </c>
    </row>
    <row r="30" spans="2:16">
      <c r="B30" t="s">
        <v>1068</v>
      </c>
      <c r="D30" t="s">
        <v>1069</v>
      </c>
      <c r="E30" s="772" t="s">
        <v>1070</v>
      </c>
      <c r="F30" t="s">
        <v>1071</v>
      </c>
      <c r="G30" t="s">
        <v>1072</v>
      </c>
      <c r="H30" t="s">
        <v>1073</v>
      </c>
    </row>
    <row r="31" spans="2:16" ht="30">
      <c r="J31" s="773"/>
      <c r="K31" s="774" t="str">
        <f>'[1]Contribuyentes ANSES'!D55</f>
        <v>Total de aportantes(1)</v>
      </c>
      <c r="L31" s="775" t="str">
        <f>'[1]Contribuyentes ANSES'!E55</f>
        <v>Relación de
dependencia</v>
      </c>
      <c r="M31" s="775" t="str">
        <f>'[1]Contribuyentes ANSES'!F55</f>
        <v>Casas Particulares</v>
      </c>
      <c r="N31" s="775" t="str">
        <f>'[1]Contribuyentes ANSES'!G55</f>
        <v>Autónomos</v>
      </c>
      <c r="O31" s="775" t="str">
        <f>'[1]Contribuyentes ANSES'!H55</f>
        <v>Monotributo(2)</v>
      </c>
      <c r="P31" s="775" t="s">
        <v>1074</v>
      </c>
    </row>
    <row r="32" spans="2:16">
      <c r="J32" s="776">
        <v>1994</v>
      </c>
      <c r="K32" s="777">
        <f>'[1]Contribuyentes ANSES'!D56</f>
        <v>5133337</v>
      </c>
      <c r="L32" s="777">
        <f>'[1]Contribuyentes ANSES'!E56</f>
        <v>3700589</v>
      </c>
      <c r="M32" s="777">
        <f>'[1]Contribuyentes ANSES'!F56</f>
        <v>0</v>
      </c>
      <c r="N32" s="777">
        <f>'[1]Contribuyentes ANSES'!G56</f>
        <v>1530834</v>
      </c>
      <c r="O32" s="777">
        <f>'[1]Contribuyentes ANSES'!H56</f>
        <v>0</v>
      </c>
      <c r="P32" s="776">
        <f>'[1]Contribuyentes ANSES'!D4*1000000</f>
        <v>2600000</v>
      </c>
    </row>
    <row r="33" spans="10:16">
      <c r="J33" s="768">
        <f t="shared" ref="J33:J55" si="4">J32+1</f>
        <v>1995</v>
      </c>
      <c r="K33" s="778">
        <f>'[1]Contribuyentes ANSES'!D57</f>
        <v>4706946</v>
      </c>
      <c r="L33" s="778">
        <f>'[1]Contribuyentes ANSES'!E57</f>
        <v>3481583</v>
      </c>
      <c r="M33" s="778">
        <f>'[1]Contribuyentes ANSES'!F57</f>
        <v>0</v>
      </c>
      <c r="N33" s="778">
        <f>'[1]Contribuyentes ANSES'!G57</f>
        <v>1313960</v>
      </c>
      <c r="O33" s="778">
        <f>'[1]Contribuyentes ANSES'!H57</f>
        <v>0</v>
      </c>
      <c r="P33" s="768">
        <f>'[1]Contribuyentes ANSES'!D5*1000000</f>
        <v>2900000</v>
      </c>
    </row>
    <row r="34" spans="10:16">
      <c r="J34" s="776">
        <f t="shared" si="4"/>
        <v>1996</v>
      </c>
      <c r="K34" s="777">
        <f>'[1]Contribuyentes ANSES'!D58</f>
        <v>4910831</v>
      </c>
      <c r="L34" s="777">
        <f>'[1]Contribuyentes ANSES'!E58</f>
        <v>3929008</v>
      </c>
      <c r="M34" s="777">
        <f>'[1]Contribuyentes ANSES'!F58</f>
        <v>0</v>
      </c>
      <c r="N34" s="777">
        <f>'[1]Contribuyentes ANSES'!G58</f>
        <v>1061710</v>
      </c>
      <c r="O34" s="777">
        <f>'[1]Contribuyentes ANSES'!H58</f>
        <v>0</v>
      </c>
      <c r="P34" s="776">
        <f>'[1]Contribuyentes ANSES'!D6*1000000</f>
        <v>3500000</v>
      </c>
    </row>
    <row r="35" spans="10:16">
      <c r="J35" s="768">
        <f t="shared" si="4"/>
        <v>1997</v>
      </c>
      <c r="K35" s="778">
        <f>'[1]Contribuyentes ANSES'!D59</f>
        <v>5123196</v>
      </c>
      <c r="L35" s="778">
        <f>'[1]Contribuyentes ANSES'!E59</f>
        <v>4250090</v>
      </c>
      <c r="M35" s="778">
        <f>'[1]Contribuyentes ANSES'!F59</f>
        <v>0</v>
      </c>
      <c r="N35" s="778">
        <f>'[1]Contribuyentes ANSES'!G59</f>
        <v>947318</v>
      </c>
      <c r="O35" s="778">
        <f>'[1]Contribuyentes ANSES'!H59</f>
        <v>0</v>
      </c>
      <c r="P35" s="768">
        <f>'[1]Contribuyentes ANSES'!D7*1000000</f>
        <v>4099999.9999999995</v>
      </c>
    </row>
    <row r="36" spans="10:16">
      <c r="J36" s="776">
        <f t="shared" si="4"/>
        <v>1998</v>
      </c>
      <c r="K36" s="777">
        <f>'[1]Contribuyentes ANSES'!D60</f>
        <v>5492389</v>
      </c>
      <c r="L36" s="777">
        <f>'[1]Contribuyentes ANSES'!E60</f>
        <v>4428527</v>
      </c>
      <c r="M36" s="777">
        <f>'[1]Contribuyentes ANSES'!F60</f>
        <v>0</v>
      </c>
      <c r="N36" s="777">
        <f>'[1]Contribuyentes ANSES'!G60</f>
        <v>640733</v>
      </c>
      <c r="O36" s="777">
        <f>'[1]Contribuyentes ANSES'!H60</f>
        <v>520176</v>
      </c>
      <c r="P36" s="776">
        <f>'[1]Contribuyentes ANSES'!D8*1000000</f>
        <v>4400000</v>
      </c>
    </row>
    <row r="37" spans="10:16">
      <c r="J37" s="768">
        <f t="shared" si="4"/>
        <v>1999</v>
      </c>
      <c r="K37" s="778">
        <f>'[1]Contribuyentes ANSES'!D61</f>
        <v>5430679</v>
      </c>
      <c r="L37" s="778">
        <f>'[1]Contribuyentes ANSES'!E61</f>
        <v>4426683</v>
      </c>
      <c r="M37" s="778">
        <f>'[1]Contribuyentes ANSES'!F61</f>
        <v>29408</v>
      </c>
      <c r="N37" s="778">
        <f>'[1]Contribuyentes ANSES'!G61</f>
        <v>550873</v>
      </c>
      <c r="O37" s="778">
        <f>'[1]Contribuyentes ANSES'!H61</f>
        <v>513105</v>
      </c>
      <c r="P37" s="768">
        <f>'[1]Contribuyentes ANSES'!D9*1000000</f>
        <v>4500000</v>
      </c>
    </row>
    <row r="38" spans="10:16">
      <c r="J38" s="776">
        <f t="shared" si="4"/>
        <v>2000</v>
      </c>
      <c r="K38" s="777">
        <f>'[1]Contribuyentes ANSES'!D62</f>
        <v>5619684</v>
      </c>
      <c r="L38" s="777">
        <f>'[1]Contribuyentes ANSES'!E62</f>
        <v>4500218</v>
      </c>
      <c r="M38" s="777">
        <f>'[1]Contribuyentes ANSES'!F62</f>
        <v>228443</v>
      </c>
      <c r="N38" s="777">
        <f>'[1]Contribuyentes ANSES'!G62</f>
        <v>483737</v>
      </c>
      <c r="O38" s="777">
        <f>'[1]Contribuyentes ANSES'!H62</f>
        <v>489449</v>
      </c>
      <c r="P38" s="776">
        <f>'[1]Contribuyentes ANSES'!D10*1000000</f>
        <v>4500000</v>
      </c>
    </row>
    <row r="39" spans="10:16">
      <c r="J39" s="768">
        <f t="shared" si="4"/>
        <v>2001</v>
      </c>
      <c r="K39" s="778">
        <f>'[1]Contribuyentes ANSES'!D63</f>
        <v>5153611</v>
      </c>
      <c r="L39" s="778">
        <f>'[1]Contribuyentes ANSES'!E63</f>
        <v>4206056</v>
      </c>
      <c r="M39" s="778">
        <f>'[1]Contribuyentes ANSES'!F63</f>
        <v>206202</v>
      </c>
      <c r="N39" s="778">
        <f>'[1]Contribuyentes ANSES'!G63</f>
        <v>382867</v>
      </c>
      <c r="O39" s="778">
        <f>'[1]Contribuyentes ANSES'!H63</f>
        <v>424417</v>
      </c>
      <c r="P39" s="768">
        <f>'[1]Contribuyentes ANSES'!D11*1000000</f>
        <v>4200000</v>
      </c>
    </row>
    <row r="40" spans="10:16">
      <c r="J40" s="776">
        <f t="shared" si="4"/>
        <v>2002</v>
      </c>
      <c r="K40" s="777">
        <f>'[1]Contribuyentes ANSES'!D64</f>
        <v>4888873</v>
      </c>
      <c r="L40" s="777">
        <f>'[1]Contribuyentes ANSES'!E64</f>
        <v>4028297</v>
      </c>
      <c r="M40" s="777">
        <f>'[1]Contribuyentes ANSES'!F64</f>
        <v>154862</v>
      </c>
      <c r="N40" s="777">
        <f>'[1]Contribuyentes ANSES'!G64</f>
        <v>365312</v>
      </c>
      <c r="O40" s="777">
        <f>'[1]Contribuyentes ANSES'!H64</f>
        <v>400843</v>
      </c>
      <c r="P40" s="776">
        <f>'[1]Contribuyentes ANSES'!D12*1000000</f>
        <v>4000000</v>
      </c>
    </row>
    <row r="41" spans="10:16">
      <c r="J41" s="768">
        <f t="shared" si="4"/>
        <v>2003</v>
      </c>
      <c r="K41" s="778">
        <f>'[1]Contribuyentes ANSES'!D65</f>
        <v>5334381</v>
      </c>
      <c r="L41" s="778">
        <f>'[1]Contribuyentes ANSES'!E65</f>
        <v>4424825</v>
      </c>
      <c r="M41" s="778">
        <f>'[1]Contribuyentes ANSES'!F65</f>
        <v>116073</v>
      </c>
      <c r="N41" s="778">
        <f>'[1]Contribuyentes ANSES'!G65</f>
        <v>376555</v>
      </c>
      <c r="O41" s="778">
        <f>'[1]Contribuyentes ANSES'!H65</f>
        <v>485924</v>
      </c>
      <c r="P41" s="768">
        <f>'[1]Contribuyentes ANSES'!D13*1000000</f>
        <v>4500000</v>
      </c>
    </row>
    <row r="42" spans="10:16">
      <c r="J42" s="776">
        <f t="shared" si="4"/>
        <v>2004</v>
      </c>
      <c r="K42" s="777">
        <f>'[1]Contribuyentes ANSES'!D66</f>
        <v>6110177</v>
      </c>
      <c r="L42" s="777">
        <f>'[1]Contribuyentes ANSES'!E66</f>
        <v>4879470</v>
      </c>
      <c r="M42" s="777">
        <f>'[1]Contribuyentes ANSES'!F66</f>
        <v>87718</v>
      </c>
      <c r="N42" s="777">
        <f>'[1]Contribuyentes ANSES'!G66</f>
        <v>439787</v>
      </c>
      <c r="O42" s="777">
        <f>'[1]Contribuyentes ANSES'!H66</f>
        <v>779181</v>
      </c>
      <c r="P42" s="776">
        <f>'[1]Contribuyentes ANSES'!D14*1000000</f>
        <v>5100000</v>
      </c>
    </row>
    <row r="43" spans="10:16">
      <c r="J43" s="768">
        <f t="shared" si="4"/>
        <v>2005</v>
      </c>
      <c r="K43" s="778">
        <f>'[1]Contribuyentes ANSES'!D67</f>
        <v>6764381</v>
      </c>
      <c r="L43" s="778">
        <f>'[1]Contribuyentes ANSES'!E67</f>
        <v>5389343</v>
      </c>
      <c r="M43" s="778">
        <f>'[1]Contribuyentes ANSES'!F67</f>
        <v>133458</v>
      </c>
      <c r="N43" s="778">
        <f>'[1]Contribuyentes ANSES'!G67</f>
        <v>440819</v>
      </c>
      <c r="O43" s="778">
        <f>'[1]Contribuyentes ANSES'!H67</f>
        <v>886284</v>
      </c>
      <c r="P43" s="768">
        <f>'[1]Contribuyentes ANSES'!D15*1000000</f>
        <v>5500000</v>
      </c>
    </row>
    <row r="44" spans="10:16">
      <c r="J44" s="776">
        <f t="shared" si="4"/>
        <v>2006</v>
      </c>
      <c r="K44" s="777">
        <f>'[1]Contribuyentes ANSES'!D68</f>
        <v>7423536</v>
      </c>
      <c r="L44" s="777">
        <f>'[1]Contribuyentes ANSES'!E68</f>
        <v>5801523</v>
      </c>
      <c r="M44" s="777">
        <f>'[1]Contribuyentes ANSES'!F68</f>
        <v>239800</v>
      </c>
      <c r="N44" s="777">
        <f>'[1]Contribuyentes ANSES'!G68</f>
        <v>454273</v>
      </c>
      <c r="O44" s="777">
        <f>'[1]Contribuyentes ANSES'!H68</f>
        <v>1025496</v>
      </c>
      <c r="P44" s="776">
        <f>'[1]Contribuyentes ANSES'!D16*1000000</f>
        <v>5900000</v>
      </c>
    </row>
    <row r="45" spans="10:16">
      <c r="J45" s="768">
        <f t="shared" si="4"/>
        <v>2007</v>
      </c>
      <c r="K45" s="778">
        <f>'[1]Contribuyentes ANSES'!D69</f>
        <v>7992422</v>
      </c>
      <c r="L45" s="778">
        <f>'[1]Contribuyentes ANSES'!E69</f>
        <v>6246984</v>
      </c>
      <c r="M45" s="778">
        <f>'[1]Contribuyentes ANSES'!F69</f>
        <v>295405</v>
      </c>
      <c r="N45" s="778">
        <f>'[1]Contribuyentes ANSES'!G69</f>
        <v>454473</v>
      </c>
      <c r="O45" s="778">
        <f>'[1]Contribuyentes ANSES'!H69</f>
        <v>1095610</v>
      </c>
      <c r="P45" s="768">
        <f>'[1]Contribuyentes ANSES'!D17*1000000</f>
        <v>5600000</v>
      </c>
    </row>
    <row r="46" spans="10:16">
      <c r="J46" s="776">
        <f t="shared" si="4"/>
        <v>2008</v>
      </c>
      <c r="K46" s="777">
        <f>'[1]Contribuyentes ANSES'!D70</f>
        <v>8323526</v>
      </c>
      <c r="L46" s="777">
        <f>'[1]Contribuyentes ANSES'!E70</f>
        <v>6414915</v>
      </c>
      <c r="M46" s="777">
        <f>'[1]Contribuyentes ANSES'!F70</f>
        <v>337756</v>
      </c>
      <c r="N46" s="777">
        <f>'[1]Contribuyentes ANSES'!G70</f>
        <v>470958</v>
      </c>
      <c r="O46" s="777">
        <f>'[1]Contribuyentes ANSES'!H70</f>
        <v>1209482</v>
      </c>
      <c r="P46" s="776">
        <f>'[1]Contribuyentes ANSES'!D18*1000000</f>
        <v>4800000</v>
      </c>
    </row>
    <row r="47" spans="10:16">
      <c r="J47" s="768">
        <f t="shared" si="4"/>
        <v>2009</v>
      </c>
      <c r="K47" s="778">
        <f>'[1]Contribuyentes ANSES'!D71</f>
        <v>8490198</v>
      </c>
      <c r="L47" s="778">
        <f>'[1]Contribuyentes ANSES'!E71</f>
        <v>6474374</v>
      </c>
      <c r="M47" s="778">
        <f>'[1]Contribuyentes ANSES'!F71</f>
        <v>367171</v>
      </c>
      <c r="N47" s="778">
        <f>'[1]Contribuyentes ANSES'!G71</f>
        <v>475396</v>
      </c>
      <c r="O47" s="778">
        <f>'[1]Contribuyentes ANSES'!H71</f>
        <v>1282208</v>
      </c>
      <c r="P47" s="768"/>
    </row>
    <row r="48" spans="10:16">
      <c r="J48" s="776">
        <f t="shared" si="4"/>
        <v>2010</v>
      </c>
      <c r="K48" s="777">
        <f>'[1]Contribuyentes ANSES'!D72</f>
        <v>8857445</v>
      </c>
      <c r="L48" s="777">
        <f>'[1]Contribuyentes ANSES'!E72</f>
        <v>6732665</v>
      </c>
      <c r="M48" s="777">
        <f>'[1]Contribuyentes ANSES'!F72</f>
        <v>368967</v>
      </c>
      <c r="N48" s="777">
        <f>'[1]Contribuyentes ANSES'!G72</f>
        <v>487435</v>
      </c>
      <c r="O48" s="777">
        <f>'[1]Contribuyentes ANSES'!H72</f>
        <v>1375997</v>
      </c>
      <c r="P48" s="776"/>
    </row>
    <row r="49" spans="10:16">
      <c r="J49" s="768">
        <f t="shared" si="4"/>
        <v>2011</v>
      </c>
      <c r="K49" s="778">
        <f>'[1]Contribuyentes ANSES'!D73</f>
        <v>9230788</v>
      </c>
      <c r="L49" s="778">
        <f>'[1]Contribuyentes ANSES'!E73</f>
        <v>6986246</v>
      </c>
      <c r="M49" s="778">
        <f>'[1]Contribuyentes ANSES'!F73</f>
        <v>359525</v>
      </c>
      <c r="N49" s="778">
        <f>'[1]Contribuyentes ANSES'!G73</f>
        <v>508622</v>
      </c>
      <c r="O49" s="778">
        <f>'[1]Contribuyentes ANSES'!H73</f>
        <v>1493047</v>
      </c>
      <c r="P49" s="768"/>
    </row>
    <row r="50" spans="10:16">
      <c r="J50" s="776">
        <f t="shared" si="4"/>
        <v>2012</v>
      </c>
      <c r="K50" s="777">
        <f>'[1]Contribuyentes ANSES'!D74</f>
        <v>9351697</v>
      </c>
      <c r="L50" s="777">
        <f>'[1]Contribuyentes ANSES'!E74</f>
        <v>7002490</v>
      </c>
      <c r="M50" s="777">
        <f>'[1]Contribuyentes ANSES'!F74</f>
        <v>370095</v>
      </c>
      <c r="N50" s="777">
        <f>'[1]Contribuyentes ANSES'!G74</f>
        <v>523613</v>
      </c>
      <c r="O50" s="777">
        <f>'[1]Contribuyentes ANSES'!H74</f>
        <v>1571985</v>
      </c>
      <c r="P50" s="776"/>
    </row>
    <row r="51" spans="10:16">
      <c r="J51" s="768">
        <f t="shared" si="4"/>
        <v>2013</v>
      </c>
      <c r="K51" s="778">
        <f>'[1]Contribuyentes ANSES'!D75</f>
        <v>9695337</v>
      </c>
      <c r="L51" s="778">
        <f>'[1]Contribuyentes ANSES'!E75</f>
        <v>7070532</v>
      </c>
      <c r="M51" s="778">
        <f>'[1]Contribuyentes ANSES'!F75</f>
        <v>435877</v>
      </c>
      <c r="N51" s="778">
        <f>'[1]Contribuyentes ANSES'!G75</f>
        <v>545582</v>
      </c>
      <c r="O51" s="778">
        <f>'[1]Contribuyentes ANSES'!H75</f>
        <v>1767615</v>
      </c>
      <c r="P51" s="768"/>
    </row>
    <row r="52" spans="10:16">
      <c r="J52" s="776">
        <f t="shared" si="4"/>
        <v>2014</v>
      </c>
      <c r="K52" s="777">
        <f>'[1]Contribuyentes ANSES'!D76</f>
        <v>9714843</v>
      </c>
      <c r="L52" s="777">
        <f>'[1]Contribuyentes ANSES'!E76</f>
        <v>7094528</v>
      </c>
      <c r="M52" s="777">
        <f>'[1]Contribuyentes ANSES'!F76</f>
        <v>403386</v>
      </c>
      <c r="N52" s="777">
        <f>'[1]Contribuyentes ANSES'!G76</f>
        <v>535911</v>
      </c>
      <c r="O52" s="777">
        <f>'[1]Contribuyentes ANSES'!H76</f>
        <v>1801260</v>
      </c>
      <c r="P52" s="776"/>
    </row>
    <row r="53" spans="10:16">
      <c r="J53" s="768">
        <f t="shared" si="4"/>
        <v>2015</v>
      </c>
      <c r="K53" s="778">
        <f>'[1]Contribuyentes ANSES'!D77</f>
        <v>9857400</v>
      </c>
      <c r="L53" s="778">
        <f>'[1]Contribuyentes ANSES'!E77</f>
        <v>7201832</v>
      </c>
      <c r="M53" s="778">
        <f>'[1]Contribuyentes ANSES'!F77</f>
        <v>415030</v>
      </c>
      <c r="N53" s="778">
        <f>'[1]Contribuyentes ANSES'!G77</f>
        <v>541906</v>
      </c>
      <c r="O53" s="778">
        <f>'[1]Contribuyentes ANSES'!H77</f>
        <v>1829713</v>
      </c>
      <c r="P53" s="768"/>
    </row>
    <row r="54" spans="10:16">
      <c r="J54" s="776">
        <f t="shared" si="4"/>
        <v>2016</v>
      </c>
      <c r="K54" s="777">
        <f>'[1]Contribuyentes ANSES'!D78</f>
        <v>9927705</v>
      </c>
      <c r="L54" s="777">
        <f>'[1]Contribuyentes ANSES'!E78</f>
        <v>7167657</v>
      </c>
      <c r="M54" s="777">
        <f>'[1]Contribuyentes ANSES'!F78</f>
        <v>433905</v>
      </c>
      <c r="N54" s="777">
        <f>'[1]Contribuyentes ANSES'!G78</f>
        <v>551932</v>
      </c>
      <c r="O54" s="777">
        <f>'[1]Contribuyentes ANSES'!H78</f>
        <v>1903193</v>
      </c>
      <c r="P54" s="776"/>
    </row>
    <row r="55" spans="10:16">
      <c r="J55" s="768">
        <f t="shared" si="4"/>
        <v>2017</v>
      </c>
      <c r="K55" s="778">
        <f>'[1]Contribuyentes ANSES'!D79</f>
        <v>10091261</v>
      </c>
      <c r="L55" s="778">
        <f>'[1]Contribuyentes ANSES'!E79</f>
        <v>7246488</v>
      </c>
      <c r="M55" s="778">
        <f>'[1]Contribuyentes ANSES'!F79</f>
        <v>440285</v>
      </c>
      <c r="N55" s="778">
        <f>'[1]Contribuyentes ANSES'!G79</f>
        <v>531204</v>
      </c>
      <c r="O55" s="778">
        <f>'[1]Contribuyentes ANSES'!H79</f>
        <v>1994420</v>
      </c>
      <c r="P55" s="768"/>
    </row>
    <row r="56" spans="10:16">
      <c r="J56" s="776">
        <v>2018</v>
      </c>
      <c r="K56" s="777">
        <f>AVERAGE(K57:K62)</f>
        <v>9950337.666666666</v>
      </c>
      <c r="L56" s="777">
        <f>AVERAGE(L57:L62)</f>
        <v>7195407.166666667</v>
      </c>
      <c r="M56" s="777">
        <f>AVERAGE(M57:M62)</f>
        <v>435632.5</v>
      </c>
      <c r="N56" s="777">
        <f>AVERAGE(N57:N62)</f>
        <v>507878.5</v>
      </c>
      <c r="O56" s="777">
        <f>AVERAGE(O57:O62)</f>
        <v>1925394</v>
      </c>
      <c r="P56" s="776"/>
    </row>
    <row r="57" spans="10:16">
      <c r="J57" s="768" t="str">
        <f>'[1]Contribuyentes ANSES'!C80</f>
        <v>ene-18</v>
      </c>
      <c r="K57" s="778">
        <f>'[1]Contribuyentes ANSES'!D80</f>
        <v>10038343</v>
      </c>
      <c r="L57" s="778">
        <f>'[1]Contribuyentes ANSES'!E80</f>
        <v>7215590</v>
      </c>
      <c r="M57" s="778">
        <f>'[1]Contribuyentes ANSES'!F80</f>
        <v>438700</v>
      </c>
      <c r="N57" s="778">
        <f>'[1]Contribuyentes ANSES'!G80</f>
        <v>521741</v>
      </c>
      <c r="O57" s="778">
        <f>'[1]Contribuyentes ANSES'!H80</f>
        <v>1980368</v>
      </c>
      <c r="P57" s="768"/>
    </row>
    <row r="58" spans="10:16">
      <c r="J58" s="776" t="str">
        <f>'[1]Contribuyentes ANSES'!C81</f>
        <v>feb-18</v>
      </c>
      <c r="K58" s="777">
        <f>'[1]Contribuyentes ANSES'!D81</f>
        <v>10021368</v>
      </c>
      <c r="L58" s="777">
        <f>'[1]Contribuyentes ANSES'!E81</f>
        <v>7225474</v>
      </c>
      <c r="M58" s="777">
        <f>'[1]Contribuyentes ANSES'!F81</f>
        <v>437882</v>
      </c>
      <c r="N58" s="777">
        <f>'[1]Contribuyentes ANSES'!G81</f>
        <v>518010</v>
      </c>
      <c r="O58" s="777">
        <f>'[1]Contribuyentes ANSES'!H81</f>
        <v>1956393</v>
      </c>
      <c r="P58" s="776"/>
    </row>
    <row r="59" spans="10:16">
      <c r="J59" s="768" t="str">
        <f>'[1]Contribuyentes ANSES'!C82</f>
        <v>mar-18</v>
      </c>
      <c r="K59" s="778">
        <f>'[1]Contribuyentes ANSES'!D82</f>
        <v>10022307</v>
      </c>
      <c r="L59" s="778">
        <f>'[1]Contribuyentes ANSES'!E82</f>
        <v>7238154</v>
      </c>
      <c r="M59" s="778">
        <f>'[1]Contribuyentes ANSES'!F82</f>
        <v>435924</v>
      </c>
      <c r="N59" s="778">
        <f>'[1]Contribuyentes ANSES'!G82</f>
        <v>513556</v>
      </c>
      <c r="O59" s="778">
        <f>'[1]Contribuyentes ANSES'!H82</f>
        <v>1952185</v>
      </c>
      <c r="P59" s="768"/>
    </row>
    <row r="60" spans="10:16">
      <c r="J60" s="776" t="str">
        <f>'[1]Contribuyentes ANSES'!C83</f>
        <v>abr-18</v>
      </c>
      <c r="K60" s="777">
        <f>'[1]Contribuyentes ANSES'!D83</f>
        <v>9960986</v>
      </c>
      <c r="L60" s="777">
        <f>'[1]Contribuyentes ANSES'!E83</f>
        <v>7189145</v>
      </c>
      <c r="M60" s="777">
        <f>'[1]Contribuyentes ANSES'!F83</f>
        <v>436013</v>
      </c>
      <c r="N60" s="777">
        <f>'[1]Contribuyentes ANSES'!G83</f>
        <v>507462</v>
      </c>
      <c r="O60" s="777">
        <f>'[1]Contribuyentes ANSES'!H83</f>
        <v>1942634</v>
      </c>
      <c r="P60" s="776"/>
    </row>
    <row r="61" spans="10:16">
      <c r="J61" s="768" t="str">
        <f>'[1]Contribuyentes ANSES'!C84</f>
        <v>may-18</v>
      </c>
      <c r="K61" s="778">
        <f>'[1]Contribuyentes ANSES'!D84</f>
        <v>9854133</v>
      </c>
      <c r="L61" s="778">
        <f>'[1]Contribuyentes ANSES'!E84</f>
        <v>7155155</v>
      </c>
      <c r="M61" s="778">
        <f>'[1]Contribuyentes ANSES'!F84</f>
        <v>434552</v>
      </c>
      <c r="N61" s="778">
        <f>'[1]Contribuyentes ANSES'!G84</f>
        <v>498482</v>
      </c>
      <c r="O61" s="778">
        <f>'[1]Contribuyentes ANSES'!H84</f>
        <v>1876179</v>
      </c>
      <c r="P61" s="768"/>
    </row>
    <row r="62" spans="10:16">
      <c r="J62" s="776" t="str">
        <f>'[1]Contribuyentes ANSES'!C85</f>
        <v>jun-18</v>
      </c>
      <c r="K62" s="777">
        <f>'[1]Contribuyentes ANSES'!D85</f>
        <v>9804889</v>
      </c>
      <c r="L62" s="777">
        <f>'[1]Contribuyentes ANSES'!E85</f>
        <v>7148925</v>
      </c>
      <c r="M62" s="777">
        <f>'[1]Contribuyentes ANSES'!F85</f>
        <v>430724</v>
      </c>
      <c r="N62" s="777">
        <f>'[1]Contribuyentes ANSES'!G85</f>
        <v>488020</v>
      </c>
      <c r="O62" s="777">
        <f>'[1]Contribuyentes ANSES'!H85</f>
        <v>1844605</v>
      </c>
      <c r="P62" s="776"/>
    </row>
    <row r="63" spans="10:16">
      <c r="J63" s="779" t="s">
        <v>1075</v>
      </c>
      <c r="L63" s="779"/>
    </row>
    <row r="64" spans="10:16">
      <c r="J64" t="s">
        <v>1076</v>
      </c>
    </row>
  </sheetData>
  <pageMargins left="0.7" right="0.7" top="0.75" bottom="0.75" header="0.51180555555555496" footer="0.51180555555555496"/>
  <pageSetup firstPageNumber="0" orientation="portrait" horizontalDpi="300" verticalDpi="30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94"/>
  <sheetViews>
    <sheetView tabSelected="1" topLeftCell="U44" zoomScale="80" zoomScaleNormal="80" workbookViewId="0">
      <selection activeCell="AI45" sqref="AI45"/>
    </sheetView>
    <sheetView workbookViewId="1"/>
  </sheetViews>
  <sheetFormatPr baseColWidth="10" defaultColWidth="11.42578125" defaultRowHeight="15"/>
  <cols>
    <col min="1" max="1" width="11.42578125" style="1"/>
    <col min="2" max="4" width="16.42578125" style="1" customWidth="1"/>
    <col min="5" max="6" width="24.5703125" style="1" customWidth="1"/>
    <col min="7" max="7" width="22.85546875" style="1" customWidth="1"/>
    <col min="8" max="8" width="24.140625" style="1" customWidth="1"/>
    <col min="9" max="9" width="17.5703125" style="1" customWidth="1"/>
    <col min="10" max="10" width="16.42578125" style="1" customWidth="1"/>
    <col min="11" max="11" width="18.28515625" style="1" customWidth="1"/>
    <col min="12" max="12" width="11.42578125" style="1"/>
    <col min="13" max="13" width="27.28515625" style="1" customWidth="1"/>
    <col min="14" max="19" width="17.5703125" style="1" customWidth="1"/>
    <col min="20" max="20" width="24.85546875" style="1" customWidth="1"/>
    <col min="21" max="21" width="18.7109375" style="1" customWidth="1"/>
    <col min="22" max="22" width="19.140625" style="1" customWidth="1"/>
    <col min="23" max="23" width="11.42578125" style="1"/>
    <col min="24" max="24" width="15" style="1" customWidth="1"/>
    <col min="25" max="25" width="11.42578125" style="1"/>
    <col min="26" max="27" width="15" style="1" customWidth="1"/>
    <col min="28" max="28" width="19.140625" style="1" customWidth="1"/>
    <col min="29" max="29" width="16.42578125" style="1" customWidth="1"/>
    <col min="30" max="30" width="11.42578125" style="1"/>
    <col min="31" max="31" width="16.42578125" style="1" customWidth="1"/>
    <col min="32" max="32" width="11.42578125" style="1"/>
    <col min="33" max="33" width="16.42578125" style="1" customWidth="1"/>
    <col min="34" max="35" width="11.42578125" style="1"/>
    <col min="36" max="36" width="13.85546875" style="1" customWidth="1"/>
    <col min="37" max="254" width="11.42578125" style="1"/>
    <col min="255" max="257" width="16.42578125" style="1" customWidth="1"/>
    <col min="258" max="259" width="24.5703125" style="1" customWidth="1"/>
    <col min="260" max="260" width="22.85546875" style="1" customWidth="1"/>
    <col min="261" max="261" width="24.140625" style="1" customWidth="1"/>
    <col min="262" max="262" width="17.5703125" style="1" customWidth="1"/>
    <col min="263" max="263" width="16.42578125" style="1" customWidth="1"/>
    <col min="264" max="264" width="18.28515625" style="1" customWidth="1"/>
    <col min="265" max="266" width="11.42578125" style="1"/>
    <col min="267" max="272" width="17.5703125" style="1" customWidth="1"/>
    <col min="273" max="273" width="18.7109375" style="1" customWidth="1"/>
    <col min="274" max="274" width="19.140625" style="1" customWidth="1"/>
    <col min="275" max="275" width="11.42578125" style="1"/>
    <col min="276" max="276" width="15.5703125" style="1" customWidth="1"/>
    <col min="277" max="510" width="11.42578125" style="1"/>
    <col min="511" max="513" width="16.42578125" style="1" customWidth="1"/>
    <col min="514" max="515" width="24.5703125" style="1" customWidth="1"/>
    <col min="516" max="516" width="22.85546875" style="1" customWidth="1"/>
    <col min="517" max="517" width="24.140625" style="1" customWidth="1"/>
    <col min="518" max="518" width="17.5703125" style="1" customWidth="1"/>
    <col min="519" max="519" width="16.42578125" style="1" customWidth="1"/>
    <col min="520" max="520" width="18.28515625" style="1" customWidth="1"/>
    <col min="521" max="522" width="11.42578125" style="1"/>
    <col min="523" max="528" width="17.5703125" style="1" customWidth="1"/>
    <col min="529" max="529" width="18.7109375" style="1" customWidth="1"/>
    <col min="530" max="530" width="19.140625" style="1" customWidth="1"/>
    <col min="531" max="531" width="11.42578125" style="1"/>
    <col min="532" max="532" width="15.5703125" style="1" customWidth="1"/>
    <col min="533" max="766" width="11.42578125" style="1"/>
    <col min="767" max="769" width="16.42578125" style="1" customWidth="1"/>
    <col min="770" max="771" width="24.5703125" style="1" customWidth="1"/>
    <col min="772" max="772" width="22.85546875" style="1" customWidth="1"/>
    <col min="773" max="773" width="24.140625" style="1" customWidth="1"/>
    <col min="774" max="774" width="17.5703125" style="1" customWidth="1"/>
    <col min="775" max="775" width="16.42578125" style="1" customWidth="1"/>
    <col min="776" max="776" width="18.28515625" style="1" customWidth="1"/>
    <col min="777" max="778" width="11.42578125" style="1"/>
    <col min="779" max="784" width="17.5703125" style="1" customWidth="1"/>
    <col min="785" max="785" width="18.7109375" style="1" customWidth="1"/>
    <col min="786" max="786" width="19.140625" style="1" customWidth="1"/>
    <col min="787" max="787" width="11.42578125" style="1"/>
    <col min="788" max="788" width="15.5703125" style="1" customWidth="1"/>
    <col min="789" max="1022" width="11.42578125" style="1"/>
    <col min="1023" max="1025" width="16.42578125" style="1" customWidth="1"/>
  </cols>
  <sheetData>
    <row r="2" spans="1:37">
      <c r="C2" s="1" t="s">
        <v>1077</v>
      </c>
      <c r="D2" s="455">
        <f>B5+C5+E5</f>
        <v>5.8134750471197677E-2</v>
      </c>
      <c r="N2" s="1" t="s">
        <v>1078</v>
      </c>
    </row>
    <row r="3" spans="1:37" ht="12.75" customHeight="1">
      <c r="A3" s="830"/>
      <c r="B3" s="840" t="s">
        <v>789</v>
      </c>
      <c r="C3" s="840" t="s">
        <v>1079</v>
      </c>
      <c r="D3" s="840" t="s">
        <v>1080</v>
      </c>
      <c r="E3" s="840" t="s">
        <v>941</v>
      </c>
      <c r="F3" s="838" t="s">
        <v>1081</v>
      </c>
      <c r="G3" s="839" t="s">
        <v>1082</v>
      </c>
      <c r="H3" s="840" t="s">
        <v>1083</v>
      </c>
      <c r="I3" s="838" t="s">
        <v>1084</v>
      </c>
      <c r="J3" s="840" t="s">
        <v>1085</v>
      </c>
      <c r="L3" s="830"/>
      <c r="M3" s="837" t="str">
        <f>'Cuenta Ahorro-Inversión-Financi'!S40</f>
        <v>Prestaciones de la seguridad social, excluyendo reparación histórica % PIB</v>
      </c>
      <c r="N3" s="837" t="s">
        <v>1086</v>
      </c>
      <c r="O3" s="837" t="s">
        <v>1087</v>
      </c>
      <c r="P3" s="837" t="s">
        <v>1088</v>
      </c>
      <c r="Q3" s="837" t="s">
        <v>1089</v>
      </c>
      <c r="R3" s="837" t="s">
        <v>1090</v>
      </c>
      <c r="S3" s="837" t="s">
        <v>1091</v>
      </c>
      <c r="T3" s="837" t="s">
        <v>1136</v>
      </c>
      <c r="U3" s="837" t="s">
        <v>1092</v>
      </c>
      <c r="V3" s="837" t="s">
        <v>793</v>
      </c>
      <c r="W3" s="837" t="s">
        <v>1093</v>
      </c>
    </row>
    <row r="4" spans="1:37" ht="38.25" customHeight="1">
      <c r="A4" s="830"/>
      <c r="B4" s="840"/>
      <c r="C4" s="840"/>
      <c r="D4" s="840"/>
      <c r="E4" s="840"/>
      <c r="F4" s="838"/>
      <c r="G4" s="839"/>
      <c r="H4" s="840"/>
      <c r="I4" s="838"/>
      <c r="J4" s="840"/>
      <c r="L4" s="830"/>
      <c r="M4" s="837"/>
      <c r="N4" s="837"/>
      <c r="O4" s="837"/>
      <c r="P4" s="837"/>
      <c r="Q4" s="837"/>
      <c r="R4" s="837"/>
      <c r="S4" s="837"/>
      <c r="T4" s="837"/>
      <c r="U4" s="837"/>
      <c r="V4" s="837"/>
      <c r="W4" s="837"/>
      <c r="X4" s="780" t="s">
        <v>1094</v>
      </c>
      <c r="Y4" s="780" t="s">
        <v>1095</v>
      </c>
      <c r="Z4" s="780" t="s">
        <v>1096</v>
      </c>
      <c r="AE4" s="1" t="s">
        <v>1097</v>
      </c>
      <c r="AJ4" s="1" t="s">
        <v>1098</v>
      </c>
      <c r="AK4" s="1" t="s">
        <v>1099</v>
      </c>
    </row>
    <row r="5" spans="1:37" ht="15.75">
      <c r="A5" s="781">
        <v>1993</v>
      </c>
      <c r="B5" s="782">
        <f>('Cuenta Ahorro-Inversión-Financi'!S9-'Cuenta Ahorro-Inversión-Financi'!U9)/1000/'PIB corriente base 1993'!V8</f>
        <v>4.5352832912549039E-2</v>
      </c>
      <c r="C5" s="782">
        <f>'Cuenta Ahorro-Inversión-Financi'!G42</f>
        <v>1.1426158691432906E-2</v>
      </c>
      <c r="D5" s="782">
        <f>'Cuenta Ahorro-Inversión-Financi'!L42</f>
        <v>1.2477115671008975E-2</v>
      </c>
      <c r="E5" s="782">
        <f>'Cuenta Ahorro-Inversión-Financi'!H42</f>
        <v>1.3557588672157268E-3</v>
      </c>
      <c r="F5" s="782"/>
      <c r="G5" s="782"/>
      <c r="H5" s="782">
        <f>('Cuenta Ahorro-Inversión-Financi'!AG9-SUM('Cuenta Ahorro-Inversión-Financi'!AH9:AL9))/1000/'PIB corriente base 1993'!V8</f>
        <v>-2.7469112626968316E-4</v>
      </c>
      <c r="I5" s="782"/>
      <c r="J5" s="782">
        <f t="shared" ref="J5:J27" si="0">SUM(B5:F5)</f>
        <v>7.0611866142206658E-2</v>
      </c>
      <c r="L5" s="783">
        <v>1993</v>
      </c>
      <c r="M5" s="784">
        <f>'Cuenta Ahorro-Inversión-Financi'!R42</f>
        <v>5.2637093191058193E-2</v>
      </c>
      <c r="N5" s="784">
        <f t="shared" ref="N5:N30" si="1">U5-O5</f>
        <v>1.1642303700452977E-2</v>
      </c>
      <c r="O5" s="784"/>
      <c r="P5" s="784">
        <f>'Cuenta Ahorro-Inversión-Financi'!AX9/1000/'PIB corriente base 1993'!V8+V5</f>
        <v>1.4899099917563394E-3</v>
      </c>
      <c r="Q5" s="784">
        <f>'Cuenta Ahorro-Inversión-Financi'!AV42</f>
        <v>5.2886285344030236E-3</v>
      </c>
      <c r="R5" s="784"/>
      <c r="S5" s="784"/>
      <c r="T5" s="784"/>
      <c r="U5" s="784">
        <f>'Cuenta Ahorro-Inversión-Financi'!T42</f>
        <v>1.1642303700452977E-2</v>
      </c>
      <c r="V5" s="784">
        <f>'Cuenta Ahorro-Inversión-Financi'!BB9/1000/'PIB corriente base 1993'!V8</f>
        <v>0</v>
      </c>
      <c r="W5" s="784">
        <f t="shared" ref="W5:W27" si="2">M5-T5+O5+Q5+R5+N5+P5</f>
        <v>7.105793541767054E-2</v>
      </c>
      <c r="X5" s="675">
        <f t="shared" ref="X5:X30" si="3">J5-W5</f>
        <v>-4.460692754638812E-4</v>
      </c>
      <c r="Y5" s="675"/>
      <c r="Z5" s="675"/>
      <c r="AA5" s="455">
        <f t="shared" ref="AA5:AA30" si="4">AE13+AJ13</f>
        <v>6.5186530583432031E-2</v>
      </c>
      <c r="AJ5" s="785"/>
      <c r="AK5" s="786"/>
    </row>
    <row r="6" spans="1:37" ht="15.75">
      <c r="A6" s="781">
        <v>1994</v>
      </c>
      <c r="B6" s="787">
        <f>('Cuenta Ahorro-Inversión-Financi'!S10-'Cuenta Ahorro-Inversión-Financi'!U10)/1000/'PIB corriente base 1993'!V9</f>
        <v>4.1240641070148722E-2</v>
      </c>
      <c r="C6" s="787">
        <f>'Cuenta Ahorro-Inversión-Financi'!G43</f>
        <v>1.2086918580086134E-2</v>
      </c>
      <c r="D6" s="787">
        <f>'Cuenta Ahorro-Inversión-Financi'!L43</f>
        <v>1.0313805580301925E-2</v>
      </c>
      <c r="E6" s="787">
        <f>'Cuenta Ahorro-Inversión-Financi'!H43</f>
        <v>9.5319509687930845E-5</v>
      </c>
      <c r="F6" s="787"/>
      <c r="G6" s="787"/>
      <c r="H6" s="787">
        <f>('Cuenta Ahorro-Inversión-Financi'!AG10-SUM('Cuenta Ahorro-Inversión-Financi'!AH10:AL10))/1000/'PIB corriente base 1993'!V9</f>
        <v>-2.2192507992865131E-3</v>
      </c>
      <c r="I6" s="787"/>
      <c r="J6" s="787">
        <f t="shared" si="0"/>
        <v>6.3736684740224703E-2</v>
      </c>
      <c r="L6" s="788">
        <v>1994</v>
      </c>
      <c r="M6" s="787">
        <f>'Cuenta Ahorro-Inversión-Financi'!R43</f>
        <v>5.6464426220353491E-2</v>
      </c>
      <c r="N6" s="787">
        <f t="shared" si="1"/>
        <v>1.2436021103775298E-2</v>
      </c>
      <c r="O6" s="787"/>
      <c r="P6" s="787">
        <f>'Cuenta Ahorro-Inversión-Financi'!AX10/1000/'PIB corriente base 1993'!V9+V6</f>
        <v>1.146258007796943E-3</v>
      </c>
      <c r="Q6" s="787">
        <f>'Cuenta Ahorro-Inversión-Financi'!AV43</f>
        <v>6.7753088693605253E-3</v>
      </c>
      <c r="R6" s="787"/>
      <c r="S6" s="787"/>
      <c r="T6" s="787"/>
      <c r="U6" s="787">
        <f>'Cuenta Ahorro-Inversión-Financi'!T43</f>
        <v>1.2436021103775298E-2</v>
      </c>
      <c r="V6" s="787">
        <f>'Cuenta Ahorro-Inversión-Financi'!BB10/1000/'PIB corriente base 1993'!V9</f>
        <v>5.1642886105175768E-6</v>
      </c>
      <c r="W6" s="787">
        <f t="shared" si="2"/>
        <v>7.6822014201286259E-2</v>
      </c>
      <c r="X6" s="678">
        <f t="shared" si="3"/>
        <v>-1.3085329461061557E-2</v>
      </c>
      <c r="Y6" s="678"/>
      <c r="Z6" s="678"/>
      <c r="AA6" s="455">
        <f t="shared" si="4"/>
        <v>7.0674042617183658E-2</v>
      </c>
    </row>
    <row r="7" spans="1:37" ht="15.75">
      <c r="A7" s="781">
        <v>1995</v>
      </c>
      <c r="B7" s="782">
        <f>('Cuenta Ahorro-Inversión-Financi'!S11-'Cuenta Ahorro-Inversión-Financi'!U11)/1000/'PIB corriente base 1993'!V10</f>
        <v>3.671628422629266E-2</v>
      </c>
      <c r="C7" s="782">
        <f>'Cuenta Ahorro-Inversión-Financi'!G44</f>
        <v>1.2112184053518191E-2</v>
      </c>
      <c r="D7" s="782">
        <f>'Cuenta Ahorro-Inversión-Financi'!L44</f>
        <v>1.1591546064282976E-2</v>
      </c>
      <c r="E7" s="782">
        <f>'Cuenta Ahorro-Inversión-Financi'!H44</f>
        <v>3.1697520672467914E-5</v>
      </c>
      <c r="F7" s="782"/>
      <c r="G7" s="782"/>
      <c r="H7" s="782">
        <f>('Cuenta Ahorro-Inversión-Financi'!AG11-SUM('Cuenta Ahorro-Inversión-Financi'!AH11:AL11))/1000/'PIB corriente base 1993'!V10</f>
        <v>8.8214038134443011E-4</v>
      </c>
      <c r="I7" s="782"/>
      <c r="J7" s="782">
        <f t="shared" si="0"/>
        <v>6.0451711864766298E-2</v>
      </c>
      <c r="L7" s="788">
        <v>1995</v>
      </c>
      <c r="M7" s="784">
        <f>'Cuenta Ahorro-Inversión-Financi'!R44</f>
        <v>5.3644670399752167E-2</v>
      </c>
      <c r="N7" s="784">
        <f t="shared" si="1"/>
        <v>5.355879882989893E-3</v>
      </c>
      <c r="O7" s="784"/>
      <c r="P7" s="784">
        <f>'Cuenta Ahorro-Inversión-Financi'!AX11/1000/'PIB corriente base 1993'!V10+V7</f>
        <v>1.1921532722603625E-3</v>
      </c>
      <c r="Q7" s="784">
        <f>'Cuenta Ahorro-Inversión-Financi'!AV44</f>
        <v>6.6383579073520721E-3</v>
      </c>
      <c r="R7" s="784"/>
      <c r="S7" s="784"/>
      <c r="T7" s="784"/>
      <c r="U7" s="784">
        <f>'Cuenta Ahorro-Inversión-Financi'!T44</f>
        <v>5.355879882989893E-3</v>
      </c>
      <c r="V7" s="784">
        <f>'Cuenta Ahorro-Inversión-Financi'!BB11/1000/'PIB corriente base 1993'!V10</f>
        <v>4.1411963054951643E-5</v>
      </c>
      <c r="W7" s="784">
        <f t="shared" si="2"/>
        <v>6.6831061462354499E-2</v>
      </c>
      <c r="X7" s="675">
        <f t="shared" si="3"/>
        <v>-6.3793495975882006E-3</v>
      </c>
      <c r="Y7" s="675"/>
      <c r="Z7" s="675"/>
      <c r="AA7" s="455">
        <f t="shared" si="4"/>
        <v>6.1035113065524407E-2</v>
      </c>
    </row>
    <row r="8" spans="1:37" ht="15.75">
      <c r="A8" s="781">
        <v>1996</v>
      </c>
      <c r="B8" s="787">
        <f>('Cuenta Ahorro-Inversión-Financi'!S12-'Cuenta Ahorro-Inversión-Financi'!U12)/1000/'PIB corriente base 1993'!V11</f>
        <v>3.6384675884464944E-2</v>
      </c>
      <c r="C8" s="787">
        <f>'Cuenta Ahorro-Inversión-Financi'!G45</f>
        <v>1.4674132007748912E-2</v>
      </c>
      <c r="D8" s="787">
        <f>'Cuenta Ahorro-Inversión-Financi'!L45</f>
        <v>1.1873413888874359E-2</v>
      </c>
      <c r="E8" s="787">
        <f>'Cuenta Ahorro-Inversión-Financi'!H45</f>
        <v>1.1652327474047302E-4</v>
      </c>
      <c r="F8" s="787"/>
      <c r="G8" s="787"/>
      <c r="H8" s="787">
        <f>('Cuenta Ahorro-Inversión-Financi'!AG12-SUM('Cuenta Ahorro-Inversión-Financi'!AH12:AL12))/1000/'PIB corriente base 1993'!V11</f>
        <v>1.0275315257448573E-2</v>
      </c>
      <c r="I8" s="787"/>
      <c r="J8" s="787">
        <f t="shared" si="0"/>
        <v>6.3048745055828692E-2</v>
      </c>
      <c r="L8" s="788">
        <v>1996</v>
      </c>
      <c r="M8" s="787">
        <f>'Cuenta Ahorro-Inversión-Financi'!R45</f>
        <v>5.3162252663224489E-2</v>
      </c>
      <c r="N8" s="787">
        <f t="shared" si="1"/>
        <v>6.00272468782676E-3</v>
      </c>
      <c r="O8" s="787"/>
      <c r="P8" s="787">
        <f>'Cuenta Ahorro-Inversión-Financi'!AX12/1000/'PIB corriente base 1993'!V11+V8</f>
        <v>1.7103134529435297E-3</v>
      </c>
      <c r="Q8" s="787">
        <f>'Cuenta Ahorro-Inversión-Financi'!AV45</f>
        <v>7.4607589826252985E-3</v>
      </c>
      <c r="R8" s="787"/>
      <c r="S8" s="787"/>
      <c r="T8" s="787"/>
      <c r="U8" s="787">
        <f>'Cuenta Ahorro-Inversión-Financi'!T45</f>
        <v>6.00272468782676E-3</v>
      </c>
      <c r="V8" s="787">
        <f>'Cuenta Ahorro-Inversión-Financi'!BB12/1000/'PIB corriente base 1993'!V11</f>
        <v>4.9449865060438136E-4</v>
      </c>
      <c r="W8" s="787">
        <f t="shared" si="2"/>
        <v>6.8336049786620084E-2</v>
      </c>
      <c r="X8" s="678">
        <f t="shared" si="3"/>
        <v>-5.2873047307913923E-3</v>
      </c>
      <c r="Y8" s="678"/>
      <c r="Z8" s="678"/>
      <c r="AA8" s="455">
        <f t="shared" si="4"/>
        <v>6.2909676555842037E-2</v>
      </c>
    </row>
    <row r="9" spans="1:37" ht="15.75">
      <c r="A9" s="781">
        <v>1997</v>
      </c>
      <c r="B9" s="782">
        <f>('Cuenta Ahorro-Inversión-Financi'!S13-'Cuenta Ahorro-Inversión-Financi'!U13)/1000/'PIB corriente base 1993'!V12</f>
        <v>2.8181988867876529E-2</v>
      </c>
      <c r="C9" s="782">
        <f>'Cuenta Ahorro-Inversión-Financi'!G46</f>
        <v>2.008539468875652E-2</v>
      </c>
      <c r="D9" s="782">
        <f>'Cuenta Ahorro-Inversión-Financi'!L46</f>
        <v>1.2286423141515632E-2</v>
      </c>
      <c r="E9" s="782">
        <f>'Cuenta Ahorro-Inversión-Financi'!H46</f>
        <v>1.0830390046298377E-4</v>
      </c>
      <c r="F9" s="782"/>
      <c r="G9" s="782"/>
      <c r="H9" s="782">
        <f>('Cuenta Ahorro-Inversión-Financi'!AG13-SUM('Cuenta Ahorro-Inversión-Financi'!AH13:AL13))/1000/'PIB corriente base 1993'!V12</f>
        <v>2.2414038883355279E-3</v>
      </c>
      <c r="I9" s="782"/>
      <c r="J9" s="782">
        <f t="shared" si="0"/>
        <v>6.0662110598611665E-2</v>
      </c>
      <c r="L9" s="788">
        <v>1997</v>
      </c>
      <c r="M9" s="784">
        <f>'Cuenta Ahorro-Inversión-Financi'!R46</f>
        <v>5.0065966686067401E-2</v>
      </c>
      <c r="N9" s="784">
        <f t="shared" si="1"/>
        <v>5.3990300658729477E-3</v>
      </c>
      <c r="O9" s="784"/>
      <c r="P9" s="784">
        <f>'Cuenta Ahorro-Inversión-Financi'!AX13/1000/'PIB corriente base 1993'!V12+V9</f>
        <v>1.13559901995312E-3</v>
      </c>
      <c r="Q9" s="784">
        <f>'Cuenta Ahorro-Inversión-Financi'!AV46</f>
        <v>7.21746011483045E-3</v>
      </c>
      <c r="R9" s="784"/>
      <c r="S9" s="784"/>
      <c r="T9" s="784"/>
      <c r="U9" s="784">
        <f>'Cuenta Ahorro-Inversión-Financi'!T46</f>
        <v>5.3990300658729477E-3</v>
      </c>
      <c r="V9" s="784">
        <f>'Cuenta Ahorro-Inversión-Financi'!BB13/1000/'PIB corriente base 1993'!V12</f>
        <v>2.9525299181114268E-4</v>
      </c>
      <c r="W9" s="784">
        <f t="shared" si="2"/>
        <v>6.3818055886723929E-2</v>
      </c>
      <c r="X9" s="675">
        <f t="shared" si="3"/>
        <v>-3.1559452881122635E-3</v>
      </c>
      <c r="Y9" s="675"/>
      <c r="Z9" s="675"/>
      <c r="AA9" s="455">
        <f t="shared" si="4"/>
        <v>5.8917273271775282E-2</v>
      </c>
    </row>
    <row r="10" spans="1:37" ht="15.75">
      <c r="A10" s="781">
        <v>1998</v>
      </c>
      <c r="B10" s="787">
        <f>('Cuenta Ahorro-Inversión-Financi'!S14-'Cuenta Ahorro-Inversión-Financi'!U14)/1000/'PIB corriente base 1993'!V13</f>
        <v>2.6496521923346422E-2</v>
      </c>
      <c r="C10" s="787">
        <f>'Cuenta Ahorro-Inversión-Financi'!G47</f>
        <v>2.1257840347759106E-2</v>
      </c>
      <c r="D10" s="787">
        <f>'Cuenta Ahorro-Inversión-Financi'!L47</f>
        <v>1.2703332712976441E-2</v>
      </c>
      <c r="E10" s="787">
        <f>'Cuenta Ahorro-Inversión-Financi'!H47</f>
        <v>4.8496305148205421E-5</v>
      </c>
      <c r="F10" s="787"/>
      <c r="G10" s="787"/>
      <c r="H10" s="787">
        <f>('Cuenta Ahorro-Inversión-Financi'!AG14-SUM('Cuenta Ahorro-Inversión-Financi'!AH14:AL14))/1000/'PIB corriente base 1993'!V13</f>
        <v>5.5918188215259819E-3</v>
      </c>
      <c r="I10" s="787"/>
      <c r="J10" s="787">
        <f t="shared" si="0"/>
        <v>6.0506191289230175E-2</v>
      </c>
      <c r="L10" s="788">
        <v>1998</v>
      </c>
      <c r="M10" s="787">
        <f>'Cuenta Ahorro-Inversión-Financi'!R47</f>
        <v>4.9190355547857903E-2</v>
      </c>
      <c r="N10" s="787">
        <f t="shared" si="1"/>
        <v>4.7703499305596919E-3</v>
      </c>
      <c r="O10" s="787"/>
      <c r="P10" s="787">
        <f>'Cuenta Ahorro-Inversión-Financi'!AX14/1000/'PIB corriente base 1993'!V13+V10</f>
        <v>1.0248131568665125E-3</v>
      </c>
      <c r="Q10" s="787">
        <f>'Cuenta Ahorro-Inversión-Financi'!AV47</f>
        <v>8.1807347779316829E-3</v>
      </c>
      <c r="R10" s="787"/>
      <c r="S10" s="787"/>
      <c r="T10" s="787"/>
      <c r="U10" s="787">
        <f>'Cuenta Ahorro-Inversión-Financi'!T47</f>
        <v>4.7703499305596919E-3</v>
      </c>
      <c r="V10" s="787">
        <f>'Cuenta Ahorro-Inversión-Financi'!BB14/1000/'PIB corriente base 1993'!V13</f>
        <v>2.4981342450307558E-4</v>
      </c>
      <c r="W10" s="787">
        <f t="shared" si="2"/>
        <v>6.31662534132158E-2</v>
      </c>
      <c r="X10" s="678">
        <f t="shared" si="3"/>
        <v>-2.6600621239856251E-3</v>
      </c>
      <c r="Y10" s="678"/>
      <c r="Z10" s="678"/>
      <c r="AA10" s="455">
        <f t="shared" si="4"/>
        <v>5.7713266614445986E-2</v>
      </c>
    </row>
    <row r="11" spans="1:37" ht="15.75">
      <c r="A11" s="781">
        <v>1999</v>
      </c>
      <c r="B11" s="782">
        <f>('Cuenta Ahorro-Inversión-Financi'!S15-'Cuenta Ahorro-Inversión-Financi'!U15)/1000/'PIB corriente base 1993'!V14</f>
        <v>2.4905564668713822E-2</v>
      </c>
      <c r="C11" s="782">
        <f>'Cuenta Ahorro-Inversión-Financi'!G48</f>
        <v>2.1430330231537533E-2</v>
      </c>
      <c r="D11" s="782">
        <f>'Cuenta Ahorro-Inversión-Financi'!L48</f>
        <v>1.3059061033359248E-2</v>
      </c>
      <c r="E11" s="782">
        <f>'Cuenta Ahorro-Inversión-Financi'!H48</f>
        <v>8.9008900038115067E-6</v>
      </c>
      <c r="F11" s="782"/>
      <c r="G11" s="782"/>
      <c r="H11" s="782">
        <f>('Cuenta Ahorro-Inversión-Financi'!AG15-SUM('Cuenta Ahorro-Inversión-Financi'!AH15:AL15))/1000/'PIB corriente base 1993'!V14</f>
        <v>1.1485564688022469E-2</v>
      </c>
      <c r="I11" s="782"/>
      <c r="J11" s="782">
        <f t="shared" si="0"/>
        <v>5.9403856823614418E-2</v>
      </c>
      <c r="L11" s="788">
        <v>1999</v>
      </c>
      <c r="M11" s="784">
        <f>'Cuenta Ahorro-Inversión-Financi'!R48</f>
        <v>5.1749690321129138E-2</v>
      </c>
      <c r="N11" s="784">
        <f t="shared" si="1"/>
        <v>5.8732282382241395E-3</v>
      </c>
      <c r="O11" s="784"/>
      <c r="P11" s="784">
        <f>'Cuenta Ahorro-Inversión-Financi'!AX15/1000/'PIB corriente base 1993'!V14+V11</f>
        <v>8.5904797363688221E-4</v>
      </c>
      <c r="Q11" s="784">
        <f>'Cuenta Ahorro-Inversión-Financi'!AV48</f>
        <v>8.6815783052517515E-3</v>
      </c>
      <c r="R11" s="784"/>
      <c r="S11" s="784"/>
      <c r="T11" s="784"/>
      <c r="U11" s="784">
        <f>'Cuenta Ahorro-Inversión-Financi'!T48</f>
        <v>5.8732282382241395E-3</v>
      </c>
      <c r="V11" s="784">
        <f>'Cuenta Ahorro-Inversión-Financi'!BB15/1000/'PIB corriente base 1993'!V14</f>
        <v>1.4226553820457729E-5</v>
      </c>
      <c r="W11" s="784">
        <f t="shared" si="2"/>
        <v>6.7163544838241912E-2</v>
      </c>
      <c r="X11" s="675">
        <f t="shared" si="3"/>
        <v>-7.7596880146274944E-3</v>
      </c>
      <c r="Y11" s="675"/>
      <c r="Z11" s="675"/>
      <c r="AA11" s="455">
        <f t="shared" si="4"/>
        <v>6.1337169002279486E-2</v>
      </c>
    </row>
    <row r="12" spans="1:37" ht="15.75">
      <c r="A12" s="781">
        <v>2000</v>
      </c>
      <c r="B12" s="787">
        <f>('Cuenta Ahorro-Inversión-Financi'!S16-'Cuenta Ahorro-Inversión-Financi'!U16)/1000/'PIB corriente base 1993'!V15</f>
        <v>2.36198765665383E-2</v>
      </c>
      <c r="C12" s="787">
        <f>'Cuenta Ahorro-Inversión-Financi'!G49</f>
        <v>2.3556870770297954E-2</v>
      </c>
      <c r="D12" s="787">
        <f>'Cuenta Ahorro-Inversión-Financi'!L49</f>
        <v>1.3248290446669314E-2</v>
      </c>
      <c r="E12" s="787">
        <f>'Cuenta Ahorro-Inversión-Financi'!H49</f>
        <v>5.0805813937639194E-6</v>
      </c>
      <c r="F12" s="787"/>
      <c r="G12" s="787"/>
      <c r="H12" s="787">
        <f>('Cuenta Ahorro-Inversión-Financi'!AG16-SUM('Cuenta Ahorro-Inversión-Financi'!AH16:AL16))/1000/'PIB corriente base 1993'!V15</f>
        <v>8.0484713432928175E-3</v>
      </c>
      <c r="I12" s="787"/>
      <c r="J12" s="787">
        <f t="shared" si="0"/>
        <v>6.0430118364899338E-2</v>
      </c>
      <c r="L12" s="788">
        <v>2000</v>
      </c>
      <c r="M12" s="787">
        <f>'Cuenta Ahorro-Inversión-Financi'!R49</f>
        <v>5.1850130065835651E-2</v>
      </c>
      <c r="N12" s="787">
        <f t="shared" si="1"/>
        <v>6.1308401763183794E-3</v>
      </c>
      <c r="O12" s="787"/>
      <c r="P12" s="787">
        <f>'Cuenta Ahorro-Inversión-Financi'!AX16/1000/'PIB corriente base 1993'!V15+V12</f>
        <v>7.6389914743401916E-4</v>
      </c>
      <c r="Q12" s="787">
        <f>'Cuenta Ahorro-Inversión-Financi'!AV49</f>
        <v>8.4237934290853547E-3</v>
      </c>
      <c r="R12" s="787"/>
      <c r="S12" s="787"/>
      <c r="T12" s="787"/>
      <c r="U12" s="787">
        <f>'Cuenta Ahorro-Inversión-Financi'!T49</f>
        <v>6.1308401763183794E-3</v>
      </c>
      <c r="V12" s="787">
        <f>'Cuenta Ahorro-Inversión-Financi'!BB16/1000/'PIB corriente base 1993'!V15</f>
        <v>5.9816243238026127E-6</v>
      </c>
      <c r="W12" s="787">
        <f t="shared" si="2"/>
        <v>6.7168662818673411E-2</v>
      </c>
      <c r="X12" s="678">
        <f t="shared" si="3"/>
        <v>-6.738544453774073E-3</v>
      </c>
      <c r="Y12" s="678"/>
      <c r="Z12" s="678"/>
      <c r="AA12" s="455">
        <f t="shared" si="4"/>
        <v>6.1827676330738393E-2</v>
      </c>
    </row>
    <row r="13" spans="1:37" ht="15.75">
      <c r="A13" s="781">
        <v>2001</v>
      </c>
      <c r="B13" s="782">
        <f>('Cuenta Ahorro-Inversión-Financi'!S17-'Cuenta Ahorro-Inversión-Financi'!U17)/1000/'PIB corriente base 1993'!V16</f>
        <v>2.387586963380494E-2</v>
      </c>
      <c r="C13" s="782">
        <f>'Cuenta Ahorro-Inversión-Financi'!G50</f>
        <v>2.144577363317738E-2</v>
      </c>
      <c r="D13" s="782">
        <f>'Cuenta Ahorro-Inversión-Financi'!L50</f>
        <v>1.2445044343194066E-2</v>
      </c>
      <c r="E13" s="782">
        <f>'Cuenta Ahorro-Inversión-Financi'!H50</f>
        <v>1.2795037999963891E-6</v>
      </c>
      <c r="F13" s="782"/>
      <c r="G13" s="782"/>
      <c r="H13" s="782">
        <f>('Cuenta Ahorro-Inversión-Financi'!AG17-SUM('Cuenta Ahorro-Inversión-Financi'!AH17:AL17))/1000/'PIB corriente base 1993'!V16</f>
        <v>1.1697903302661466E-2</v>
      </c>
      <c r="I13" s="782"/>
      <c r="J13" s="782">
        <f t="shared" si="0"/>
        <v>5.776796711397638E-2</v>
      </c>
      <c r="L13" s="788">
        <v>2001</v>
      </c>
      <c r="M13" s="784">
        <f>'Cuenta Ahorro-Inversión-Financi'!R50</f>
        <v>5.2521530825534735E-2</v>
      </c>
      <c r="N13" s="784">
        <f t="shared" si="1"/>
        <v>6.2166992059071212E-3</v>
      </c>
      <c r="O13" s="784"/>
      <c r="P13" s="784">
        <f>'Cuenta Ahorro-Inversión-Financi'!AX17/1000/'PIB corriente base 1993'!V16+V13</f>
        <v>6.8849236067155802E-4</v>
      </c>
      <c r="Q13" s="784">
        <f>'Cuenta Ahorro-Inversión-Financi'!AV50</f>
        <v>8.5061734591231671E-3</v>
      </c>
      <c r="R13" s="784"/>
      <c r="S13" s="784"/>
      <c r="T13" s="784"/>
      <c r="U13" s="784">
        <f>'Cuenta Ahorro-Inversión-Financi'!T50</f>
        <v>6.2166992059071212E-3</v>
      </c>
      <c r="V13" s="784">
        <f>'Cuenta Ahorro-Inversión-Financi'!BB17/1000/'PIB corriente base 1993'!V16</f>
        <v>7.225618834048848E-8</v>
      </c>
      <c r="W13" s="784">
        <f t="shared" si="2"/>
        <v>6.7932895851236588E-2</v>
      </c>
      <c r="X13" s="675">
        <f t="shared" si="3"/>
        <v>-1.0164928737260208E-2</v>
      </c>
      <c r="Y13" s="675"/>
      <c r="Z13" s="675"/>
      <c r="AA13" s="455">
        <f t="shared" si="4"/>
        <v>6.2657195657475642E-2</v>
      </c>
      <c r="AD13" s="1">
        <f t="shared" ref="AD13:AD22" si="5">AD14-1</f>
        <v>1993</v>
      </c>
      <c r="AE13" s="789">
        <f>'Cuenta Ahorro-Inversión-Financi'!CK9/AG13</f>
        <v>9.071336919208512E-4</v>
      </c>
      <c r="AG13" s="642">
        <f>1000*'PIB corriente base 1993'!V8</f>
        <v>236504980.622767</v>
      </c>
      <c r="AI13" s="790">
        <f t="shared" ref="AI13:AI22" si="6">AI14-1</f>
        <v>1993</v>
      </c>
      <c r="AJ13" s="791">
        <f>M35+N35-AE13+O35-'Cuenta Ahorro-Inversión-Financi'!CI9/1000/'PIB corriente base 1993'!V8+Q35</f>
        <v>6.4279396891511187E-2</v>
      </c>
      <c r="AK13" s="792">
        <f t="shared" ref="AK13:AK38" si="7">B69-AJ13</f>
        <v>-1.8926563978962148E-2</v>
      </c>
    </row>
    <row r="14" spans="1:37" ht="15.75">
      <c r="A14" s="781">
        <v>2002</v>
      </c>
      <c r="B14" s="787">
        <f>('Cuenta Ahorro-Inversión-Financi'!S18-'Cuenta Ahorro-Inversión-Financi'!U18)/1000/'PIB corriente base 1993'!V17</f>
        <v>2.0451199643396614E-2</v>
      </c>
      <c r="C14" s="787">
        <f>'Cuenta Ahorro-Inversión-Financi'!G51</f>
        <v>1.7055519971740474E-2</v>
      </c>
      <c r="D14" s="787">
        <f>'Cuenta Ahorro-Inversión-Financi'!L51</f>
        <v>9.6369580470071613E-3</v>
      </c>
      <c r="E14" s="787">
        <f>'Cuenta Ahorro-Inversión-Financi'!H51</f>
        <v>1.7183089538788257E-5</v>
      </c>
      <c r="F14" s="787"/>
      <c r="G14" s="787"/>
      <c r="H14" s="787">
        <f>('Cuenta Ahorro-Inversión-Financi'!AG18-SUM('Cuenta Ahorro-Inversión-Financi'!AH18:AL18))/1000/'PIB corriente base 1993'!V17</f>
        <v>1.3770862410291317E-2</v>
      </c>
      <c r="I14" s="787"/>
      <c r="J14" s="787">
        <f t="shared" si="0"/>
        <v>4.7160860751683041E-2</v>
      </c>
      <c r="L14" s="788">
        <v>2002</v>
      </c>
      <c r="M14" s="787">
        <f>'Cuenta Ahorro-Inversión-Financi'!R51</f>
        <v>4.4342162747713201E-2</v>
      </c>
      <c r="N14" s="787">
        <f t="shared" si="1"/>
        <v>6.7859175547552945E-3</v>
      </c>
      <c r="O14" s="787"/>
      <c r="P14" s="787">
        <f>'Cuenta Ahorro-Inversión-Financi'!AX18/1000/'PIB corriente base 1993'!V17+V14</f>
        <v>6.741155799202933E-4</v>
      </c>
      <c r="Q14" s="787">
        <f>'Cuenta Ahorro-Inversión-Financi'!AV51</f>
        <v>6.7987279389676355E-3</v>
      </c>
      <c r="R14" s="787"/>
      <c r="S14" s="787"/>
      <c r="T14" s="787"/>
      <c r="U14" s="787">
        <f>'Cuenta Ahorro-Inversión-Financi'!T51</f>
        <v>6.7859175547552945E-3</v>
      </c>
      <c r="V14" s="787">
        <f>'Cuenta Ahorro-Inversión-Financi'!BB18/1000/'PIB corriente base 1993'!V17</f>
        <v>0</v>
      </c>
      <c r="W14" s="787">
        <f t="shared" si="2"/>
        <v>5.8600923821356427E-2</v>
      </c>
      <c r="X14" s="678">
        <f t="shared" si="3"/>
        <v>-1.1440063069673385E-2</v>
      </c>
      <c r="Y14" s="678"/>
      <c r="Z14" s="678"/>
      <c r="AA14" s="455">
        <f t="shared" si="4"/>
        <v>5.3996647101646075E-2</v>
      </c>
      <c r="AD14" s="1">
        <f t="shared" si="5"/>
        <v>1994</v>
      </c>
      <c r="AE14" s="789">
        <f>'Cuenta Ahorro-Inversión-Financi'!CK10/AG14</f>
        <v>1.7735952930548829E-3</v>
      </c>
      <c r="AG14" s="642">
        <f>1000*'PIB corriente base 1993'!V9</f>
        <v>257439959.357104</v>
      </c>
      <c r="AI14" s="790">
        <f t="shared" si="6"/>
        <v>1994</v>
      </c>
      <c r="AJ14" s="791">
        <f>M36+N36-AE14+O36-'Cuenta Ahorro-Inversión-Financi'!CI10/1000/'PIB corriente base 1993'!V9+Q36</f>
        <v>6.8900447324128769E-2</v>
      </c>
      <c r="AK14" s="792">
        <f t="shared" si="7"/>
        <v>-2.7659806253980047E-2</v>
      </c>
    </row>
    <row r="15" spans="1:37" ht="15.75">
      <c r="A15" s="781">
        <v>2003</v>
      </c>
      <c r="B15" s="782">
        <f>'Cuenta Ahorro-Inversión-Financi'!F52</f>
        <v>2.0472673983102898E-2</v>
      </c>
      <c r="C15" s="782">
        <f>'Cuenta Ahorro-Inversión-Financi'!G52</f>
        <v>1.9855391614481178E-2</v>
      </c>
      <c r="D15" s="782">
        <f>'Cuenta Ahorro-Inversión-Financi'!L52</f>
        <v>1.1802672712088739E-2</v>
      </c>
      <c r="E15" s="782">
        <f>'Cuenta Ahorro-Inversión-Financi'!H52</f>
        <v>5.4597090170212923E-6</v>
      </c>
      <c r="F15" s="782"/>
      <c r="G15" s="782"/>
      <c r="H15" s="782">
        <f>('Cuenta Ahorro-Inversión-Financi'!AG19-SUM('Cuenta Ahorro-Inversión-Financi'!AH19:AL19))/1000/'PIB corriente base 1993'!V18</f>
        <v>7.9385508089974081E-3</v>
      </c>
      <c r="I15" s="782"/>
      <c r="J15" s="782">
        <f t="shared" si="0"/>
        <v>5.2136198018689829E-2</v>
      </c>
      <c r="L15" s="788">
        <v>2003</v>
      </c>
      <c r="M15" s="784">
        <f>'Cuenta Ahorro-Inversión-Financi'!R52</f>
        <v>4.1415509916904091E-2</v>
      </c>
      <c r="N15" s="784">
        <f t="shared" si="1"/>
        <v>8.1561711866091641E-3</v>
      </c>
      <c r="O15" s="784"/>
      <c r="P15" s="784">
        <f>'Cuenta Ahorro-Inversión-Financi'!AX19/1000/'PIB corriente base 1993'!V18+V15</f>
        <v>6.9561124327544065E-4</v>
      </c>
      <c r="Q15" s="784">
        <f>'Cuenta Ahorro-Inversión-Financi'!AV52</f>
        <v>6.7961754609359255E-3</v>
      </c>
      <c r="R15" s="784"/>
      <c r="S15" s="784"/>
      <c r="T15" s="784"/>
      <c r="U15" s="784">
        <f>'Cuenta Ahorro-Inversión-Financi'!T52</f>
        <v>8.1561711866091641E-3</v>
      </c>
      <c r="V15" s="784">
        <f>'Cuenta Ahorro-Inversión-Financi'!BB19/1000/'PIB corriente base 1993'!V18</f>
        <v>1.3053174977524625E-5</v>
      </c>
      <c r="W15" s="784">
        <f t="shared" si="2"/>
        <v>5.7063467807724616E-2</v>
      </c>
      <c r="X15" s="675">
        <f t="shared" si="3"/>
        <v>-4.9272697890347869E-3</v>
      </c>
      <c r="Y15" s="675"/>
      <c r="Z15" s="675"/>
      <c r="AA15" s="455">
        <f t="shared" si="4"/>
        <v>5.2445004155716519E-2</v>
      </c>
      <c r="AD15" s="1">
        <f t="shared" si="5"/>
        <v>1995</v>
      </c>
      <c r="AE15" s="789">
        <f>'Cuenta Ahorro-Inversión-Financi'!CK11/AG15</f>
        <v>2.0345627827823599E-3</v>
      </c>
      <c r="AG15" s="642">
        <f>1000*'PIB corriente base 1993'!V10</f>
        <v>258031885.033335</v>
      </c>
      <c r="AI15" s="790">
        <f t="shared" si="6"/>
        <v>1995</v>
      </c>
      <c r="AJ15" s="791">
        <f>M37+N37-AE15+O37-'Cuenta Ahorro-Inversión-Financi'!CI11/1000/'PIB corriente base 1993'!V10+Q37</f>
        <v>5.9000550282742051E-2</v>
      </c>
      <c r="AK15" s="792">
        <f t="shared" si="7"/>
        <v>-2.2284266056449391E-2</v>
      </c>
    </row>
    <row r="16" spans="1:37" ht="15.75">
      <c r="A16" s="781">
        <v>2004</v>
      </c>
      <c r="B16" s="787">
        <f>'Cuenta Ahorro-Inversión-Financi'!F53</f>
        <v>1.9858383068615145E-2</v>
      </c>
      <c r="C16" s="787">
        <f>'Cuenta Ahorro-Inversión-Financi'!G53</f>
        <v>2.1674207616184295E-2</v>
      </c>
      <c r="D16" s="787">
        <f>'Cuenta Ahorro-Inversión-Financi'!L53</f>
        <v>1.3324283644975191E-2</v>
      </c>
      <c r="E16" s="787">
        <f>'Cuenta Ahorro-Inversión-Financi'!H53</f>
        <v>2.3088096995920518E-5</v>
      </c>
      <c r="F16" s="787"/>
      <c r="G16" s="787"/>
      <c r="H16" s="787">
        <f>('Cuenta Ahorro-Inversión-Financi'!AG20-SUM('Cuenta Ahorro-Inversión-Financi'!AH20:AL20))/1000/'PIB corriente base 2004'!X8</f>
        <v>-3.0840825992267836E-4</v>
      </c>
      <c r="I16" s="787"/>
      <c r="J16" s="787">
        <f t="shared" si="0"/>
        <v>5.4879962426770554E-2</v>
      </c>
      <c r="L16" s="788">
        <v>2004</v>
      </c>
      <c r="M16" s="787">
        <f>'Cuenta Ahorro-Inversión-Financi'!R53</f>
        <v>3.6705436096271957E-2</v>
      </c>
      <c r="N16" s="787">
        <f t="shared" si="1"/>
        <v>6.012535225050874E-3</v>
      </c>
      <c r="O16" s="787">
        <f>'Cuenta Ahorro-Inversión-Financi'!BR20/1000/'PIB corriente base 2004'!X8</f>
        <v>1.4784185938701185E-3</v>
      </c>
      <c r="P16" s="787">
        <f>'Cuenta Ahorro-Inversión-Financi'!AX20/1000/'PIB corriente base 2004'!X8+V16</f>
        <v>6.201748342075749E-4</v>
      </c>
      <c r="Q16" s="787">
        <f>'Cuenta Ahorro-Inversión-Financi'!AV53</f>
        <v>6.2422259511127967E-3</v>
      </c>
      <c r="R16" s="787"/>
      <c r="S16" s="787"/>
      <c r="T16" s="787"/>
      <c r="U16" s="787">
        <f>'Cuenta Ahorro-Inversión-Financi'!T53</f>
        <v>7.4909538189209925E-3</v>
      </c>
      <c r="V16" s="787">
        <f>'Cuenta Ahorro-Inversión-Financi'!BB20/1000/'PIB corriente base 2004'!X8</f>
        <v>1.746030722621639E-5</v>
      </c>
      <c r="W16" s="787">
        <f t="shared" si="2"/>
        <v>5.1058790700513314E-2</v>
      </c>
      <c r="X16" s="678">
        <f t="shared" si="3"/>
        <v>3.8211717262572401E-3</v>
      </c>
      <c r="Y16" s="678"/>
      <c r="Z16" s="678"/>
      <c r="AA16" s="455">
        <f t="shared" si="4"/>
        <v>4.7409752251048994E-2</v>
      </c>
      <c r="AD16" s="1">
        <f t="shared" si="5"/>
        <v>1996</v>
      </c>
      <c r="AE16" s="789">
        <f>'Cuenta Ahorro-Inversión-Financi'!CK12/AG16</f>
        <v>1.7735251951047242E-3</v>
      </c>
      <c r="AG16" s="642">
        <f>1000*'PIB corriente base 1993'!V11</f>
        <v>272149757.811306</v>
      </c>
      <c r="AI16" s="790">
        <f t="shared" si="6"/>
        <v>1996</v>
      </c>
      <c r="AJ16" s="791">
        <f>M38+N38-AE16+O38-'Cuenta Ahorro-Inversión-Financi'!CI12/1000/'PIB corriente base 1993'!V11+Q38</f>
        <v>6.1136151360737308E-2</v>
      </c>
      <c r="AK16" s="792">
        <f t="shared" si="7"/>
        <v>-2.4751475476272364E-2</v>
      </c>
    </row>
    <row r="17" spans="1:37" ht="15.75">
      <c r="A17" s="781">
        <v>2005</v>
      </c>
      <c r="B17" s="782">
        <f>'Cuenta Ahorro-Inversión-Financi'!F54</f>
        <v>2.142497776030532E-2</v>
      </c>
      <c r="C17" s="782">
        <f>'Cuenta Ahorro-Inversión-Financi'!G54</f>
        <v>2.1947140589457386E-2</v>
      </c>
      <c r="D17" s="782">
        <f>'Cuenta Ahorro-Inversión-Financi'!L54</f>
        <v>1.3961831821235454E-2</v>
      </c>
      <c r="E17" s="782">
        <f>'Cuenta Ahorro-Inversión-Financi'!H54</f>
        <v>6.6475850715056454E-5</v>
      </c>
      <c r="F17" s="782"/>
      <c r="G17" s="782"/>
      <c r="H17" s="782">
        <f>('Cuenta Ahorro-Inversión-Financi'!AG21-SUM('Cuenta Ahorro-Inversión-Financi'!AH21:AL21))/1000/'PIB corriente base 2004'!X9</f>
        <v>-2.2335882915916267E-5</v>
      </c>
      <c r="I17" s="782"/>
      <c r="J17" s="782">
        <f t="shared" si="0"/>
        <v>5.7400426021713219E-2</v>
      </c>
      <c r="L17" s="788">
        <v>2005</v>
      </c>
      <c r="M17" s="784">
        <f>'Cuenta Ahorro-Inversión-Financi'!R54</f>
        <v>3.4550591268011556E-2</v>
      </c>
      <c r="N17" s="784">
        <f t="shared" si="1"/>
        <v>7.1714132424585859E-3</v>
      </c>
      <c r="O17" s="784">
        <f>'Cuenta Ahorro-Inversión-Financi'!BR21/1000/'PIB corriente base 2004'!X9</f>
        <v>1.3544936722025961E-3</v>
      </c>
      <c r="P17" s="784">
        <f>'Cuenta Ahorro-Inversión-Financi'!AX21/1000/'PIB corriente base 2004'!X9+V17</f>
        <v>7.7527622947488732E-4</v>
      </c>
      <c r="Q17" s="784">
        <f>'Cuenta Ahorro-Inversión-Financi'!AV54</f>
        <v>5.9711153834111769E-3</v>
      </c>
      <c r="R17" s="784"/>
      <c r="S17" s="784"/>
      <c r="T17" s="784"/>
      <c r="U17" s="784">
        <f>'Cuenta Ahorro-Inversión-Financi'!T54</f>
        <v>8.5259069146611816E-3</v>
      </c>
      <c r="V17" s="784">
        <f>'Cuenta Ahorro-Inversión-Financi'!BB21/1000/'PIB corriente base 2004'!X9</f>
        <v>1.4319578952121653E-5</v>
      </c>
      <c r="W17" s="784">
        <f t="shared" si="2"/>
        <v>4.9822889795558808E-2</v>
      </c>
      <c r="X17" s="675">
        <f t="shared" si="3"/>
        <v>7.5775362261544105E-3</v>
      </c>
      <c r="Y17" s="675"/>
      <c r="Z17" s="675"/>
      <c r="AA17" s="455">
        <f t="shared" si="4"/>
        <v>4.6407345964366409E-2</v>
      </c>
      <c r="AD17" s="1">
        <f t="shared" si="5"/>
        <v>1997</v>
      </c>
      <c r="AE17" s="789">
        <f>'Cuenta Ahorro-Inversión-Financi'!CK13/AG17</f>
        <v>1.5861882319083086E-3</v>
      </c>
      <c r="AG17" s="642">
        <f>1000*'PIB corriente base 1993'!V12</f>
        <v>292858877.32954299</v>
      </c>
      <c r="AI17" s="790">
        <f t="shared" si="6"/>
        <v>1997</v>
      </c>
      <c r="AJ17" s="791">
        <f>M39+N39-AE17+O39-'Cuenta Ahorro-Inversión-Financi'!CI13/1000/'PIB corriente base 1993'!V12+Q39</f>
        <v>5.7331085039866975E-2</v>
      </c>
      <c r="AK17" s="792">
        <f t="shared" si="7"/>
        <v>-2.9149096171990446E-2</v>
      </c>
    </row>
    <row r="18" spans="1:37" ht="15.75">
      <c r="A18" s="781">
        <v>2006</v>
      </c>
      <c r="B18" s="787">
        <f>'Cuenta Ahorro-Inversión-Financi'!F55</f>
        <v>2.525758774444406E-2</v>
      </c>
      <c r="C18" s="787">
        <f>'Cuenta Ahorro-Inversión-Financi'!G55</f>
        <v>2.1219679943127439E-2</v>
      </c>
      <c r="D18" s="787">
        <f>'Cuenta Ahorro-Inversión-Financi'!L55</f>
        <v>1.4113123533386727E-2</v>
      </c>
      <c r="E18" s="787">
        <f>'Cuenta Ahorro-Inversión-Financi'!H55</f>
        <v>4.0142879943149833E-4</v>
      </c>
      <c r="F18" s="787"/>
      <c r="G18" s="787"/>
      <c r="H18" s="787">
        <f>('Cuenta Ahorro-Inversión-Financi'!AG22-SUM('Cuenta Ahorro-Inversión-Financi'!AH22:AL22))/1000/'PIB corriente base 2004'!X10</f>
        <v>6.3911582522232536E-5</v>
      </c>
      <c r="I18" s="787"/>
      <c r="J18" s="787">
        <f t="shared" si="0"/>
        <v>6.0991820020389727E-2</v>
      </c>
      <c r="L18" s="788">
        <v>2006</v>
      </c>
      <c r="M18" s="787">
        <f>'Cuenta Ahorro-Inversión-Financi'!R55</f>
        <v>3.6841887116250548E-2</v>
      </c>
      <c r="N18" s="787">
        <f t="shared" si="1"/>
        <v>6.4501306174308062E-3</v>
      </c>
      <c r="O18" s="787">
        <f>'Cuenta Ahorro-Inversión-Financi'!BR22/1000/'PIB corriente base 2004'!X10</f>
        <v>1.4208986349060009E-3</v>
      </c>
      <c r="P18" s="787">
        <f>'Cuenta Ahorro-Inversión-Financi'!AX22/1000/'PIB corriente base 2004'!X10+V18</f>
        <v>8.3738426362242894E-4</v>
      </c>
      <c r="Q18" s="787">
        <f>'Cuenta Ahorro-Inversión-Financi'!AV55</f>
        <v>6.2637242419292328E-3</v>
      </c>
      <c r="R18" s="787"/>
      <c r="S18" s="787"/>
      <c r="T18" s="787"/>
      <c r="U18" s="787">
        <f>'Cuenta Ahorro-Inversión-Financi'!T55</f>
        <v>7.8710292523368076E-3</v>
      </c>
      <c r="V18" s="787">
        <f>'Cuenta Ahorro-Inversión-Financi'!BB22/1000/'PIB corriente base 2004'!X10</f>
        <v>3.8839929160720678E-6</v>
      </c>
      <c r="W18" s="787">
        <f t="shared" si="2"/>
        <v>5.1814024874139011E-2</v>
      </c>
      <c r="X18" s="678">
        <f t="shared" si="3"/>
        <v>9.1777951462507154E-3</v>
      </c>
      <c r="Y18" s="678"/>
      <c r="Z18" s="678"/>
      <c r="AA18" s="455">
        <f t="shared" si="4"/>
        <v>4.8621669800499152E-2</v>
      </c>
      <c r="AD18" s="1">
        <f t="shared" si="5"/>
        <v>1998</v>
      </c>
      <c r="AE18" s="789">
        <f>'Cuenta Ahorro-Inversión-Financi'!CK14/AG18</f>
        <v>1.9737240235189594E-3</v>
      </c>
      <c r="AG18" s="642">
        <f>1000*'PIB corriente base 1993'!V13</f>
        <v>298948358.55420804</v>
      </c>
      <c r="AI18" s="790">
        <f t="shared" si="6"/>
        <v>1998</v>
      </c>
      <c r="AJ18" s="791">
        <f>M40+N40-AE18+O40-'Cuenta Ahorro-Inversión-Financi'!CI14/1000/'PIB corriente base 1993'!V13+Q40</f>
        <v>5.5739542590927026E-2</v>
      </c>
      <c r="AK18" s="792">
        <f t="shared" si="7"/>
        <v>-2.9243020667580603E-2</v>
      </c>
    </row>
    <row r="19" spans="1:37" ht="15.75">
      <c r="A19" s="781">
        <v>2007</v>
      </c>
      <c r="B19" s="782">
        <f>'Cuenta Ahorro-Inversión-Financi'!F56</f>
        <v>3.8504796638148854E-2</v>
      </c>
      <c r="C19" s="782">
        <f>'Cuenta Ahorro-Inversión-Financi'!G56</f>
        <v>2.0954867995993498E-2</v>
      </c>
      <c r="D19" s="782">
        <f>'Cuenta Ahorro-Inversión-Financi'!L56</f>
        <v>1.4906804729574941E-2</v>
      </c>
      <c r="E19" s="782">
        <f>'Cuenta Ahorro-Inversión-Financi'!H56</f>
        <v>7.3792881718357851E-4</v>
      </c>
      <c r="F19" s="782"/>
      <c r="G19" s="782"/>
      <c r="H19" s="782">
        <f>('Cuenta Ahorro-Inversión-Financi'!AG23-SUM('Cuenta Ahorro-Inversión-Financi'!AH23:AL23))/1000/'PIB corriente base 2004'!X11</f>
        <v>-4.9152714044835038E-7</v>
      </c>
      <c r="I19" s="782"/>
      <c r="J19" s="782">
        <f t="shared" si="0"/>
        <v>7.510439818090088E-2</v>
      </c>
      <c r="K19" s="455"/>
      <c r="L19" s="788">
        <v>2007</v>
      </c>
      <c r="M19" s="784">
        <f>'Cuenta Ahorro-Inversión-Financi'!R56</f>
        <v>4.898085586862494E-2</v>
      </c>
      <c r="N19" s="784">
        <f t="shared" si="1"/>
        <v>5.5903438281324118E-3</v>
      </c>
      <c r="O19" s="784">
        <f>'Cuenta Ahorro-Inversión-Financi'!BR23/1000/'PIB corriente base 2004'!X11</f>
        <v>1.8084480471693978E-3</v>
      </c>
      <c r="P19" s="784">
        <f>'Cuenta Ahorro-Inversión-Financi'!AX23/1000/'PIB corriente base 2004'!X11+V19</f>
        <v>9.3443366631513894E-4</v>
      </c>
      <c r="Q19" s="784">
        <f>'Cuenta Ahorro-Inversión-Financi'!AV56</f>
        <v>6.9437408213559055E-3</v>
      </c>
      <c r="R19" s="784"/>
      <c r="S19" s="784"/>
      <c r="T19" s="784"/>
      <c r="U19" s="784">
        <f>'Cuenta Ahorro-Inversión-Financi'!T56</f>
        <v>7.3987918753018094E-3</v>
      </c>
      <c r="V19" s="784">
        <f>'Cuenta Ahorro-Inversión-Financi'!BB23/1000/'PIB corriente base 2004'!X11</f>
        <v>0</v>
      </c>
      <c r="W19" s="784">
        <f t="shared" si="2"/>
        <v>6.4257822231597789E-2</v>
      </c>
      <c r="X19" s="675">
        <f t="shared" si="3"/>
        <v>1.0846575949303092E-2</v>
      </c>
      <c r="Y19" s="675"/>
      <c r="AA19" s="455">
        <f t="shared" si="4"/>
        <v>6.102686482757419E-2</v>
      </c>
      <c r="AD19" s="1">
        <f t="shared" si="5"/>
        <v>1999</v>
      </c>
      <c r="AE19" s="789">
        <f>'Cuenta Ahorro-Inversión-Financi'!CK15/AG19</f>
        <v>1.8061769444336359E-3</v>
      </c>
      <c r="AG19" s="642">
        <f>1000*'PIB corriente base 1993'!V14</f>
        <v>283523023.98067498</v>
      </c>
      <c r="AI19" s="790">
        <f t="shared" si="6"/>
        <v>1999</v>
      </c>
      <c r="AJ19" s="791">
        <f>M41+N41-AE19+O41-'Cuenta Ahorro-Inversión-Financi'!CI15/1000/'PIB corriente base 1993'!V14+Q41</f>
        <v>5.9530992057845851E-2</v>
      </c>
      <c r="AK19" s="792">
        <f t="shared" si="7"/>
        <v>-3.4625427389132032E-2</v>
      </c>
    </row>
    <row r="20" spans="1:37" ht="15.75">
      <c r="A20" s="781">
        <v>2008</v>
      </c>
      <c r="B20" s="787">
        <f>'Cuenta Ahorro-Inversión-Financi'!F57</f>
        <v>3.685080167369819E-2</v>
      </c>
      <c r="C20" s="787">
        <f>'Cuenta Ahorro-Inversión-Financi'!G57</f>
        <v>2.043922790165011E-2</v>
      </c>
      <c r="D20" s="787">
        <f>'Cuenta Ahorro-Inversión-Financi'!L57</f>
        <v>1.4573037647607418E-2</v>
      </c>
      <c r="E20" s="787">
        <f>'Cuenta Ahorro-Inversión-Financi'!H57</f>
        <v>9.7198055036460665E-4</v>
      </c>
      <c r="F20" s="787"/>
      <c r="G20" s="787"/>
      <c r="H20" s="787">
        <f>('Cuenta Ahorro-Inversión-Financi'!AG24-SUM('Cuenta Ahorro-Inversión-Financi'!AH24:AL24))/1000/'PIB corriente base 2004'!X12</f>
        <v>3.0930256660071542E-4</v>
      </c>
      <c r="I20" s="787"/>
      <c r="J20" s="787">
        <f t="shared" si="0"/>
        <v>7.2835047773320338E-2</v>
      </c>
      <c r="L20" s="788">
        <v>2008</v>
      </c>
      <c r="M20" s="787">
        <f>'Cuenta Ahorro-Inversión-Financi'!R57</f>
        <v>4.837647141777849E-2</v>
      </c>
      <c r="N20" s="787">
        <f t="shared" si="1"/>
        <v>7.1767305900126265E-3</v>
      </c>
      <c r="O20" s="787">
        <f>'Cuenta Ahorro-Inversión-Financi'!BR24/1000/'PIB corriente base 2004'!X12</f>
        <v>1.7582872865716456E-3</v>
      </c>
      <c r="P20" s="787">
        <f>'Cuenta Ahorro-Inversión-Financi'!AX24/1000/'PIB corriente base 2004'!X12+V20</f>
        <v>1.1011291376003744E-3</v>
      </c>
      <c r="Q20" s="787">
        <f>'Cuenta Ahorro-Inversión-Financi'!AV57-R20</f>
        <v>7.5547174932076733E-3</v>
      </c>
      <c r="R20" s="787">
        <f>'Cuenta Ahorro-Inversión-Financi'!Y57</f>
        <v>1.1668965370281548E-3</v>
      </c>
      <c r="S20" s="787"/>
      <c r="T20" s="787"/>
      <c r="U20" s="787">
        <f>'Cuenta Ahorro-Inversión-Financi'!T57</f>
        <v>8.9350178765842721E-3</v>
      </c>
      <c r="V20" s="787">
        <f>'Cuenta Ahorro-Inversión-Financi'!BB24/1000/'PIB corriente base 2004'!X12</f>
        <v>0</v>
      </c>
      <c r="W20" s="787">
        <f t="shared" si="2"/>
        <v>6.7134232462198948E-2</v>
      </c>
      <c r="X20" s="678">
        <f t="shared" si="3"/>
        <v>5.7008153111213905E-3</v>
      </c>
      <c r="Y20" s="678">
        <f t="shared" ref="Y20:Y30" si="8">X20-E20</f>
        <v>4.7288347607567834E-3</v>
      </c>
      <c r="Z20" s="678"/>
      <c r="AA20" s="455">
        <f t="shared" si="4"/>
        <v>6.3834700262846836E-2</v>
      </c>
      <c r="AC20" s="793">
        <f>Y20*(-'PIB corriente base 2004'!X13)</f>
        <v>-5901.2513058584345</v>
      </c>
      <c r="AD20" s="1">
        <f t="shared" si="5"/>
        <v>2000</v>
      </c>
      <c r="AE20" s="789">
        <f>'Cuenta Ahorro-Inversión-Financi'!CK16/AG20</f>
        <v>1.4943820513207066E-3</v>
      </c>
      <c r="AG20" s="642">
        <f>1000*'PIB corriente base 1993'!V15</f>
        <v>284203739.31462198</v>
      </c>
      <c r="AI20" s="790">
        <f t="shared" si="6"/>
        <v>2000</v>
      </c>
      <c r="AJ20" s="791">
        <f>M42+N42-AE20+O42-'Cuenta Ahorro-Inversión-Financi'!CI16/1000/'PIB corriente base 1993'!V15+Q42</f>
        <v>6.0333294279417686E-2</v>
      </c>
      <c r="AK20" s="792">
        <f t="shared" si="7"/>
        <v>-3.6713417712879386E-2</v>
      </c>
    </row>
    <row r="21" spans="1:37" ht="15.75">
      <c r="A21" s="781">
        <v>2009</v>
      </c>
      <c r="B21" s="782">
        <f>'Cuenta Ahorro-Inversión-Financi'!F58</f>
        <v>5.0770137181938908E-2</v>
      </c>
      <c r="C21" s="782">
        <f>'Cuenta Ahorro-Inversión-Financi'!G58</f>
        <v>2.0392118134628833E-2</v>
      </c>
      <c r="D21" s="782">
        <f>'Cuenta Ahorro-Inversión-Financi'!L58</f>
        <v>1.4617359798054395E-2</v>
      </c>
      <c r="E21" s="782">
        <f>'Cuenta Ahorro-Inversión-Financi'!H58</f>
        <v>6.8009570031728585E-3</v>
      </c>
      <c r="F21" s="782"/>
      <c r="G21" s="782"/>
      <c r="H21" s="782">
        <f>('Cuenta Ahorro-Inversión-Financi'!AG25-SUM('Cuenta Ahorro-Inversión-Financi'!AH25:AL25))/1000/'PIB corriente base 2004'!X13</f>
        <v>3.7429630447113779E-4</v>
      </c>
      <c r="I21" s="782"/>
      <c r="J21" s="782">
        <f t="shared" si="0"/>
        <v>9.2580572117794996E-2</v>
      </c>
      <c r="L21" s="788">
        <v>2009</v>
      </c>
      <c r="M21" s="784">
        <f>'Cuenta Ahorro-Inversión-Financi'!R58</f>
        <v>5.6816274557031879E-2</v>
      </c>
      <c r="N21" s="784">
        <f t="shared" si="1"/>
        <v>1.0354874411312815E-2</v>
      </c>
      <c r="O21" s="784">
        <f>'Cuenta Ahorro-Inversión-Financi'!BR25/1000/'PIB corriente base 2004'!X13</f>
        <v>2.0413731238184958E-3</v>
      </c>
      <c r="P21" s="784">
        <f>'Cuenta Ahorro-Inversión-Financi'!AX25/1000/'PIB corriente base 2004'!X13+V21</f>
        <v>1.7812244536541564E-3</v>
      </c>
      <c r="Q21" s="784">
        <f>'Cuenta Ahorro-Inversión-Financi'!AV58-R21</f>
        <v>9.632664602317504E-3</v>
      </c>
      <c r="R21" s="784">
        <f>'Cuenta Ahorro-Inversión-Financi'!Y58</f>
        <v>1.6750269346199568E-3</v>
      </c>
      <c r="S21" s="784"/>
      <c r="T21" s="784"/>
      <c r="U21" s="784">
        <f>'Cuenta Ahorro-Inversión-Financi'!T58</f>
        <v>1.2396247535131312E-2</v>
      </c>
      <c r="V21" s="784">
        <f>'Cuenta Ahorro-Inversión-Financi'!BB25/1000/'PIB corriente base 2004'!X13</f>
        <v>3.4776045951212881E-6</v>
      </c>
      <c r="W21" s="784">
        <f t="shared" si="2"/>
        <v>8.2301438082754808E-2</v>
      </c>
      <c r="X21" s="675">
        <f t="shared" si="3"/>
        <v>1.0279134035040188E-2</v>
      </c>
      <c r="Y21" s="675">
        <f t="shared" si="8"/>
        <v>3.4781770318673298E-3</v>
      </c>
      <c r="Z21" s="675"/>
      <c r="AA21" s="455">
        <f t="shared" si="4"/>
        <v>7.7756187390088508E-2</v>
      </c>
      <c r="AC21" s="793">
        <f>Y21*(-'PIB corriente base 2004'!X14)</f>
        <v>-5779.7595579937506</v>
      </c>
      <c r="AD21" s="1">
        <f t="shared" si="5"/>
        <v>2001</v>
      </c>
      <c r="AE21" s="789">
        <f>'Cuenta Ahorro-Inversión-Financi'!CK17/AG21</f>
        <v>1.3944198256297456E-3</v>
      </c>
      <c r="AG21" s="642">
        <f>1000*'PIB corriente base 1993'!V16</f>
        <v>268696708.83429199</v>
      </c>
      <c r="AI21" s="790">
        <f t="shared" si="6"/>
        <v>2001</v>
      </c>
      <c r="AJ21" s="791">
        <f>M43+N43-AE21+O43-'Cuenta Ahorro-Inversión-Financi'!CI17/1000/'PIB corriente base 1993'!V16+Q43</f>
        <v>6.1262775831845896E-2</v>
      </c>
      <c r="AK21" s="794">
        <f t="shared" si="7"/>
        <v>-3.7386906198040956E-2</v>
      </c>
    </row>
    <row r="22" spans="1:37" ht="15.75">
      <c r="A22" s="781">
        <v>2010</v>
      </c>
      <c r="B22" s="787">
        <f>'Cuenta Ahorro-Inversión-Financi'!F59</f>
        <v>5.0487311577959881E-2</v>
      </c>
      <c r="C22" s="787">
        <f>'Cuenta Ahorro-Inversión-Financi'!G59</f>
        <v>2.0640763106550608E-2</v>
      </c>
      <c r="D22" s="787">
        <f>'Cuenta Ahorro-Inversión-Financi'!AH26/1000/'PIB corriente base 2004'!X14</f>
        <v>1.4744221894204591E-2</v>
      </c>
      <c r="E22" s="787">
        <f>'Cuenta Ahorro-Inversión-Financi'!H59</f>
        <v>5.2443989926986359E-3</v>
      </c>
      <c r="F22" s="787">
        <f>SUM('Cuenta Ahorro-Inversión-Financi'!AI26:AL26)/1000/'PIB corriente base 2004'!X14</f>
        <v>4.7841968382753223E-5</v>
      </c>
      <c r="G22" s="787"/>
      <c r="H22" s="787">
        <f>('Cuenta Ahorro-Inversión-Financi'!AG26-SUM('Cuenta Ahorro-Inversión-Financi'!AH26:AL26))/1000/'PIB corriente base 2004'!X14</f>
        <v>1.4211115778405336E-5</v>
      </c>
      <c r="I22" s="787"/>
      <c r="J22" s="787">
        <f t="shared" si="0"/>
        <v>9.1164537539796475E-2</v>
      </c>
      <c r="L22" s="788">
        <v>2010</v>
      </c>
      <c r="M22" s="787">
        <f>'Cuenta Ahorro-Inversión-Financi'!R59</f>
        <v>5.3172325238802949E-2</v>
      </c>
      <c r="N22" s="787">
        <f t="shared" si="1"/>
        <v>1.3401132173323003E-2</v>
      </c>
      <c r="O22" s="787">
        <f>'Cuenta Ahorro-Inversión-Financi'!BR26/1000/'PIB corriente base 2004'!X14</f>
        <v>1.904159634724085E-3</v>
      </c>
      <c r="P22" s="787">
        <f>'Cuenta Ahorro-Inversión-Financi'!AX26/1000/'PIB corriente base 2004'!X14+V22</f>
        <v>1.9327338796220422E-3</v>
      </c>
      <c r="Q22" s="787">
        <f>'Cuenta Ahorro-Inversión-Financi'!AV59-R22</f>
        <v>1.0106337029217921E-2</v>
      </c>
      <c r="R22" s="787">
        <f>'Cuenta Ahorro-Inversión-Financi'!Y59</f>
        <v>1.2916127891811728E-3</v>
      </c>
      <c r="S22" s="787"/>
      <c r="T22" s="787"/>
      <c r="U22" s="787">
        <f>'Cuenta Ahorro-Inversión-Financi'!T59</f>
        <v>1.5305291808047088E-2</v>
      </c>
      <c r="V22" s="787">
        <f>'Cuenta Ahorro-Inversión-Financi'!BB26/1000/'PIB corriente base 2004'!X14</f>
        <v>4.5054226152590986E-6</v>
      </c>
      <c r="W22" s="787">
        <f t="shared" si="2"/>
        <v>8.1808300744871193E-2</v>
      </c>
      <c r="X22" s="678">
        <f t="shared" si="3"/>
        <v>9.3562367949252823E-3</v>
      </c>
      <c r="Y22" s="678">
        <f t="shared" si="8"/>
        <v>4.1118378022266464E-3</v>
      </c>
      <c r="Z22" s="678"/>
      <c r="AA22" s="455">
        <f t="shared" si="4"/>
        <v>7.7122014403954192E-2</v>
      </c>
      <c r="AC22" s="793">
        <f>Y22*(-'PIB corriente base 2004'!X15)</f>
        <v>-8959.7936812720636</v>
      </c>
      <c r="AD22" s="1">
        <f t="shared" si="5"/>
        <v>2002</v>
      </c>
      <c r="AE22" s="789">
        <f>'Cuenta Ahorro-Inversión-Financi'!CK18/AG22</f>
        <v>9.5170409782295508E-4</v>
      </c>
      <c r="AG22" s="642">
        <f>1000*'PIB corriente base 1993'!V17</f>
        <v>312580143.860367</v>
      </c>
      <c r="AI22" s="790">
        <f t="shared" si="6"/>
        <v>2002</v>
      </c>
      <c r="AJ22" s="791">
        <f>M44+N44-AE22+O44-'Cuenta Ahorro-Inversión-Financi'!CI18/1000/'PIB corriente base 1993'!V17+Q44</f>
        <v>5.304494300382312E-2</v>
      </c>
      <c r="AK22" s="792">
        <f t="shared" si="7"/>
        <v>-3.2593743360426503E-2</v>
      </c>
    </row>
    <row r="23" spans="1:37" ht="15.75">
      <c r="A23" s="781">
        <v>2011</v>
      </c>
      <c r="B23" s="782">
        <f>'Cuenta Ahorro-Inversión-Financi'!F60</f>
        <v>5.1623947009385961E-2</v>
      </c>
      <c r="C23" s="782">
        <f>'Cuenta Ahorro-Inversión-Financi'!G60</f>
        <v>2.1055525547648633E-2</v>
      </c>
      <c r="D23" s="782">
        <f>'Cuenta Ahorro-Inversión-Financi'!AH27/1000/'PIB corriente base 2004'!X15</f>
        <v>1.4885606544660831E-2</v>
      </c>
      <c r="E23" s="782">
        <f>'Cuenta Ahorro-Inversión-Financi'!H60</f>
        <v>5.065882077998545E-3</v>
      </c>
      <c r="F23" s="782">
        <f>('Cuenta Ahorro-Inversión-Financi'!AG27-'Cuenta Ahorro-Inversión-Financi'!AH27)/1000/'PIB corriente base 2004'!X15</f>
        <v>1.2765066065424809E-3</v>
      </c>
      <c r="G23" s="782"/>
      <c r="H23" s="782">
        <f>('Cuenta Ahorro-Inversión-Financi'!AG27-SUM('Cuenta Ahorro-Inversión-Financi'!AH27:AL27))/1000/'PIB corriente base 2004'!X15</f>
        <v>-3.7533377191067106E-4</v>
      </c>
      <c r="I23" s="782"/>
      <c r="J23" s="782">
        <f t="shared" si="0"/>
        <v>9.3907467786236445E-2</v>
      </c>
      <c r="L23" s="788">
        <v>2011</v>
      </c>
      <c r="M23" s="784">
        <f>'Cuenta Ahorro-Inversión-Financi'!R60</f>
        <v>5.5992350405029589E-2</v>
      </c>
      <c r="N23" s="784">
        <f t="shared" si="1"/>
        <v>1.0979992404900015E-2</v>
      </c>
      <c r="O23" s="784">
        <f>'Cuenta Ahorro-Inversión-Financi'!BR27/1000/'PIB corriente base 2004'!X15</f>
        <v>2.006924517633056E-3</v>
      </c>
      <c r="P23" s="784">
        <f>'Cuenta Ahorro-Inversión-Financi'!AX27/1000/'PIB corriente base 2004'!X15+V23</f>
        <v>2.1921343380464898E-3</v>
      </c>
      <c r="Q23" s="784">
        <f>'Cuenta Ahorro-Inversión-Financi'!AV60-R23</f>
        <v>1.2099265132152627E-2</v>
      </c>
      <c r="R23" s="784">
        <f>'Cuenta Ahorro-Inversión-Financi'!Y60</f>
        <v>1.0313332451235664E-3</v>
      </c>
      <c r="S23" s="784"/>
      <c r="T23" s="784"/>
      <c r="U23" s="784">
        <f>'Cuenta Ahorro-Inversión-Financi'!T60</f>
        <v>1.2986916922533072E-2</v>
      </c>
      <c r="V23" s="784">
        <f>'Cuenta Ahorro-Inversión-Financi'!BB27/1000/'PIB corriente base 2004'!X15</f>
        <v>3.410285837415938E-6</v>
      </c>
      <c r="W23" s="784">
        <f t="shared" si="2"/>
        <v>8.430200004288535E-2</v>
      </c>
      <c r="X23" s="675">
        <f t="shared" si="3"/>
        <v>9.6054677433510954E-3</v>
      </c>
      <c r="Y23" s="675">
        <f t="shared" si="8"/>
        <v>4.5395856653525505E-3</v>
      </c>
      <c r="Z23" s="675"/>
      <c r="AA23" s="455">
        <f t="shared" si="4"/>
        <v>7.9645376924612876E-2</v>
      </c>
      <c r="AC23" s="793">
        <f>Y23*(-'PIB corriente base 2004'!X16)</f>
        <v>-11975.035891794298</v>
      </c>
      <c r="AD23" s="1">
        <v>2003</v>
      </c>
      <c r="AE23" s="789">
        <f>'Cuenta Ahorro-Inversión-Financi'!CK19/AG23</f>
        <v>1.0434173216456008E-3</v>
      </c>
      <c r="AG23" s="642">
        <f>1000*'PIB corriente base 1993'!V18</f>
        <v>375909361.396649</v>
      </c>
      <c r="AI23" s="790">
        <v>2003</v>
      </c>
      <c r="AJ23" s="791">
        <f>M45+N45-AE23+O45-'Cuenta Ahorro-Inversión-Financi'!CI19/1000/'PIB corriente base 1993'!V18+Q45</f>
        <v>5.1401586834070916E-2</v>
      </c>
      <c r="AK23" s="792">
        <f t="shared" si="7"/>
        <v>-3.0928912850968018E-2</v>
      </c>
    </row>
    <row r="24" spans="1:37" ht="15.75">
      <c r="A24" s="781">
        <v>2012</v>
      </c>
      <c r="B24" s="787">
        <f>'Cuenta Ahorro-Inversión-Financi'!F61</f>
        <v>5.5778278265297979E-2</v>
      </c>
      <c r="C24" s="787">
        <f>'Cuenta Ahorro-Inversión-Financi'!G61</f>
        <v>2.2440098912537731E-2</v>
      </c>
      <c r="D24" s="787">
        <f>'Cuenta Ahorro-Inversión-Financi'!AH28/1000/'PIB corriente base 2004'!X16</f>
        <v>1.5558304996599116E-2</v>
      </c>
      <c r="E24" s="787">
        <f>'Cuenta Ahorro-Inversión-Financi'!H61</f>
        <v>6.5768966604751464E-3</v>
      </c>
      <c r="F24" s="787">
        <f>('Cuenta Ahorro-Inversión-Financi'!AG28-'Cuenta Ahorro-Inversión-Financi'!AH28)/1000/'PIB corriente base 2004'!X16</f>
        <v>4.7449512468222062E-4</v>
      </c>
      <c r="G24" s="787"/>
      <c r="H24" s="787">
        <f>('Cuenta Ahorro-Inversión-Financi'!AG28-SUM('Cuenta Ahorro-Inversión-Financi'!AH28:AL28))/1000/'PIB corriente base 2004'!X16</f>
        <v>-2.2831449533804661E-6</v>
      </c>
      <c r="I24" s="787"/>
      <c r="J24" s="787">
        <f t="shared" si="0"/>
        <v>0.10082807395959219</v>
      </c>
      <c r="L24" s="788">
        <v>2012</v>
      </c>
      <c r="M24" s="787">
        <f>'Cuenta Ahorro-Inversión-Financi'!R61</f>
        <v>6.3957687429560775E-2</v>
      </c>
      <c r="N24" s="787">
        <f t="shared" si="1"/>
        <v>9.9551530889321754E-3</v>
      </c>
      <c r="O24" s="787">
        <f>'Cuenta Ahorro-Inversión-Financi'!BR28/1000/'PIB corriente base 2004'!X16</f>
        <v>2.2917701706974044E-3</v>
      </c>
      <c r="P24" s="787">
        <f>'Cuenta Ahorro-Inversión-Financi'!AX28/1000/'PIB corriente base 2004'!X16+V24</f>
        <v>2.3668122016848488E-3</v>
      </c>
      <c r="Q24" s="787">
        <f>'Cuenta Ahorro-Inversión-Financi'!AV61-R24</f>
        <v>1.2918271633261261E-2</v>
      </c>
      <c r="R24" s="787">
        <f>'Cuenta Ahorro-Inversión-Financi'!Y61</f>
        <v>1.2353701400083462E-3</v>
      </c>
      <c r="S24" s="787"/>
      <c r="T24" s="787"/>
      <c r="U24" s="787">
        <f>'Cuenta Ahorro-Inversión-Financi'!T61</f>
        <v>1.224692325962958E-2</v>
      </c>
      <c r="V24" s="787">
        <f>'Cuenta Ahorro-Inversión-Financi'!BB28/1000/'PIB corriente base 2004'!X16</f>
        <v>1.9483188025555408E-6</v>
      </c>
      <c r="W24" s="787">
        <f t="shared" si="2"/>
        <v>9.2725064664144805E-2</v>
      </c>
      <c r="X24" s="678">
        <f t="shared" si="3"/>
        <v>8.1030092954473831E-3</v>
      </c>
      <c r="Y24" s="678">
        <f t="shared" si="8"/>
        <v>1.5261126349722367E-3</v>
      </c>
      <c r="Z24" s="678"/>
      <c r="AA24" s="455">
        <f t="shared" si="4"/>
        <v>8.7824692172816299E-2</v>
      </c>
      <c r="AC24" s="793">
        <f>Y24*(-'PIB corriente base 2004'!X17)</f>
        <v>-5109.8958896683271</v>
      </c>
      <c r="AD24" s="1">
        <f t="shared" ref="AD24:AD38" si="9">AD23+1</f>
        <v>2004</v>
      </c>
      <c r="AE24" s="789">
        <f>'Cuenta Ahorro-Inversión-Financi'!CK20/AG24</f>
        <v>9.196664929515024E-4</v>
      </c>
      <c r="AG24" s="642">
        <f>1000*'PIB corriente base 2004'!X8</f>
        <v>485115194.72475445</v>
      </c>
      <c r="AI24" s="790">
        <f t="shared" ref="AI24:AI38" si="10">AI23+1</f>
        <v>2004</v>
      </c>
      <c r="AJ24" s="791">
        <f>M46+N46-AE24+O46-'Cuenta Ahorro-Inversión-Financi'!CI20/AG24+Q46</f>
        <v>4.6490085758097488E-2</v>
      </c>
      <c r="AK24" s="792">
        <f t="shared" si="7"/>
        <v>-2.6631702689482343E-2</v>
      </c>
    </row>
    <row r="25" spans="1:37" ht="15.75">
      <c r="A25" s="781">
        <f t="shared" ref="A25:A31" si="11">A24+1</f>
        <v>2013</v>
      </c>
      <c r="B25" s="782">
        <f>'Cuenta Ahorro-Inversión-Financi'!F62</f>
        <v>5.7671902775210067E-2</v>
      </c>
      <c r="C25" s="782">
        <f>'Cuenta Ahorro-Inversión-Financi'!G62</f>
        <v>2.2331853031304708E-2</v>
      </c>
      <c r="D25" s="782">
        <f>'Cuenta Ahorro-Inversión-Financi'!AH29/1000/'PIB corriente base 2004'!X17</f>
        <v>1.5914800261768496E-2</v>
      </c>
      <c r="E25" s="782">
        <f>'Cuenta Ahorro-Inversión-Financi'!H62</f>
        <v>6.8312467518398812E-3</v>
      </c>
      <c r="F25" s="782">
        <f>SUM('Cuenta Ahorro-Inversión-Financi'!AI29:AL29)/1000/'PIB corriente base 2004'!X17</f>
        <v>1.2219304208036792E-3</v>
      </c>
      <c r="G25" s="782"/>
      <c r="H25" s="782">
        <f>('Cuenta Ahorro-Inversión-Financi'!AG29-SUM('Cuenta Ahorro-Inversión-Financi'!AH29:AL29))/1000/'PIB corriente base 2004'!X17</f>
        <v>5.0113909748751524E-5</v>
      </c>
      <c r="I25" s="782"/>
      <c r="J25" s="782">
        <f t="shared" si="0"/>
        <v>0.10397173324092684</v>
      </c>
      <c r="L25" s="788">
        <v>2013</v>
      </c>
      <c r="M25" s="784">
        <f>'Cuenta Ahorro-Inversión-Financi'!R62</f>
        <v>6.6592294498734925E-2</v>
      </c>
      <c r="N25" s="784">
        <f t="shared" si="1"/>
        <v>1.0714672094145936E-2</v>
      </c>
      <c r="O25" s="784">
        <f>'Cuenta Ahorro-Inversión-Financi'!BR29/1000/'PIB corriente base 2004'!X17</f>
        <v>2.3856199639117528E-3</v>
      </c>
      <c r="P25" s="784">
        <f>'Cuenta Ahorro-Inversión-Financi'!AX29/1000/'PIB corriente base 2004'!X17+V25</f>
        <v>2.1080695696970185E-3</v>
      </c>
      <c r="Q25" s="784">
        <f>'Cuenta Ahorro-Inversión-Financi'!AV62-R25</f>
        <v>1.4621820030758721E-2</v>
      </c>
      <c r="R25" s="784">
        <f>'Cuenta Ahorro-Inversión-Financi'!Y62</f>
        <v>1.6696788899997676E-3</v>
      </c>
      <c r="S25" s="784"/>
      <c r="T25" s="784"/>
      <c r="U25" s="784">
        <f>'Cuenta Ahorro-Inversión-Financi'!T62</f>
        <v>1.3100292058057688E-2</v>
      </c>
      <c r="V25" s="784">
        <f>'Cuenta Ahorro-Inversión-Financi'!BB29/1000/'PIB corriente base 2004'!X17</f>
        <v>4.6793543471544151E-6</v>
      </c>
      <c r="W25" s="784">
        <f t="shared" si="2"/>
        <v>9.8092155047248109E-2</v>
      </c>
      <c r="X25" s="675">
        <f t="shared" si="3"/>
        <v>5.8795781936787361E-3</v>
      </c>
      <c r="Y25" s="675">
        <f t="shared" si="8"/>
        <v>-9.5166855816114504E-4</v>
      </c>
      <c r="Z25" s="675"/>
      <c r="AA25" s="455">
        <f t="shared" si="4"/>
        <v>9.3339051651877794E-2</v>
      </c>
      <c r="AC25" s="793">
        <f>Y25*(-'PIB corriente base 2004'!X18)</f>
        <v>4357.7725761653019</v>
      </c>
      <c r="AD25" s="1">
        <f t="shared" si="9"/>
        <v>2005</v>
      </c>
      <c r="AE25" s="789">
        <f>'Cuenta Ahorro-Inversión-Financi'!CK21/AG25</f>
        <v>1.0456856494030838E-3</v>
      </c>
      <c r="AG25" s="1">
        <f>1000*'PIB corriente base 2004'!X9</f>
        <v>582538172.93727446</v>
      </c>
      <c r="AI25" s="790">
        <f t="shared" si="10"/>
        <v>2005</v>
      </c>
      <c r="AJ25" s="791">
        <f>M47+N47-AE25+O47-'Cuenta Ahorro-Inversión-Financi'!CI21/AG25+Q47</f>
        <v>4.5361660314963324E-2</v>
      </c>
      <c r="AK25" s="792">
        <f t="shared" si="7"/>
        <v>-2.3936682554658004E-2</v>
      </c>
    </row>
    <row r="26" spans="1:37" ht="15.75">
      <c r="A26" s="781">
        <f t="shared" si="11"/>
        <v>2014</v>
      </c>
      <c r="B26" s="787">
        <f>'Cuenta Ahorro-Inversión-Financi'!F63</f>
        <v>5.4209806865289416E-2</v>
      </c>
      <c r="C26" s="787">
        <f>'Cuenta Ahorro-Inversión-Financi'!G63</f>
        <v>2.2579375080733533E-2</v>
      </c>
      <c r="D26" s="787">
        <f>'Cuenta Ahorro-Inversión-Financi'!AH30/1000/'PIB corriente base 2004'!X18</f>
        <v>1.5871302582137044E-2</v>
      </c>
      <c r="E26" s="787">
        <f>'Cuenta Ahorro-Inversión-Financi'!H63</f>
        <v>8.38241527111434E-3</v>
      </c>
      <c r="F26" s="787">
        <f>SUM('Cuenta Ahorro-Inversión-Financi'!AI30:AL30)/1000/'PIB corriente base 2004'!X18</f>
        <v>1.6327062141724975E-3</v>
      </c>
      <c r="G26" s="787"/>
      <c r="H26" s="787">
        <f>('Cuenta Ahorro-Inversión-Financi'!AG30-SUM('Cuenta Ahorro-Inversión-Financi'!AH30:AL30))/1000/'PIB corriente base 2004'!X18</f>
        <v>4.5815231024300043E-3</v>
      </c>
      <c r="I26" s="787"/>
      <c r="J26" s="787">
        <f t="shared" si="0"/>
        <v>0.10267560601344684</v>
      </c>
      <c r="L26" s="788">
        <v>2014</v>
      </c>
      <c r="M26" s="787">
        <f>'Cuenta Ahorro-Inversión-Financi'!R63</f>
        <v>6.4555922826502576E-2</v>
      </c>
      <c r="N26" s="787">
        <f t="shared" si="1"/>
        <v>1.0675145393542581E-2</v>
      </c>
      <c r="O26" s="787">
        <f>'Cuenta Ahorro-Inversión-Financi'!BR30/1000/'PIB corriente base 2004'!X18</f>
        <v>2.3272132721660977E-3</v>
      </c>
      <c r="P26" s="787">
        <f>'Cuenta Ahorro-Inversión-Financi'!AX30/1000/'PIB corriente base 2004'!X18+V26</f>
        <v>2.0813338150341737E-3</v>
      </c>
      <c r="Q26" s="787">
        <f>'Cuenta Ahorro-Inversión-Financi'!AV63-R26</f>
        <v>1.4141231944009588E-2</v>
      </c>
      <c r="R26" s="787">
        <f>'Cuenta Ahorro-Inversión-Financi'!Y63</f>
        <v>1.80520724704594E-3</v>
      </c>
      <c r="S26" s="787"/>
      <c r="T26" s="787"/>
      <c r="U26" s="787">
        <f>'Cuenta Ahorro-Inversión-Financi'!T63</f>
        <v>1.3002358665708678E-2</v>
      </c>
      <c r="V26" s="787">
        <f>'Cuenta Ahorro-Inversión-Financi'!BB30/1000/'PIB corriente base 2004'!X18</f>
        <v>3.0135534641637916E-6</v>
      </c>
      <c r="W26" s="787">
        <f t="shared" si="2"/>
        <v>9.558605449830096E-2</v>
      </c>
      <c r="X26" s="678">
        <f t="shared" si="3"/>
        <v>7.0895515151458838E-3</v>
      </c>
      <c r="Y26" s="678">
        <f t="shared" si="8"/>
        <v>-1.2928637559684562E-3</v>
      </c>
      <c r="Z26" s="678"/>
      <c r="AA26" s="455">
        <f t="shared" si="4"/>
        <v>9.0911962876777747E-2</v>
      </c>
      <c r="AC26" s="793">
        <f>Y26*(-'PIB corriente base 2004'!X19)</f>
        <v>7698.3713215598991</v>
      </c>
      <c r="AD26" s="1">
        <f t="shared" si="9"/>
        <v>2006</v>
      </c>
      <c r="AE26" s="789">
        <f>'Cuenta Ahorro-Inversión-Financi'!CK22/AG26</f>
        <v>1.1282187202680603E-3</v>
      </c>
      <c r="AG26" s="1">
        <f>1000*'PIB corriente base 2004'!X10</f>
        <v>715904271.73384845</v>
      </c>
      <c r="AI26" s="790">
        <f t="shared" si="10"/>
        <v>2006</v>
      </c>
      <c r="AJ26" s="791">
        <f>M48+N48-AE26+O48-'Cuenta Ahorro-Inversión-Financi'!CI22/AG26+Q48</f>
        <v>4.7493451080231092E-2</v>
      </c>
      <c r="AK26" s="792">
        <f t="shared" si="7"/>
        <v>-2.2235863335787032E-2</v>
      </c>
    </row>
    <row r="27" spans="1:37" ht="15.75">
      <c r="A27" s="781">
        <f t="shared" si="11"/>
        <v>2015</v>
      </c>
      <c r="B27" s="782">
        <f>'Cuenta Ahorro-Inversión-Financi'!F64</f>
        <v>5.6429715829916419E-2</v>
      </c>
      <c r="C27" s="782">
        <f>'Cuenta Ahorro-Inversión-Financi'!G64</f>
        <v>2.3642605265148511E-2</v>
      </c>
      <c r="D27" s="782">
        <f>'Cuenta Ahorro-Inversión-Financi'!AH31/1000/'PIB corriente base 2004'!X19</f>
        <v>1.6055108102521049E-2</v>
      </c>
      <c r="E27" s="782">
        <f>'Cuenta Ahorro-Inversión-Financi'!H64</f>
        <v>8.9312093248872185E-3</v>
      </c>
      <c r="F27" s="782">
        <f>SUM('Cuenta Ahorro-Inversión-Financi'!AI31:AL31)/1000/'PIB corriente base 2004'!X19</f>
        <v>1.7480835825710128E-3</v>
      </c>
      <c r="G27" s="782"/>
      <c r="H27" s="782">
        <f>('Cuenta Ahorro-Inversión-Financi'!AG31-SUM('Cuenta Ahorro-Inversión-Financi'!AH31:AL31))/1000/'PIB corriente base 2004'!X19</f>
        <v>8.4741870868829706E-3</v>
      </c>
      <c r="I27" s="782"/>
      <c r="J27" s="782">
        <f t="shared" si="0"/>
        <v>0.10680672210504422</v>
      </c>
      <c r="L27" s="788">
        <f>L26+1</f>
        <v>2015</v>
      </c>
      <c r="M27" s="784">
        <f>'Cuenta Ahorro-Inversión-Financi'!R64</f>
        <v>7.2790476203542828E-2</v>
      </c>
      <c r="N27" s="784">
        <f t="shared" si="1"/>
        <v>1.1632850375665672E-2</v>
      </c>
      <c r="O27" s="784">
        <f>'Cuenta Ahorro-Inversión-Financi'!BR31/1000/'PIB corriente base 2004'!X19</f>
        <v>2.6068870526325806E-3</v>
      </c>
      <c r="P27" s="784">
        <f>'Cuenta Ahorro-Inversión-Financi'!AX31/1000/'PIB corriente base 2004'!X19+V27</f>
        <v>2.0992538040870605E-3</v>
      </c>
      <c r="Q27" s="784">
        <f>'Cuenta Ahorro-Inversión-Financi'!AV64-R27</f>
        <v>1.453913181567601E-2</v>
      </c>
      <c r="R27" s="784">
        <f>'Cuenta Ahorro-Inversión-Financi'!Y64</f>
        <v>1.7142465903260647E-3</v>
      </c>
      <c r="S27" s="784"/>
      <c r="T27" s="784"/>
      <c r="U27" s="784">
        <f>'Cuenta Ahorro-Inversión-Financi'!T64</f>
        <v>1.4239737428298253E-2</v>
      </c>
      <c r="V27" s="784">
        <f>'Cuenta Ahorro-Inversión-Financi'!BB31/1000/'PIB corriente base 2004'!X19</f>
        <v>2.4428887233245515E-6</v>
      </c>
      <c r="W27" s="784">
        <f t="shared" si="2"/>
        <v>0.10538284584193021</v>
      </c>
      <c r="X27" s="675">
        <f t="shared" si="3"/>
        <v>1.4238762631140073E-3</v>
      </c>
      <c r="Y27" s="675">
        <f t="shared" si="8"/>
        <v>-7.5073330617732113E-3</v>
      </c>
      <c r="Z27" s="675"/>
      <c r="AA27" s="455">
        <f t="shared" si="4"/>
        <v>0.1005900971324509</v>
      </c>
      <c r="AC27" s="793">
        <f>Y27*(-'PIB corriente base 2004'!X20)</f>
        <v>61771.53427633112</v>
      </c>
      <c r="AD27" s="1">
        <f t="shared" si="9"/>
        <v>2007</v>
      </c>
      <c r="AE27" s="789">
        <f>('[2]Versión ordenada'!$F$4+'[2]Versión ordenada'!$F$11+'[2]Versión ordenada'!$F$18+'[2]Versión ordenada'!$F$17+AH27)/1000/'PIB corriente base 2004'!X11</f>
        <v>1.4559177488602047E-2</v>
      </c>
      <c r="AG27" s="1">
        <f>1000*'PIB corriente base 2004'!X11</f>
        <v>896980174.07190323</v>
      </c>
      <c r="AH27" s="28">
        <f>'Cuenta Ahorro-Inversión-Financi'!CK23</f>
        <v>958062.29654000001</v>
      </c>
      <c r="AI27" s="790">
        <f t="shared" si="10"/>
        <v>2007</v>
      </c>
      <c r="AJ27" s="791">
        <f>M49+N49-AE27+O49-'Cuenta Ahorro-Inversión-Financi'!CI23/AG27+Q49</f>
        <v>4.6467687338972143E-2</v>
      </c>
      <c r="AK27" s="792">
        <f t="shared" si="7"/>
        <v>-7.9628907008232885E-3</v>
      </c>
    </row>
    <row r="28" spans="1:37" ht="15.75">
      <c r="A28" s="781">
        <f t="shared" si="11"/>
        <v>2016</v>
      </c>
      <c r="B28" s="787">
        <f>'Cuenta Ahorro-Inversión-Financi'!F65</f>
        <v>5.4687527495474855E-2</v>
      </c>
      <c r="C28" s="787">
        <f>'Cuenta Ahorro-Inversión-Financi'!G65-'Cuenta Ahorro-Inversión-Financi'!I32/1000/'PIB corriente base 2004'!X20</f>
        <v>2.1229363568431997E-2</v>
      </c>
      <c r="D28" s="787">
        <f>('Cuenta Ahorro-Inversión-Financi'!AH32-'Cuenta Ahorro-Inversión-Financi'!CR32)/1000/'PIB corriente base 2004'!X20</f>
        <v>1.1533398062803835E-2</v>
      </c>
      <c r="E28" s="787">
        <f>'Cuenta Ahorro-Inversión-Financi'!H65</f>
        <v>8.8075849695962542E-3</v>
      </c>
      <c r="F28" s="787">
        <f>SUM('Cuenta Ahorro-Inversión-Financi'!AJ32:AL32)/1000/'PIB corriente base 2004'!X20</f>
        <v>1.7105917554574937E-3</v>
      </c>
      <c r="G28" s="787">
        <f>('Cuenta Ahorro-Inversión-Financi'!CR32+'Cuenta Ahorro-Inversión-Financi'!AI32)/1000/'PIB corriente base 2004'!X20</f>
        <v>3.8062867430678814E-3</v>
      </c>
      <c r="H28" s="787">
        <f>('Cuenta Ahorro-Inversión-Financi'!AG32-SUM('Cuenta Ahorro-Inversión-Financi'!AH32:AL32))/1000/'PIB corriente base 2004'!X20</f>
        <v>1.853676908063186E-2</v>
      </c>
      <c r="I28" s="787">
        <f>'Cuenta Ahorro-Inversión-Financi'!I32/1000/'PIB corriente base 2004'!X20</f>
        <v>1.2582496643220224E-2</v>
      </c>
      <c r="J28" s="787">
        <f>SUM(B28:F28)+G28</f>
        <v>0.10177475259483232</v>
      </c>
      <c r="L28" s="788">
        <f>L27+1</f>
        <v>2016</v>
      </c>
      <c r="M28" s="787">
        <f>'Cuenta Ahorro-Inversión-Financi'!S65</f>
        <v>7.304107438047823E-2</v>
      </c>
      <c r="N28" s="787">
        <f t="shared" si="1"/>
        <v>1.6346028618893924E-2</v>
      </c>
      <c r="O28" s="787">
        <f>'Cuenta Ahorro-Inversión-Financi'!BR32/1000/'PIB corriente base 2004'!X20</f>
        <v>2.6363088474017208E-3</v>
      </c>
      <c r="P28" s="787">
        <f>'Cuenta Ahorro-Inversión-Financi'!AX32/1000/'PIB corriente base 2004'!X20+V28</f>
        <v>1.770725491435783E-3</v>
      </c>
      <c r="Q28" s="787">
        <f>'Cuenta Ahorro-Inversión-Financi'!AV65-R28</f>
        <v>1.3742470621615904E-2</v>
      </c>
      <c r="R28" s="787">
        <f>'Cuenta Ahorro-Inversión-Financi'!Y65</f>
        <v>1.9710726181915404E-3</v>
      </c>
      <c r="S28" s="787"/>
      <c r="T28" s="787">
        <f>6344600/1000/'PIB corriente base 2004'!X20</f>
        <v>7.7108373463174616E-4</v>
      </c>
      <c r="U28" s="787">
        <f>'Cuenta Ahorro-Inversión-Financi'!T65</f>
        <v>1.8982337466295646E-2</v>
      </c>
      <c r="V28" s="787">
        <f>'Cuenta Ahorro-Inversión-Financi'!BB32/1000/'PIB corriente base 2004'!X20</f>
        <v>1.8634165860116207E-6</v>
      </c>
      <c r="W28" s="787">
        <f>M28+O28+Q28+R28+N28+P28</f>
        <v>0.1095076805780171</v>
      </c>
      <c r="X28" s="678">
        <f t="shared" si="3"/>
        <v>-7.7329279831847841E-3</v>
      </c>
      <c r="Y28" s="678">
        <f t="shared" si="8"/>
        <v>-1.6540512952781038E-2</v>
      </c>
      <c r="Z28" s="678">
        <f>Y28-G28</f>
        <v>-2.0346799695848919E-2</v>
      </c>
      <c r="AA28" s="455">
        <f t="shared" si="4"/>
        <v>0.10501271059981354</v>
      </c>
      <c r="AB28" s="576">
        <f>Y28*(-'PIB corriente base 2004'!X20)</f>
        <v>136097.97972243986</v>
      </c>
      <c r="AC28" s="795">
        <f>Z28*(-'PIB corriente base 2004'!X20)</f>
        <v>167416.71436233175</v>
      </c>
      <c r="AD28" s="1">
        <f t="shared" si="9"/>
        <v>2008</v>
      </c>
      <c r="AE28" s="789">
        <f>('[2]Versión ordenada'!$G$4+'[2]Versión ordenada'!$G$11+AH28)/1000/'PIB corriente base 2004'!X12</f>
        <v>1.6193620738369E-2</v>
      </c>
      <c r="AG28" s="1">
        <f>1000*'PIB corriente base 2004'!X12</f>
        <v>1149646090.5836351</v>
      </c>
      <c r="AH28" s="28">
        <f>'Cuenta Ahorro-Inversión-Financi'!CK24</f>
        <v>1502398.5656099999</v>
      </c>
      <c r="AI28" s="790">
        <f t="shared" si="10"/>
        <v>2008</v>
      </c>
      <c r="AJ28" s="791">
        <f>M50+N50-AE28+O50-'Cuenta Ahorro-Inversión-Financi'!CI24/AG28+Q50</f>
        <v>4.7641079524477832E-2</v>
      </c>
      <c r="AK28" s="792">
        <f t="shared" si="7"/>
        <v>-1.0790277850779642E-2</v>
      </c>
    </row>
    <row r="29" spans="1:37" ht="15.75">
      <c r="A29" s="781">
        <f t="shared" si="11"/>
        <v>2017</v>
      </c>
      <c r="B29" s="782">
        <f>'Cuenta Ahorro-Inversión-Financi'!F66</f>
        <v>5.5590096056665005E-2</v>
      </c>
      <c r="C29" s="782">
        <f>'Cuenta Ahorro-Inversión-Financi'!G66-'Cuenta Ahorro-Inversión-Financi'!I33/1000/'PIB corriente base 2004'!X21</f>
        <v>2.1365199313940306E-2</v>
      </c>
      <c r="D29" s="782">
        <f>('Cuenta Ahorro-Inversión-Financi'!AH33-'Cuenta Ahorro-Inversión-Financi'!CR33)/1000/'PIB corriente base 2004'!X21</f>
        <v>8.3124002766656289E-3</v>
      </c>
      <c r="E29" s="782">
        <f>'Cuenta Ahorro-Inversión-Financi'!H66</f>
        <v>1.0359687540638353E-2</v>
      </c>
      <c r="F29" s="782">
        <f>SUM('Cuenta Ahorro-Inversión-Financi'!AJ33:AL33)/1000/'PIB corriente base 2004'!X21</f>
        <v>1.1053546467209253E-3</v>
      </c>
      <c r="G29" s="782">
        <f>('Cuenta Ahorro-Inversión-Financi'!CR33+'Cuenta Ahorro-Inversión-Financi'!AI33)/1000/'PIB corriente base 2004'!X21</f>
        <v>7.6045316092612043E-3</v>
      </c>
      <c r="H29" s="782">
        <f>('Cuenta Ahorro-Inversión-Financi'!AG33-SUM('Cuenta Ahorro-Inversión-Financi'!AH33:AL33))/1000/'PIB corriente base 2004'!X21</f>
        <v>1.8409237804635183E-2</v>
      </c>
      <c r="I29" s="782">
        <f>'Cuenta Ahorro-Inversión-Financi'!I33/1000/'PIB corriente base 2004'!X21</f>
        <v>4.2096363400800623E-3</v>
      </c>
      <c r="J29" s="782">
        <f>SUM(B29:F29)+G29</f>
        <v>0.10433726944389142</v>
      </c>
      <c r="L29" s="788">
        <f>L28+1</f>
        <v>2017</v>
      </c>
      <c r="M29" s="784">
        <f>'Cuenta Ahorro-Inversión-Financi'!S66</f>
        <v>7.6386424051846549E-2</v>
      </c>
      <c r="N29" s="784">
        <f t="shared" si="1"/>
        <v>1.4913625060521157E-2</v>
      </c>
      <c r="O29" s="784">
        <f>'Cuenta Ahorro-Inversión-Financi'!BR33/1000/'PIB corriente base 2004'!X21</f>
        <v>2.9707973317415659E-3</v>
      </c>
      <c r="P29" s="784">
        <f>'Cuenta Ahorro-Inversión-Financi'!AX33/1000/'PIB corriente base 2004'!X21+V29</f>
        <v>1.7270509378138103E-3</v>
      </c>
      <c r="Q29" s="784">
        <f>'Cuenta Ahorro-Inversión-Financi'!AV66-R29</f>
        <v>1.2786672143228515E-2</v>
      </c>
      <c r="R29" s="784">
        <f>'Cuenta Ahorro-Inversión-Financi'!Y66</f>
        <v>1.6931827770299091E-3</v>
      </c>
      <c r="S29" s="784">
        <f>'Cuenta Ahorro-Inversión-Financi'!CM33/'PIB corriente base 2004'!X21/1000</f>
        <v>1.8903337565016364E-4</v>
      </c>
      <c r="T29" s="784">
        <f>41598953.80094/1000/'PIB corriente base 2004'!X21-S29</f>
        <v>3.7188875483721521E-3</v>
      </c>
      <c r="U29" s="784">
        <f>'Cuenta Ahorro-Inversión-Financi'!T66</f>
        <v>1.7884422392262723E-2</v>
      </c>
      <c r="V29" s="784">
        <f>'Cuenta Ahorro-Inversión-Financi'!BB33/1000/'PIB corriente base 2004'!X21</f>
        <v>5.7514092086783566E-6</v>
      </c>
      <c r="W29" s="784">
        <f>M29+O29+Q29+R29+N29+P29</f>
        <v>0.1104777523021815</v>
      </c>
      <c r="X29" s="675">
        <f t="shared" si="3"/>
        <v>-6.1404828582900806E-3</v>
      </c>
      <c r="Y29" s="675">
        <f t="shared" si="8"/>
        <v>-1.6500170398928433E-2</v>
      </c>
      <c r="Z29" s="675">
        <f>Y29-G29</f>
        <v>-2.4104702008189639E-2</v>
      </c>
      <c r="AA29" s="455">
        <f t="shared" si="4"/>
        <v>0.1058447618806429</v>
      </c>
      <c r="AB29" s="576">
        <f>Y29*(-'PIB corriente base 2004'!X21)</f>
        <v>175640.66404551998</v>
      </c>
      <c r="AC29" s="795">
        <f>Z29*(-'PIB corriente base 2004'!X21)</f>
        <v>256589.22089754659</v>
      </c>
      <c r="AD29" s="1">
        <f t="shared" si="9"/>
        <v>2009</v>
      </c>
      <c r="AE29" s="789">
        <f>('[2]Versión ordenada'!$H$4+AH29)/AG29</f>
        <v>1.9471242373112378E-2</v>
      </c>
      <c r="AG29" s="1">
        <f>1000*'PIB corriente base 2004'!X13</f>
        <v>1247929268.92502</v>
      </c>
      <c r="AH29" s="28">
        <f>'Cuenta Ahorro-Inversión-Financi'!CK25</f>
        <v>1742100.11087</v>
      </c>
      <c r="AI29" s="790">
        <f t="shared" si="10"/>
        <v>2009</v>
      </c>
      <c r="AJ29" s="791">
        <f>M51+N51-AE29+O51-'Cuenta Ahorro-Inversión-Financi'!CI25/AG29+Q51</f>
        <v>5.8284945016976127E-2</v>
      </c>
      <c r="AK29" s="792">
        <f t="shared" si="7"/>
        <v>-7.5148078350372183E-3</v>
      </c>
    </row>
    <row r="30" spans="1:37" ht="15.75">
      <c r="A30" s="781">
        <f t="shared" si="11"/>
        <v>2018</v>
      </c>
      <c r="B30" s="787">
        <f>'Cuenta Ahorro-Inversión-Financi'!F67</f>
        <v>5.0704846491994214E-2</v>
      </c>
      <c r="C30" s="787">
        <f>'Cuenta Ahorro-Inversión-Financi'!G67</f>
        <v>2.6720252660672565E-2</v>
      </c>
      <c r="D30" s="787">
        <f>('Cuenta Ahorro-Inversión-Financi'!AH34-'Cuenta Ahorro-Inversión-Financi'!CR34)/1000/'PIB corriente base 2004'!X22</f>
        <v>6.3356487062846906E-3</v>
      </c>
      <c r="E30" s="787">
        <f>'Cuenta Ahorro-Inversión-Financi'!H67</f>
        <v>1.2578886934714758E-2</v>
      </c>
      <c r="F30" s="787">
        <f>SUM('Cuenta Ahorro-Inversión-Financi'!AJ34:AL34)/1000/'PIB corriente base 2004'!X22</f>
        <v>3.2264996405817985E-4</v>
      </c>
      <c r="G30" s="787">
        <f>('Cuenta Ahorro-Inversión-Financi'!CR34+'Cuenta Ahorro-Inversión-Financi'!AI34)/1000/'PIB corriente base 2004'!X22</f>
        <v>1.213366048836579E-2</v>
      </c>
      <c r="H30" s="787">
        <f>('Cuenta Ahorro-Inversión-Financi'!AG34-SUM('Cuenta Ahorro-Inversión-Financi'!AH34:AL34))/1000/'PIB corriente base 2004'!X22</f>
        <v>7.5005076602780657E-3</v>
      </c>
      <c r="I30" s="787"/>
      <c r="J30" s="787">
        <f>SUM(B30:F30)+G30</f>
        <v>0.10879594524609021</v>
      </c>
      <c r="L30" s="788">
        <f>L29+1</f>
        <v>2018</v>
      </c>
      <c r="M30" s="787">
        <f>'Cuenta Ahorro-Inversión-Financi'!S67</f>
        <v>7.1977106562574236E-2</v>
      </c>
      <c r="N30" s="787">
        <f t="shared" si="1"/>
        <v>1.4872065107734521E-2</v>
      </c>
      <c r="O30" s="787">
        <f>'Cuenta Ahorro-Inversión-Financi'!BR34/1000/'PIB corriente base 2004'!X22</f>
        <v>2.8175310521751772E-3</v>
      </c>
      <c r="P30" s="787">
        <f>'Cuenta Ahorro-Inversión-Financi'!AX34/1000/'PIB corriente base 2004'!X22+V30</f>
        <v>1.4822546905173355E-3</v>
      </c>
      <c r="Q30" s="787">
        <f>'Cuenta Ahorro-Inversión-Financi'!AV67-R30</f>
        <v>9.6504177783760716E-3</v>
      </c>
      <c r="R30" s="787">
        <f>'Cuenta Ahorro-Inversión-Financi'!Y67</f>
        <v>1.5558204318447749E-3</v>
      </c>
      <c r="S30" s="787">
        <f>'Cuenta Ahorro-Inversión-Financi'!CM34/'PIB corriente base 2004'!X22/1000</f>
        <v>3.7539710329259764E-4</v>
      </c>
      <c r="T30" s="787">
        <f>79630981548.32/1000000/'PIB corriente base 2004'!X22-S30</f>
        <v>5.091301115412567E-3</v>
      </c>
      <c r="U30" s="787">
        <f>'Cuenta Ahorro-Inversión-Financi'!T67</f>
        <v>1.7689596159909698E-2</v>
      </c>
      <c r="V30" s="787">
        <f>'Cuenta Ahorro-Inversión-Financi'!BB34/1000/'PIB corriente base 2004'!X22</f>
        <v>4.5232033871470507E-6</v>
      </c>
      <c r="W30" s="787">
        <f>M30+O30+Q30+R30+N30+P30</f>
        <v>0.10235519562322212</v>
      </c>
      <c r="X30" s="692">
        <f t="shared" si="3"/>
        <v>6.4407496228680861E-3</v>
      </c>
      <c r="Y30" s="678">
        <f t="shared" si="8"/>
        <v>-6.1381373118466719E-3</v>
      </c>
      <c r="Z30" s="678">
        <f>Y30-G30</f>
        <v>-1.8271797800212462E-2</v>
      </c>
      <c r="AA30" s="455">
        <f t="shared" si="4"/>
        <v>9.796700144897999E-2</v>
      </c>
      <c r="AB30" s="576">
        <f>Y30*(-'PIB corriente base 2004'!X22)</f>
        <v>89411.538641050152</v>
      </c>
      <c r="AC30" s="795">
        <f>Z30*(-'PIB corriente base 2004'!X22)</f>
        <v>266157.21872205014</v>
      </c>
      <c r="AD30" s="1">
        <f t="shared" si="9"/>
        <v>2010</v>
      </c>
      <c r="AE30" s="789">
        <f>('[2]Versión ordenada'!$I$4+'[2]Versión ordenada'!$I$11+AH30)/AG30</f>
        <v>2.3160837960605647E-2</v>
      </c>
      <c r="AG30" s="1">
        <f>1000*'PIB corriente base 2004'!X14</f>
        <v>1661720925.9445801</v>
      </c>
      <c r="AH30" s="28">
        <f>'Cuenta Ahorro-Inversión-Financi'!CK26</f>
        <v>2043796.9535499997</v>
      </c>
      <c r="AI30" s="790">
        <f t="shared" si="10"/>
        <v>2010</v>
      </c>
      <c r="AJ30" s="791">
        <f>M52+N52-AE30+O52-'Cuenta Ahorro-Inversión-Financi'!CI26/AG30+Q52</f>
        <v>5.3961176443348552E-2</v>
      </c>
      <c r="AK30" s="792">
        <f t="shared" si="7"/>
        <v>-3.4738648653886706E-3</v>
      </c>
    </row>
    <row r="31" spans="1:37" ht="15.75">
      <c r="A31" s="781">
        <f t="shared" si="11"/>
        <v>2019</v>
      </c>
      <c r="B31" s="782">
        <f>'Cuenta Ahorro-Inversión-Financi'!F68</f>
        <v>4.6850129163395204E-2</v>
      </c>
      <c r="C31" s="782">
        <f>'Cuenta Ahorro-Inversión-Financi'!G68</f>
        <v>2.5522197711850856E-2</v>
      </c>
      <c r="D31" s="782">
        <f>('Cuenta Ahorro-Inversión-Financi'!AH35-'Cuenta Ahorro-Inversión-Financi'!CR35)/1000/'PIB corriente base 2004'!X23</f>
        <v>2.9999525032873512E-3</v>
      </c>
      <c r="E31" s="782">
        <f>'Cuenta Ahorro-Inversión-Financi'!H68</f>
        <v>1.4060819021224245E-2</v>
      </c>
      <c r="F31" s="782">
        <f>SUM('Cuenta Ahorro-Inversión-Financi'!AJ35:AL35)/1000/'PIB corriente base 2004'!X23</f>
        <v>1.9363193402812328E-4</v>
      </c>
      <c r="G31" s="782">
        <f>('Cuenta Ahorro-Inversión-Financi'!CR35+'Cuenta Ahorro-Inversión-Financi'!AI35)/1000/'PIB corriente base 2004'!X23</f>
        <v>1.4620172687318923E-2</v>
      </c>
      <c r="H31" s="782">
        <f>('Cuenta Ahorro-Inversión-Financi'!AG35-SUM('Cuenta Ahorro-Inversión-Financi'!AH35:AL35))/1000/'PIB corriente base 2004'!X23</f>
        <v>1.4926724856856175E-2</v>
      </c>
      <c r="I31" s="782"/>
      <c r="J31" s="782">
        <f>SUM(B31:F31)+G31</f>
        <v>0.1042469030211047</v>
      </c>
      <c r="L31" s="788">
        <f>L30+1</f>
        <v>2019</v>
      </c>
      <c r="M31" s="784">
        <f>'Cuenta Ahorro-Inversión-Financi'!S68</f>
        <v>7.3989083667096084E-2</v>
      </c>
      <c r="N31" s="784">
        <f t="shared" ref="N31" si="12">U31-O31</f>
        <v>1.4290716004569234E-2</v>
      </c>
      <c r="O31" s="784">
        <f>'Cuenta Ahorro-Inversión-Financi'!BR35/1000/'PIB corriente base 2004'!X23</f>
        <v>0</v>
      </c>
      <c r="P31" s="784">
        <f>'Cuenta Ahorro-Inversión-Financi'!AX35/1000/'PIB corriente base 2004'!X23+V31</f>
        <v>1.1994360341733058E-3</v>
      </c>
      <c r="Q31" s="784">
        <f>'Cuenta Ahorro-Inversión-Financi'!AV68-R31</f>
        <v>1.2752510808578395E-2</v>
      </c>
      <c r="R31" s="784">
        <f>'Cuenta Ahorro-Inversión-Financi'!Y68-S31</f>
        <v>2.2298965548432515E-3</v>
      </c>
      <c r="S31" s="784">
        <v>4.0000000000000002E-4</v>
      </c>
      <c r="T31" s="784">
        <v>4.5999999999999999E-3</v>
      </c>
      <c r="U31" s="784">
        <f>'Cuenta Ahorro-Inversión-Financi'!T68</f>
        <v>1.4290716004569234E-2</v>
      </c>
      <c r="V31" s="784">
        <f>'Cuenta Ahorro-Inversión-Financi'!BB35/1000/'PIB corriente base 2004'!X23</f>
        <v>0</v>
      </c>
      <c r="W31" s="784">
        <f>M31+O31+Q31+R31+N31+P31</f>
        <v>0.10446164306926026</v>
      </c>
      <c r="X31" s="675">
        <f t="shared" ref="X31" si="13">J31-W31</f>
        <v>-2.1474004815555392E-4</v>
      </c>
      <c r="Y31" s="675">
        <f t="shared" ref="Y31" si="14">X31-E31</f>
        <v>-1.4275559069379799E-2</v>
      </c>
      <c r="Z31" s="675">
        <f>Y31-G31</f>
        <v>-2.8895731756698722E-2</v>
      </c>
      <c r="AA31" s="455"/>
      <c r="AD31" s="1">
        <f t="shared" si="9"/>
        <v>2011</v>
      </c>
      <c r="AE31" s="789">
        <f>('[2]Versión ordenada'!$J$4+'[2]Versión ordenada'!$J$11+AH31)/AG31</f>
        <v>2.491574992945992E-2</v>
      </c>
      <c r="AG31" s="1">
        <f>1000*'PIB corriente base 2004'!X15</f>
        <v>2179024103.6307774</v>
      </c>
      <c r="AH31" s="28">
        <f>'Cuenta Ahorro-Inversión-Financi'!CK27</f>
        <v>2651545.3123299982</v>
      </c>
      <c r="AI31" s="790">
        <f t="shared" si="10"/>
        <v>2011</v>
      </c>
      <c r="AJ31" s="791">
        <f>M53+N53-AE31+O53-'Cuenta Ahorro-Inversión-Financi'!CI27/AG31+Q53</f>
        <v>5.4729626995152963E-2</v>
      </c>
      <c r="AK31" s="792">
        <f t="shared" si="7"/>
        <v>-3.1056799857670028E-3</v>
      </c>
    </row>
    <row r="32" spans="1:37">
      <c r="B32" s="455"/>
      <c r="E32" s="625"/>
      <c r="F32" s="625"/>
      <c r="AD32" s="1">
        <f t="shared" si="9"/>
        <v>2012</v>
      </c>
      <c r="AE32" s="789">
        <f>('[2]Versión ordenada'!$K$4+'[2]Versión ordenada'!$K$11+AH32)/AG32</f>
        <v>2.7561524235657716E-2</v>
      </c>
      <c r="AG32" s="1">
        <f>1000*'PIB corriente base 2004'!X16</f>
        <v>2637913848.2155504</v>
      </c>
      <c r="AH32" s="28">
        <f>'Cuenta Ahorro-Inversión-Financi'!CK28</f>
        <v>3637986.92117</v>
      </c>
      <c r="AI32" s="790">
        <f t="shared" si="10"/>
        <v>2012</v>
      </c>
      <c r="AJ32" s="791">
        <f>M54+N54-AE32+O54-'Cuenta Ahorro-Inversión-Financi'!CI28/AG32+Q54</f>
        <v>6.0263167937158579E-2</v>
      </c>
      <c r="AK32" s="792">
        <f t="shared" si="7"/>
        <v>-4.4848896718606007E-3</v>
      </c>
    </row>
    <row r="33" spans="2:37">
      <c r="B33" s="625"/>
      <c r="AD33" s="1">
        <f t="shared" si="9"/>
        <v>2013</v>
      </c>
      <c r="AE33" s="789">
        <f>('[2]Versión ordenada'!$L$4+'[2]Versión ordenada'!$L$11+AH33)/AG33</f>
        <v>2.8638890550763102E-2</v>
      </c>
      <c r="AG33" s="1">
        <f>1000*'PIB corriente base 2004'!X17</f>
        <v>3348308488.2272053</v>
      </c>
      <c r="AH33" s="28">
        <f>'Cuenta Ahorro-Inversión-Financi'!CK29</f>
        <v>4390591.5005299933</v>
      </c>
      <c r="AI33" s="790">
        <f t="shared" si="10"/>
        <v>2013</v>
      </c>
      <c r="AJ33" s="791">
        <f>M55+N55-AE33+O55-'Cuenta Ahorro-Inversión-Financi'!CI29/AG33+Q55</f>
        <v>6.4700161101114692E-2</v>
      </c>
      <c r="AK33" s="792">
        <f t="shared" si="7"/>
        <v>-7.0282583259046252E-3</v>
      </c>
    </row>
    <row r="34" spans="2:37">
      <c r="M34" s="796" t="s">
        <v>1100</v>
      </c>
      <c r="N34" s="1" t="s">
        <v>1101</v>
      </c>
      <c r="O34" s="1" t="s">
        <v>1102</v>
      </c>
      <c r="P34" s="1" t="s">
        <v>1103</v>
      </c>
      <c r="Q34" s="1" t="s">
        <v>1104</v>
      </c>
      <c r="R34" s="1" t="s">
        <v>1105</v>
      </c>
      <c r="S34" s="1" t="s">
        <v>1106</v>
      </c>
      <c r="AD34" s="1">
        <f t="shared" si="9"/>
        <v>2014</v>
      </c>
      <c r="AE34" s="789">
        <f>('[2]Versión ordenada'!$M$4+'[2]Versión ordenada'!$M$11+AH34)/AG34</f>
        <v>2.7710679877931296E-2</v>
      </c>
      <c r="AG34" s="1">
        <f>1000*'PIB corriente base 2004'!X18</f>
        <v>4579086425.4101</v>
      </c>
      <c r="AH34" s="28">
        <f>'Cuenta Ahorro-Inversión-Financi'!CK30</f>
        <v>4876493.2229199931</v>
      </c>
      <c r="AI34" s="790">
        <f t="shared" si="10"/>
        <v>2014</v>
      </c>
      <c r="AJ34" s="791">
        <f>M56+N56-AE34+O56-'Cuenta Ahorro-Inversión-Financi'!CI30/AG34+Q56</f>
        <v>6.3201282998846448E-2</v>
      </c>
      <c r="AK34" s="792">
        <f t="shared" si="7"/>
        <v>-8.9914761335570317E-3</v>
      </c>
    </row>
    <row r="35" spans="2:37">
      <c r="L35" s="1">
        <f t="shared" ref="L35:L61" si="15">L5</f>
        <v>1993</v>
      </c>
      <c r="M35" s="786">
        <f t="shared" ref="M35:M60" si="16">M5+O5</f>
        <v>5.2637093191058193E-2</v>
      </c>
      <c r="N35" s="786">
        <f t="shared" ref="N35:N61" si="17">N5</f>
        <v>1.1642303700452977E-2</v>
      </c>
      <c r="O35" s="786">
        <f t="shared" ref="O35:O60" si="18">Q5</f>
        <v>5.2886285344030236E-3</v>
      </c>
      <c r="P35" s="786">
        <f t="shared" ref="P35:P61" si="19">P5</f>
        <v>1.4899099917563394E-3</v>
      </c>
      <c r="Q35" s="786"/>
      <c r="R35" s="786">
        <f t="shared" ref="R35:R60" si="20">SUM(M35:Q35)</f>
        <v>7.105793541767054E-2</v>
      </c>
      <c r="S35" s="786"/>
      <c r="AD35" s="1">
        <f t="shared" si="9"/>
        <v>2015</v>
      </c>
      <c r="AE35" s="789">
        <f>('[2]Versión ordenada'!$N$4+'[2]Versión ordenada'!$N$11+AH35)/AG35</f>
        <v>3.4113954908672889E-2</v>
      </c>
      <c r="AG35" s="1">
        <f>1000*'PIB corriente base 2004'!X19</f>
        <v>5954510895.6923428</v>
      </c>
      <c r="AH35" s="28">
        <f>'Cuenta Ahorro-Inversión-Financi'!CK31</f>
        <v>6096164.65185</v>
      </c>
      <c r="AI35" s="790">
        <f t="shared" si="10"/>
        <v>2015</v>
      </c>
      <c r="AJ35" s="791">
        <f>M57+N57-AE35+O57-'Cuenta Ahorro-Inversión-Financi'!CI31/AG35+Q57</f>
        <v>6.6476142223778012E-2</v>
      </c>
      <c r="AK35" s="792">
        <f t="shared" si="7"/>
        <v>-1.0046426393861593E-2</v>
      </c>
    </row>
    <row r="36" spans="2:37">
      <c r="L36" s="1">
        <f t="shared" si="15"/>
        <v>1994</v>
      </c>
      <c r="M36" s="786">
        <f t="shared" si="16"/>
        <v>5.6464426220353491E-2</v>
      </c>
      <c r="N36" s="786">
        <f t="shared" si="17"/>
        <v>1.2436021103775298E-2</v>
      </c>
      <c r="O36" s="786">
        <f t="shared" si="18"/>
        <v>6.7753088693605253E-3</v>
      </c>
      <c r="P36" s="786">
        <f t="shared" si="19"/>
        <v>1.146258007796943E-3</v>
      </c>
      <c r="Q36" s="786"/>
      <c r="R36" s="786">
        <f t="shared" si="20"/>
        <v>7.6822014201286246E-2</v>
      </c>
      <c r="S36" s="786"/>
      <c r="AD36" s="1">
        <f t="shared" si="9"/>
        <v>2016</v>
      </c>
      <c r="AE36" s="789">
        <f>('[2]Versión ordenada'!$O$4+'[2]Versión ordenada'!$O$11+AH36)/AG36</f>
        <v>3.5478072801336254E-2</v>
      </c>
      <c r="AG36" s="1">
        <f>1000*'PIB corriente base 2004'!X20</f>
        <v>8228159556.5364265</v>
      </c>
      <c r="AH36" s="28">
        <f>'Cuenta Ahorro-Inversión-Financi'!CK32</f>
        <v>8456824.7788099945</v>
      </c>
      <c r="AI36" s="790">
        <f t="shared" si="10"/>
        <v>2016</v>
      </c>
      <c r="AJ36" s="791">
        <f>M58+N58-AE36+O58-'Cuenta Ahorro-Inversión-Financi'!CI32/AG36+Q58</f>
        <v>6.9534637798477295E-2</v>
      </c>
      <c r="AK36" s="792">
        <f t="shared" si="7"/>
        <v>-1.4847110303002439E-2</v>
      </c>
    </row>
    <row r="37" spans="2:37">
      <c r="L37" s="1">
        <f t="shared" si="15"/>
        <v>1995</v>
      </c>
      <c r="M37" s="786">
        <f t="shared" si="16"/>
        <v>5.3644670399752167E-2</v>
      </c>
      <c r="N37" s="786">
        <f t="shared" si="17"/>
        <v>5.355879882989893E-3</v>
      </c>
      <c r="O37" s="786">
        <f t="shared" si="18"/>
        <v>6.6383579073520721E-3</v>
      </c>
      <c r="P37" s="786">
        <f t="shared" si="19"/>
        <v>1.1921532722603625E-3</v>
      </c>
      <c r="Q37" s="786"/>
      <c r="R37" s="786">
        <f t="shared" si="20"/>
        <v>6.6831061462354499E-2</v>
      </c>
      <c r="S37" s="786"/>
      <c r="AD37" s="1">
        <f t="shared" si="9"/>
        <v>2017</v>
      </c>
      <c r="AE37" s="789">
        <f>('[2]Versión ordenada'!$P$4+'[2]Versión ordenada'!$P$11+'[2]Versión ordenada'!$P$17+'[2]Versión ordenada'!$P$18+AH37)/AG37</f>
        <v>3.7411734498076117E-2</v>
      </c>
      <c r="AG37" s="1">
        <f>1000*'PIB corriente base 2004'!X21</f>
        <v>10644778799.189043</v>
      </c>
      <c r="AH37" s="28">
        <f>'Cuenta Ahorro-Inversión-Financi'!CK33</f>
        <v>12132365.798009992</v>
      </c>
      <c r="AI37" s="790">
        <f t="shared" si="10"/>
        <v>2017</v>
      </c>
      <c r="AJ37" s="791">
        <f>M59+N59-AE37+O59-'Cuenta Ahorro-Inversión-Financi'!CI33/AG37+Q59</f>
        <v>6.8433027382566791E-2</v>
      </c>
      <c r="AK37" s="792">
        <f t="shared" si="7"/>
        <v>-1.2842931325901787E-2</v>
      </c>
    </row>
    <row r="38" spans="2:37">
      <c r="L38" s="1">
        <f t="shared" si="15"/>
        <v>1996</v>
      </c>
      <c r="M38" s="786">
        <f t="shared" si="16"/>
        <v>5.3162252663224489E-2</v>
      </c>
      <c r="N38" s="786">
        <f t="shared" si="17"/>
        <v>6.00272468782676E-3</v>
      </c>
      <c r="O38" s="786">
        <f t="shared" si="18"/>
        <v>7.4607589826252985E-3</v>
      </c>
      <c r="P38" s="786">
        <f t="shared" si="19"/>
        <v>1.7103134529435297E-3</v>
      </c>
      <c r="Q38" s="786"/>
      <c r="R38" s="786">
        <f t="shared" si="20"/>
        <v>6.8336049786620084E-2</v>
      </c>
      <c r="S38" s="786"/>
      <c r="AD38" s="1">
        <f t="shared" si="9"/>
        <v>2018</v>
      </c>
      <c r="AE38" s="789">
        <f>('[2]Versión ordenada'!$Q$18+'[2]Versión ordenada'!$Q$17+'[2]Versión ordenada'!$Q$4+'[2]Versión ordenada'!$Q$11)/AG38</f>
        <v>3.5967319151727732E-2</v>
      </c>
      <c r="AG38" s="1">
        <f>1000*'PIB corriente base 2004'!X22</f>
        <v>14566558892.138973</v>
      </c>
      <c r="AH38" s="28">
        <f>'Cuenta Ahorro-Inversión-Financi'!CK34</f>
        <v>12265763.244179994</v>
      </c>
      <c r="AI38" s="790">
        <f t="shared" si="10"/>
        <v>2018</v>
      </c>
      <c r="AJ38" s="791">
        <f>M60+N60-AE38+O60-'Cuenta Ahorro-Inversión-Financi'!CI33/AG37+Q60</f>
        <v>6.1999682297252258E-2</v>
      </c>
      <c r="AK38" s="792">
        <f t="shared" si="7"/>
        <v>-1.1294835805258044E-2</v>
      </c>
    </row>
    <row r="39" spans="2:37">
      <c r="L39" s="1">
        <f t="shared" si="15"/>
        <v>1997</v>
      </c>
      <c r="M39" s="786">
        <f t="shared" si="16"/>
        <v>5.0065966686067401E-2</v>
      </c>
      <c r="N39" s="786">
        <f t="shared" si="17"/>
        <v>5.3990300658729477E-3</v>
      </c>
      <c r="O39" s="786">
        <f t="shared" si="18"/>
        <v>7.21746011483045E-3</v>
      </c>
      <c r="P39" s="786">
        <f t="shared" si="19"/>
        <v>1.13559901995312E-3</v>
      </c>
      <c r="Q39" s="786"/>
      <c r="R39" s="786">
        <f t="shared" si="20"/>
        <v>6.3818055886723915E-2</v>
      </c>
      <c r="S39" s="786"/>
    </row>
    <row r="40" spans="2:37">
      <c r="L40" s="1">
        <f t="shared" si="15"/>
        <v>1998</v>
      </c>
      <c r="M40" s="786">
        <f t="shared" si="16"/>
        <v>4.9190355547857903E-2</v>
      </c>
      <c r="N40" s="786">
        <f t="shared" si="17"/>
        <v>4.7703499305596919E-3</v>
      </c>
      <c r="O40" s="786">
        <f t="shared" si="18"/>
        <v>8.1807347779316829E-3</v>
      </c>
      <c r="P40" s="786">
        <f t="shared" si="19"/>
        <v>1.0248131568665125E-3</v>
      </c>
      <c r="Q40" s="786"/>
      <c r="R40" s="786">
        <f t="shared" si="20"/>
        <v>6.31662534132158E-2</v>
      </c>
      <c r="S40" s="786"/>
    </row>
    <row r="41" spans="2:37">
      <c r="L41" s="1">
        <f t="shared" si="15"/>
        <v>1999</v>
      </c>
      <c r="M41" s="786">
        <f t="shared" si="16"/>
        <v>5.1749690321129138E-2</v>
      </c>
      <c r="N41" s="786">
        <f t="shared" si="17"/>
        <v>5.8732282382241395E-3</v>
      </c>
      <c r="O41" s="786">
        <f t="shared" si="18"/>
        <v>8.6815783052517515E-3</v>
      </c>
      <c r="P41" s="786">
        <f t="shared" si="19"/>
        <v>8.5904797363688221E-4</v>
      </c>
      <c r="Q41" s="786"/>
      <c r="R41" s="786">
        <f t="shared" si="20"/>
        <v>6.7163544838241912E-2</v>
      </c>
      <c r="S41" s="786"/>
    </row>
    <row r="42" spans="2:37">
      <c r="L42" s="1">
        <f t="shared" si="15"/>
        <v>2000</v>
      </c>
      <c r="M42" s="786">
        <f t="shared" si="16"/>
        <v>5.1850130065835651E-2</v>
      </c>
      <c r="N42" s="786">
        <f t="shared" si="17"/>
        <v>6.1308401763183794E-3</v>
      </c>
      <c r="O42" s="786">
        <f t="shared" si="18"/>
        <v>8.4237934290853547E-3</v>
      </c>
      <c r="P42" s="786">
        <f t="shared" si="19"/>
        <v>7.6389914743401916E-4</v>
      </c>
      <c r="Q42" s="786"/>
      <c r="R42" s="786">
        <f t="shared" si="20"/>
        <v>6.7168662818673411E-2</v>
      </c>
      <c r="S42" s="786"/>
      <c r="AJ42" s="455"/>
    </row>
    <row r="43" spans="2:37">
      <c r="L43" s="1">
        <f t="shared" si="15"/>
        <v>2001</v>
      </c>
      <c r="M43" s="786">
        <f t="shared" si="16"/>
        <v>5.2521530825534735E-2</v>
      </c>
      <c r="N43" s="786">
        <f t="shared" si="17"/>
        <v>6.2166992059071212E-3</v>
      </c>
      <c r="O43" s="786">
        <f t="shared" si="18"/>
        <v>8.5061734591231671E-3</v>
      </c>
      <c r="P43" s="786">
        <f t="shared" si="19"/>
        <v>6.8849236067155802E-4</v>
      </c>
      <c r="Q43" s="786"/>
      <c r="R43" s="786">
        <f t="shared" si="20"/>
        <v>6.7932895851236588E-2</v>
      </c>
      <c r="S43" s="786"/>
    </row>
    <row r="44" spans="2:37">
      <c r="L44" s="1">
        <f t="shared" si="15"/>
        <v>2002</v>
      </c>
      <c r="M44" s="786">
        <f t="shared" si="16"/>
        <v>4.4342162747713201E-2</v>
      </c>
      <c r="N44" s="786">
        <f t="shared" si="17"/>
        <v>6.7859175547552945E-3</v>
      </c>
      <c r="O44" s="786">
        <f t="shared" si="18"/>
        <v>6.7987279389676355E-3</v>
      </c>
      <c r="P44" s="786">
        <f t="shared" si="19"/>
        <v>6.741155799202933E-4</v>
      </c>
      <c r="Q44" s="786"/>
      <c r="R44" s="786">
        <f t="shared" si="20"/>
        <v>5.8600923821356427E-2</v>
      </c>
      <c r="S44" s="786"/>
    </row>
    <row r="45" spans="2:37">
      <c r="L45" s="1">
        <f t="shared" si="15"/>
        <v>2003</v>
      </c>
      <c r="M45" s="786">
        <f t="shared" si="16"/>
        <v>4.1415509916904091E-2</v>
      </c>
      <c r="N45" s="786">
        <f t="shared" si="17"/>
        <v>8.1561711866091641E-3</v>
      </c>
      <c r="O45" s="786">
        <f t="shared" si="18"/>
        <v>6.7961754609359255E-3</v>
      </c>
      <c r="P45" s="786">
        <f t="shared" si="19"/>
        <v>6.9561124327544065E-4</v>
      </c>
      <c r="Q45" s="786"/>
      <c r="R45" s="786">
        <f t="shared" si="20"/>
        <v>5.7063467807724616E-2</v>
      </c>
      <c r="S45" s="786"/>
    </row>
    <row r="46" spans="2:37">
      <c r="L46" s="1">
        <f t="shared" si="15"/>
        <v>2004</v>
      </c>
      <c r="M46" s="786">
        <f t="shared" si="16"/>
        <v>3.8183854690142072E-2</v>
      </c>
      <c r="N46" s="786">
        <f t="shared" si="17"/>
        <v>6.012535225050874E-3</v>
      </c>
      <c r="O46" s="786">
        <f t="shared" si="18"/>
        <v>6.2422259511127967E-3</v>
      </c>
      <c r="P46" s="786">
        <f t="shared" si="19"/>
        <v>6.201748342075749E-4</v>
      </c>
      <c r="Q46" s="786"/>
      <c r="R46" s="786">
        <f t="shared" si="20"/>
        <v>5.1058790700513314E-2</v>
      </c>
      <c r="S46" s="786"/>
    </row>
    <row r="47" spans="2:37">
      <c r="L47" s="1">
        <f t="shared" si="15"/>
        <v>2005</v>
      </c>
      <c r="M47" s="786">
        <f t="shared" si="16"/>
        <v>3.5905084940214153E-2</v>
      </c>
      <c r="N47" s="786">
        <f t="shared" si="17"/>
        <v>7.1714132424585859E-3</v>
      </c>
      <c r="O47" s="786">
        <f t="shared" si="18"/>
        <v>5.9711153834111769E-3</v>
      </c>
      <c r="P47" s="786">
        <f t="shared" si="19"/>
        <v>7.7527622947488732E-4</v>
      </c>
      <c r="Q47" s="786"/>
      <c r="R47" s="786">
        <f t="shared" si="20"/>
        <v>4.9822889795558808E-2</v>
      </c>
      <c r="S47" s="786"/>
    </row>
    <row r="48" spans="2:37">
      <c r="L48" s="1">
        <f t="shared" si="15"/>
        <v>2006</v>
      </c>
      <c r="M48" s="786">
        <f t="shared" si="16"/>
        <v>3.8262785751156547E-2</v>
      </c>
      <c r="N48" s="786">
        <f t="shared" si="17"/>
        <v>6.4501306174308062E-3</v>
      </c>
      <c r="O48" s="786">
        <f t="shared" si="18"/>
        <v>6.2637242419292328E-3</v>
      </c>
      <c r="P48" s="786">
        <f t="shared" si="19"/>
        <v>8.3738426362242894E-4</v>
      </c>
      <c r="Q48" s="786"/>
      <c r="R48" s="786">
        <f t="shared" si="20"/>
        <v>5.1814024874139011E-2</v>
      </c>
      <c r="S48" s="786"/>
    </row>
    <row r="49" spans="12:19">
      <c r="L49" s="1">
        <f t="shared" si="15"/>
        <v>2007</v>
      </c>
      <c r="M49" s="786">
        <f t="shared" si="16"/>
        <v>5.0789303915794337E-2</v>
      </c>
      <c r="N49" s="786">
        <f t="shared" si="17"/>
        <v>5.5903438281324118E-3</v>
      </c>
      <c r="O49" s="786">
        <f t="shared" si="18"/>
        <v>6.9437408213559055E-3</v>
      </c>
      <c r="P49" s="786">
        <f t="shared" si="19"/>
        <v>9.3443366631513894E-4</v>
      </c>
      <c r="Q49" s="786"/>
      <c r="R49" s="786">
        <f t="shared" si="20"/>
        <v>6.4257822231597803E-2</v>
      </c>
      <c r="S49" s="786"/>
    </row>
    <row r="50" spans="12:19">
      <c r="L50" s="1">
        <f t="shared" si="15"/>
        <v>2008</v>
      </c>
      <c r="M50" s="786">
        <f t="shared" si="16"/>
        <v>5.0134758704350135E-2</v>
      </c>
      <c r="N50" s="786">
        <f t="shared" si="17"/>
        <v>7.1767305900126265E-3</v>
      </c>
      <c r="O50" s="786">
        <f t="shared" si="18"/>
        <v>7.5547174932076733E-3</v>
      </c>
      <c r="P50" s="786">
        <f t="shared" si="19"/>
        <v>1.1011291376003744E-3</v>
      </c>
      <c r="Q50" s="786">
        <f t="shared" ref="Q50:Q60" si="21">R20</f>
        <v>1.1668965370281548E-3</v>
      </c>
      <c r="R50" s="786">
        <f t="shared" si="20"/>
        <v>6.7134232462198962E-2</v>
      </c>
      <c r="S50" s="786"/>
    </row>
    <row r="51" spans="12:19">
      <c r="L51" s="1">
        <f t="shared" si="15"/>
        <v>2009</v>
      </c>
      <c r="M51" s="786">
        <f t="shared" si="16"/>
        <v>5.8857647680850375E-2</v>
      </c>
      <c r="N51" s="786">
        <f t="shared" si="17"/>
        <v>1.0354874411312815E-2</v>
      </c>
      <c r="O51" s="786">
        <f t="shared" si="18"/>
        <v>9.632664602317504E-3</v>
      </c>
      <c r="P51" s="786">
        <f t="shared" si="19"/>
        <v>1.7812244536541564E-3</v>
      </c>
      <c r="Q51" s="786">
        <f t="shared" si="21"/>
        <v>1.6750269346199568E-3</v>
      </c>
      <c r="R51" s="786">
        <f t="shared" si="20"/>
        <v>8.2301438082754808E-2</v>
      </c>
      <c r="S51" s="786"/>
    </row>
    <row r="52" spans="12:19">
      <c r="L52" s="1">
        <f t="shared" si="15"/>
        <v>2010</v>
      </c>
      <c r="M52" s="786">
        <f t="shared" si="16"/>
        <v>5.5076484873527037E-2</v>
      </c>
      <c r="N52" s="786">
        <f t="shared" si="17"/>
        <v>1.3401132173323003E-2</v>
      </c>
      <c r="O52" s="786">
        <f t="shared" si="18"/>
        <v>1.0106337029217921E-2</v>
      </c>
      <c r="P52" s="786">
        <f t="shared" si="19"/>
        <v>1.9327338796220422E-3</v>
      </c>
      <c r="Q52" s="786">
        <f t="shared" si="21"/>
        <v>1.2916127891811728E-3</v>
      </c>
      <c r="R52" s="786">
        <f t="shared" si="20"/>
        <v>8.1808300744871193E-2</v>
      </c>
      <c r="S52" s="786"/>
    </row>
    <row r="53" spans="12:19">
      <c r="L53" s="1">
        <f t="shared" si="15"/>
        <v>2011</v>
      </c>
      <c r="M53" s="786">
        <f t="shared" si="16"/>
        <v>5.7999274922662644E-2</v>
      </c>
      <c r="N53" s="786">
        <f t="shared" si="17"/>
        <v>1.0979992404900015E-2</v>
      </c>
      <c r="O53" s="786">
        <f t="shared" si="18"/>
        <v>1.2099265132152627E-2</v>
      </c>
      <c r="P53" s="786">
        <f t="shared" si="19"/>
        <v>2.1921343380464898E-3</v>
      </c>
      <c r="Q53" s="786">
        <f t="shared" si="21"/>
        <v>1.0313332451235664E-3</v>
      </c>
      <c r="R53" s="786">
        <f t="shared" si="20"/>
        <v>8.4302000042885336E-2</v>
      </c>
      <c r="S53" s="786"/>
    </row>
    <row r="54" spans="12:19">
      <c r="L54" s="1">
        <f t="shared" si="15"/>
        <v>2012</v>
      </c>
      <c r="M54" s="786">
        <f t="shared" si="16"/>
        <v>6.6249457600258174E-2</v>
      </c>
      <c r="N54" s="786">
        <f t="shared" si="17"/>
        <v>9.9551530889321754E-3</v>
      </c>
      <c r="O54" s="786">
        <f t="shared" si="18"/>
        <v>1.2918271633261261E-2</v>
      </c>
      <c r="P54" s="786">
        <f t="shared" si="19"/>
        <v>2.3668122016848488E-3</v>
      </c>
      <c r="Q54" s="786">
        <f t="shared" si="21"/>
        <v>1.2353701400083462E-3</v>
      </c>
      <c r="R54" s="786">
        <f t="shared" si="20"/>
        <v>9.2725064664144805E-2</v>
      </c>
      <c r="S54" s="786"/>
    </row>
    <row r="55" spans="12:19">
      <c r="L55" s="1">
        <f t="shared" si="15"/>
        <v>2013</v>
      </c>
      <c r="M55" s="786">
        <f t="shared" si="16"/>
        <v>6.8977914462646672E-2</v>
      </c>
      <c r="N55" s="786">
        <f t="shared" si="17"/>
        <v>1.0714672094145936E-2</v>
      </c>
      <c r="O55" s="786">
        <f t="shared" si="18"/>
        <v>1.4621820030758721E-2</v>
      </c>
      <c r="P55" s="786">
        <f t="shared" si="19"/>
        <v>2.1080695696970185E-3</v>
      </c>
      <c r="Q55" s="786">
        <f t="shared" si="21"/>
        <v>1.6696788899997676E-3</v>
      </c>
      <c r="R55" s="786">
        <f t="shared" si="20"/>
        <v>9.8092155047248109E-2</v>
      </c>
      <c r="S55" s="786"/>
    </row>
    <row r="56" spans="12:19">
      <c r="L56" s="1">
        <f t="shared" si="15"/>
        <v>2014</v>
      </c>
      <c r="M56" s="786">
        <f t="shared" si="16"/>
        <v>6.688313609866868E-2</v>
      </c>
      <c r="N56" s="786">
        <f t="shared" si="17"/>
        <v>1.0675145393542581E-2</v>
      </c>
      <c r="O56" s="786">
        <f t="shared" si="18"/>
        <v>1.4141231944009588E-2</v>
      </c>
      <c r="P56" s="786">
        <f t="shared" si="19"/>
        <v>2.0813338150341737E-3</v>
      </c>
      <c r="Q56" s="786">
        <f t="shared" si="21"/>
        <v>1.80520724704594E-3</v>
      </c>
      <c r="R56" s="786">
        <f t="shared" si="20"/>
        <v>9.558605449830096E-2</v>
      </c>
      <c r="S56" s="786"/>
    </row>
    <row r="57" spans="12:19">
      <c r="L57" s="1">
        <f t="shared" si="15"/>
        <v>2015</v>
      </c>
      <c r="M57" s="786">
        <f t="shared" si="16"/>
        <v>7.5397363256175409E-2</v>
      </c>
      <c r="N57" s="786">
        <f t="shared" si="17"/>
        <v>1.1632850375665672E-2</v>
      </c>
      <c r="O57" s="786">
        <f t="shared" si="18"/>
        <v>1.453913181567601E-2</v>
      </c>
      <c r="P57" s="786">
        <f t="shared" si="19"/>
        <v>2.0992538040870605E-3</v>
      </c>
      <c r="Q57" s="786">
        <f t="shared" si="21"/>
        <v>1.7142465903260647E-3</v>
      </c>
      <c r="R57" s="786">
        <f t="shared" si="20"/>
        <v>0.10538284584193021</v>
      </c>
      <c r="S57" s="786"/>
    </row>
    <row r="58" spans="12:19">
      <c r="L58" s="1">
        <f t="shared" si="15"/>
        <v>2016</v>
      </c>
      <c r="M58" s="786">
        <f t="shared" si="16"/>
        <v>7.5677383227879952E-2</v>
      </c>
      <c r="N58" s="786">
        <f t="shared" si="17"/>
        <v>1.6346028618893924E-2</v>
      </c>
      <c r="O58" s="786">
        <f t="shared" si="18"/>
        <v>1.3742470621615904E-2</v>
      </c>
      <c r="P58" s="786">
        <f t="shared" si="19"/>
        <v>1.770725491435783E-3</v>
      </c>
      <c r="Q58" s="786">
        <f t="shared" si="21"/>
        <v>1.9710726181915404E-3</v>
      </c>
      <c r="R58" s="786">
        <f t="shared" si="20"/>
        <v>0.1095076805780171</v>
      </c>
      <c r="S58" s="786">
        <f>T28</f>
        <v>7.7108373463174616E-4</v>
      </c>
    </row>
    <row r="59" spans="12:19">
      <c r="L59" s="1">
        <f t="shared" si="15"/>
        <v>2017</v>
      </c>
      <c r="M59" s="786">
        <f t="shared" si="16"/>
        <v>7.9357221383588111E-2</v>
      </c>
      <c r="N59" s="786">
        <f t="shared" si="17"/>
        <v>1.4913625060521157E-2</v>
      </c>
      <c r="O59" s="786">
        <f t="shared" si="18"/>
        <v>1.2786672143228515E-2</v>
      </c>
      <c r="P59" s="786">
        <f t="shared" si="19"/>
        <v>1.7270509378138103E-3</v>
      </c>
      <c r="Q59" s="786">
        <f t="shared" si="21"/>
        <v>1.6931827770299091E-3</v>
      </c>
      <c r="R59" s="786">
        <f t="shared" si="20"/>
        <v>0.1104777523021815</v>
      </c>
      <c r="S59" s="786">
        <f>T29</f>
        <v>3.7188875483721521E-3</v>
      </c>
    </row>
    <row r="60" spans="12:19">
      <c r="L60" s="1">
        <f t="shared" si="15"/>
        <v>2018</v>
      </c>
      <c r="M60" s="786">
        <f t="shared" si="16"/>
        <v>7.4794637614749415E-2</v>
      </c>
      <c r="N60" s="786">
        <f t="shared" si="17"/>
        <v>1.4872065107734521E-2</v>
      </c>
      <c r="O60" s="786">
        <f t="shared" si="18"/>
        <v>9.6504177783760716E-3</v>
      </c>
      <c r="P60" s="786">
        <f t="shared" si="19"/>
        <v>1.4822546905173355E-3</v>
      </c>
      <c r="Q60" s="786">
        <f t="shared" si="21"/>
        <v>1.5558204318447749E-3</v>
      </c>
      <c r="R60" s="786">
        <f t="shared" si="20"/>
        <v>0.10235519562322212</v>
      </c>
      <c r="S60" s="786">
        <f>T30</f>
        <v>5.091301115412567E-3</v>
      </c>
    </row>
    <row r="61" spans="12:19">
      <c r="L61" s="319">
        <f t="shared" si="15"/>
        <v>2019</v>
      </c>
      <c r="M61" s="786">
        <f t="shared" ref="M61" si="22">M31+O31</f>
        <v>7.3989083667096084E-2</v>
      </c>
      <c r="N61" s="786">
        <f t="shared" si="17"/>
        <v>1.4290716004569234E-2</v>
      </c>
      <c r="O61" s="786">
        <f t="shared" ref="O61" si="23">Q31</f>
        <v>1.2752510808578395E-2</v>
      </c>
      <c r="P61" s="786">
        <f t="shared" si="19"/>
        <v>1.1994360341733058E-3</v>
      </c>
      <c r="Q61" s="786">
        <f t="shared" ref="Q61" si="24">R31</f>
        <v>2.2298965548432515E-3</v>
      </c>
      <c r="R61" s="786">
        <f t="shared" ref="R61" si="25">SUM(M61:Q61)</f>
        <v>0.10446164306926026</v>
      </c>
      <c r="S61" s="786">
        <f>T31</f>
        <v>4.5999999999999999E-3</v>
      </c>
    </row>
    <row r="68" spans="1:9">
      <c r="B68" s="797" t="s">
        <v>789</v>
      </c>
      <c r="C68" s="1" t="s">
        <v>777</v>
      </c>
      <c r="D68" s="1" t="s">
        <v>1107</v>
      </c>
      <c r="E68" s="1" t="s">
        <v>1108</v>
      </c>
      <c r="F68" s="1" t="s">
        <v>1109</v>
      </c>
      <c r="G68" s="1" t="s">
        <v>1110</v>
      </c>
      <c r="H68" s="1" t="s">
        <v>1111</v>
      </c>
      <c r="I68" s="1" t="s">
        <v>1112</v>
      </c>
    </row>
    <row r="69" spans="1:9">
      <c r="A69" s="1">
        <f t="shared" ref="A69:D94" si="26">A5</f>
        <v>1993</v>
      </c>
      <c r="B69" s="786">
        <f t="shared" si="26"/>
        <v>4.5352832912549039E-2</v>
      </c>
      <c r="C69" s="786">
        <f t="shared" si="26"/>
        <v>1.1426158691432906E-2</v>
      </c>
      <c r="D69" s="786">
        <f t="shared" si="26"/>
        <v>1.2477115671008975E-2</v>
      </c>
      <c r="E69" s="786"/>
      <c r="F69" s="786">
        <f t="shared" ref="F69:F94" si="27">SUM(B69:E69)</f>
        <v>6.925610727499093E-2</v>
      </c>
      <c r="G69" s="786">
        <f t="shared" ref="G69:G94" si="28">E5</f>
        <v>1.3557588672157268E-3</v>
      </c>
      <c r="H69" s="786"/>
      <c r="I69" s="786"/>
    </row>
    <row r="70" spans="1:9">
      <c r="A70" s="1">
        <f t="shared" si="26"/>
        <v>1994</v>
      </c>
      <c r="B70" s="786">
        <f t="shared" si="26"/>
        <v>4.1240641070148722E-2</v>
      </c>
      <c r="C70" s="786">
        <f t="shared" si="26"/>
        <v>1.2086918580086134E-2</v>
      </c>
      <c r="D70" s="786">
        <f t="shared" si="26"/>
        <v>1.0313805580301925E-2</v>
      </c>
      <c r="E70" s="786"/>
      <c r="F70" s="786">
        <f t="shared" si="27"/>
        <v>6.3641365230536776E-2</v>
      </c>
      <c r="G70" s="786">
        <f t="shared" si="28"/>
        <v>9.5319509687930845E-5</v>
      </c>
      <c r="H70" s="786"/>
      <c r="I70" s="786"/>
    </row>
    <row r="71" spans="1:9">
      <c r="A71" s="1">
        <f t="shared" si="26"/>
        <v>1995</v>
      </c>
      <c r="B71" s="786">
        <f t="shared" si="26"/>
        <v>3.671628422629266E-2</v>
      </c>
      <c r="C71" s="786">
        <f t="shared" si="26"/>
        <v>1.2112184053518191E-2</v>
      </c>
      <c r="D71" s="786">
        <f t="shared" si="26"/>
        <v>1.1591546064282976E-2</v>
      </c>
      <c r="E71" s="786"/>
      <c r="F71" s="786">
        <f t="shared" si="27"/>
        <v>6.0420014344093831E-2</v>
      </c>
      <c r="G71" s="786">
        <f t="shared" si="28"/>
        <v>3.1697520672467914E-5</v>
      </c>
      <c r="H71" s="786"/>
      <c r="I71" s="786"/>
    </row>
    <row r="72" spans="1:9">
      <c r="A72" s="1">
        <f t="shared" si="26"/>
        <v>1996</v>
      </c>
      <c r="B72" s="786">
        <f t="shared" si="26"/>
        <v>3.6384675884464944E-2</v>
      </c>
      <c r="C72" s="786">
        <f t="shared" si="26"/>
        <v>1.4674132007748912E-2</v>
      </c>
      <c r="D72" s="786">
        <f t="shared" si="26"/>
        <v>1.1873413888874359E-2</v>
      </c>
      <c r="E72" s="786"/>
      <c r="F72" s="786">
        <f t="shared" si="27"/>
        <v>6.2932221781088218E-2</v>
      </c>
      <c r="G72" s="786">
        <f t="shared" si="28"/>
        <v>1.1652327474047302E-4</v>
      </c>
      <c r="H72" s="786"/>
      <c r="I72" s="786"/>
    </row>
    <row r="73" spans="1:9">
      <c r="A73" s="1">
        <f t="shared" si="26"/>
        <v>1997</v>
      </c>
      <c r="B73" s="786">
        <f t="shared" si="26"/>
        <v>2.8181988867876529E-2</v>
      </c>
      <c r="C73" s="786">
        <f t="shared" si="26"/>
        <v>2.008539468875652E-2</v>
      </c>
      <c r="D73" s="786">
        <f t="shared" si="26"/>
        <v>1.2286423141515632E-2</v>
      </c>
      <c r="E73" s="786"/>
      <c r="F73" s="786">
        <f t="shared" si="27"/>
        <v>6.0553806698148679E-2</v>
      </c>
      <c r="G73" s="786">
        <f t="shared" si="28"/>
        <v>1.0830390046298377E-4</v>
      </c>
      <c r="H73" s="786"/>
      <c r="I73" s="786"/>
    </row>
    <row r="74" spans="1:9">
      <c r="A74" s="1">
        <f t="shared" si="26"/>
        <v>1998</v>
      </c>
      <c r="B74" s="786">
        <f t="shared" si="26"/>
        <v>2.6496521923346422E-2</v>
      </c>
      <c r="C74" s="786">
        <f t="shared" si="26"/>
        <v>2.1257840347759106E-2</v>
      </c>
      <c r="D74" s="786">
        <f t="shared" si="26"/>
        <v>1.2703332712976441E-2</v>
      </c>
      <c r="E74" s="786"/>
      <c r="F74" s="786">
        <f t="shared" si="27"/>
        <v>6.0457694984081968E-2</v>
      </c>
      <c r="G74" s="786">
        <f t="shared" si="28"/>
        <v>4.8496305148205421E-5</v>
      </c>
      <c r="H74" s="786"/>
      <c r="I74" s="786"/>
    </row>
    <row r="75" spans="1:9">
      <c r="A75" s="1">
        <f t="shared" si="26"/>
        <v>1999</v>
      </c>
      <c r="B75" s="786">
        <f t="shared" si="26"/>
        <v>2.4905564668713822E-2</v>
      </c>
      <c r="C75" s="786">
        <f t="shared" si="26"/>
        <v>2.1430330231537533E-2</v>
      </c>
      <c r="D75" s="786">
        <f t="shared" si="26"/>
        <v>1.3059061033359248E-2</v>
      </c>
      <c r="E75" s="786"/>
      <c r="F75" s="786">
        <f t="shared" si="27"/>
        <v>5.9394955933610605E-2</v>
      </c>
      <c r="G75" s="786">
        <f t="shared" si="28"/>
        <v>8.9008900038115067E-6</v>
      </c>
      <c r="H75" s="786"/>
      <c r="I75" s="786"/>
    </row>
    <row r="76" spans="1:9">
      <c r="A76" s="1">
        <f t="shared" si="26"/>
        <v>2000</v>
      </c>
      <c r="B76" s="786">
        <f t="shared" si="26"/>
        <v>2.36198765665383E-2</v>
      </c>
      <c r="C76" s="786">
        <f t="shared" si="26"/>
        <v>2.3556870770297954E-2</v>
      </c>
      <c r="D76" s="786">
        <f t="shared" si="26"/>
        <v>1.3248290446669314E-2</v>
      </c>
      <c r="E76" s="786"/>
      <c r="F76" s="786">
        <f t="shared" si="27"/>
        <v>6.0425037783505574E-2</v>
      </c>
      <c r="G76" s="786">
        <f t="shared" si="28"/>
        <v>5.0805813937639194E-6</v>
      </c>
      <c r="H76" s="786"/>
      <c r="I76" s="786"/>
    </row>
    <row r="77" spans="1:9">
      <c r="A77" s="1">
        <f t="shared" si="26"/>
        <v>2001</v>
      </c>
      <c r="B77" s="786">
        <f t="shared" si="26"/>
        <v>2.387586963380494E-2</v>
      </c>
      <c r="C77" s="786">
        <f t="shared" si="26"/>
        <v>2.144577363317738E-2</v>
      </c>
      <c r="D77" s="786">
        <f t="shared" si="26"/>
        <v>1.2445044343194066E-2</v>
      </c>
      <c r="E77" s="786"/>
      <c r="F77" s="786">
        <f t="shared" si="27"/>
        <v>5.7766687610176386E-2</v>
      </c>
      <c r="G77" s="786">
        <f t="shared" si="28"/>
        <v>1.2795037999963891E-6</v>
      </c>
      <c r="H77" s="786"/>
      <c r="I77" s="786"/>
    </row>
    <row r="78" spans="1:9">
      <c r="A78" s="1">
        <f t="shared" si="26"/>
        <v>2002</v>
      </c>
      <c r="B78" s="786">
        <f t="shared" si="26"/>
        <v>2.0451199643396614E-2</v>
      </c>
      <c r="C78" s="786">
        <f t="shared" si="26"/>
        <v>1.7055519971740474E-2</v>
      </c>
      <c r="D78" s="786">
        <f t="shared" si="26"/>
        <v>9.6369580470071613E-3</v>
      </c>
      <c r="E78" s="786"/>
      <c r="F78" s="786">
        <f t="shared" si="27"/>
        <v>4.7143677662144251E-2</v>
      </c>
      <c r="G78" s="786">
        <f t="shared" si="28"/>
        <v>1.7183089538788257E-5</v>
      </c>
      <c r="H78" s="786"/>
      <c r="I78" s="786"/>
    </row>
    <row r="79" spans="1:9">
      <c r="A79" s="1">
        <f t="shared" si="26"/>
        <v>2003</v>
      </c>
      <c r="B79" s="786">
        <f t="shared" si="26"/>
        <v>2.0472673983102898E-2</v>
      </c>
      <c r="C79" s="786">
        <f t="shared" si="26"/>
        <v>1.9855391614481178E-2</v>
      </c>
      <c r="D79" s="786">
        <f t="shared" si="26"/>
        <v>1.1802672712088739E-2</v>
      </c>
      <c r="E79" s="786"/>
      <c r="F79" s="786">
        <f t="shared" si="27"/>
        <v>5.2130738309672811E-2</v>
      </c>
      <c r="G79" s="786">
        <f t="shared" si="28"/>
        <v>5.4597090170212923E-6</v>
      </c>
      <c r="H79" s="786"/>
      <c r="I79" s="786"/>
    </row>
    <row r="80" spans="1:9">
      <c r="A80" s="1">
        <f t="shared" si="26"/>
        <v>2004</v>
      </c>
      <c r="B80" s="786">
        <f t="shared" si="26"/>
        <v>1.9858383068615145E-2</v>
      </c>
      <c r="C80" s="786">
        <f t="shared" si="26"/>
        <v>2.1674207616184295E-2</v>
      </c>
      <c r="D80" s="786">
        <f t="shared" si="26"/>
        <v>1.3324283644975191E-2</v>
      </c>
      <c r="E80" s="786"/>
      <c r="F80" s="786">
        <f t="shared" si="27"/>
        <v>5.4856874329774631E-2</v>
      </c>
      <c r="G80" s="786">
        <f t="shared" si="28"/>
        <v>2.3088096995920518E-5</v>
      </c>
      <c r="H80" s="786"/>
      <c r="I80" s="786"/>
    </row>
    <row r="81" spans="1:9">
      <c r="A81" s="1">
        <f t="shared" si="26"/>
        <v>2005</v>
      </c>
      <c r="B81" s="786">
        <f t="shared" si="26"/>
        <v>2.142497776030532E-2</v>
      </c>
      <c r="C81" s="786">
        <f t="shared" si="26"/>
        <v>2.1947140589457386E-2</v>
      </c>
      <c r="D81" s="786">
        <f t="shared" si="26"/>
        <v>1.3961831821235454E-2</v>
      </c>
      <c r="E81" s="786"/>
      <c r="F81" s="786">
        <f t="shared" si="27"/>
        <v>5.7333950170998162E-2</v>
      </c>
      <c r="G81" s="786">
        <f t="shared" si="28"/>
        <v>6.6475850715056454E-5</v>
      </c>
      <c r="H81" s="786"/>
      <c r="I81" s="786"/>
    </row>
    <row r="82" spans="1:9">
      <c r="A82" s="1">
        <f t="shared" si="26"/>
        <v>2006</v>
      </c>
      <c r="B82" s="786">
        <f t="shared" si="26"/>
        <v>2.525758774444406E-2</v>
      </c>
      <c r="C82" s="786">
        <f t="shared" si="26"/>
        <v>2.1219679943127439E-2</v>
      </c>
      <c r="D82" s="786">
        <f t="shared" si="26"/>
        <v>1.4113123533386727E-2</v>
      </c>
      <c r="E82" s="786"/>
      <c r="F82" s="786">
        <f t="shared" si="27"/>
        <v>6.0590391220958231E-2</v>
      </c>
      <c r="G82" s="786">
        <f t="shared" si="28"/>
        <v>4.0142879943149833E-4</v>
      </c>
      <c r="H82" s="786"/>
      <c r="I82" s="786"/>
    </row>
    <row r="83" spans="1:9">
      <c r="A83" s="1">
        <f t="shared" si="26"/>
        <v>2007</v>
      </c>
      <c r="B83" s="786">
        <f t="shared" si="26"/>
        <v>3.8504796638148854E-2</v>
      </c>
      <c r="C83" s="786">
        <f t="shared" si="26"/>
        <v>2.0954867995993498E-2</v>
      </c>
      <c r="D83" s="786">
        <f t="shared" si="26"/>
        <v>1.4906804729574941E-2</v>
      </c>
      <c r="E83" s="786"/>
      <c r="F83" s="786">
        <f t="shared" si="27"/>
        <v>7.4366469363717297E-2</v>
      </c>
      <c r="G83" s="786">
        <f t="shared" si="28"/>
        <v>7.3792881718357851E-4</v>
      </c>
      <c r="H83" s="786"/>
      <c r="I83" s="786"/>
    </row>
    <row r="84" spans="1:9">
      <c r="A84" s="1">
        <f t="shared" si="26"/>
        <v>2008</v>
      </c>
      <c r="B84" s="786">
        <f t="shared" si="26"/>
        <v>3.685080167369819E-2</v>
      </c>
      <c r="C84" s="786">
        <f t="shared" si="26"/>
        <v>2.043922790165011E-2</v>
      </c>
      <c r="D84" s="786">
        <f t="shared" si="26"/>
        <v>1.4573037647607418E-2</v>
      </c>
      <c r="E84" s="786"/>
      <c r="F84" s="786">
        <f t="shared" si="27"/>
        <v>7.1863067222955726E-2</v>
      </c>
      <c r="G84" s="786">
        <f t="shared" si="28"/>
        <v>9.7198055036460665E-4</v>
      </c>
      <c r="H84" s="786"/>
      <c r="I84" s="786"/>
    </row>
    <row r="85" spans="1:9">
      <c r="A85" s="1">
        <f t="shared" si="26"/>
        <v>2009</v>
      </c>
      <c r="B85" s="786">
        <f t="shared" si="26"/>
        <v>5.0770137181938908E-2</v>
      </c>
      <c r="C85" s="786">
        <f t="shared" si="26"/>
        <v>2.0392118134628833E-2</v>
      </c>
      <c r="D85" s="786">
        <f t="shared" si="26"/>
        <v>1.4617359798054395E-2</v>
      </c>
      <c r="E85" s="786"/>
      <c r="F85" s="786">
        <f t="shared" si="27"/>
        <v>8.5779615114622135E-2</v>
      </c>
      <c r="G85" s="786">
        <f t="shared" si="28"/>
        <v>6.8009570031728585E-3</v>
      </c>
      <c r="H85" s="786"/>
      <c r="I85" s="786"/>
    </row>
    <row r="86" spans="1:9">
      <c r="A86" s="1">
        <f t="shared" si="26"/>
        <v>2010</v>
      </c>
      <c r="B86" s="786">
        <f t="shared" si="26"/>
        <v>5.0487311577959881E-2</v>
      </c>
      <c r="C86" s="786">
        <f t="shared" si="26"/>
        <v>2.0640763106550608E-2</v>
      </c>
      <c r="D86" s="786">
        <f t="shared" si="26"/>
        <v>1.4744221894204591E-2</v>
      </c>
      <c r="E86" s="786">
        <f t="shared" ref="E86:E94" si="29">F22</f>
        <v>4.7841968382753223E-5</v>
      </c>
      <c r="F86" s="786">
        <f t="shared" si="27"/>
        <v>8.5920138547097832E-2</v>
      </c>
      <c r="G86" s="786">
        <f t="shared" si="28"/>
        <v>5.2443989926986359E-3</v>
      </c>
      <c r="H86" s="786"/>
      <c r="I86" s="786"/>
    </row>
    <row r="87" spans="1:9">
      <c r="A87" s="1">
        <f t="shared" si="26"/>
        <v>2011</v>
      </c>
      <c r="B87" s="786">
        <f t="shared" si="26"/>
        <v>5.1623947009385961E-2</v>
      </c>
      <c r="C87" s="786">
        <f t="shared" si="26"/>
        <v>2.1055525547648633E-2</v>
      </c>
      <c r="D87" s="786">
        <f t="shared" si="26"/>
        <v>1.4885606544660831E-2</v>
      </c>
      <c r="E87" s="786">
        <f t="shared" si="29"/>
        <v>1.2765066065424809E-3</v>
      </c>
      <c r="F87" s="786">
        <f t="shared" si="27"/>
        <v>8.88415857082379E-2</v>
      </c>
      <c r="G87" s="786">
        <f t="shared" si="28"/>
        <v>5.065882077998545E-3</v>
      </c>
      <c r="H87" s="786"/>
      <c r="I87" s="786"/>
    </row>
    <row r="88" spans="1:9">
      <c r="A88" s="1">
        <f t="shared" si="26"/>
        <v>2012</v>
      </c>
      <c r="B88" s="786">
        <f t="shared" si="26"/>
        <v>5.5778278265297979E-2</v>
      </c>
      <c r="C88" s="786">
        <f t="shared" si="26"/>
        <v>2.2440098912537731E-2</v>
      </c>
      <c r="D88" s="786">
        <f t="shared" si="26"/>
        <v>1.5558304996599116E-2</v>
      </c>
      <c r="E88" s="786">
        <f t="shared" si="29"/>
        <v>4.7449512468222062E-4</v>
      </c>
      <c r="F88" s="786">
        <f t="shared" si="27"/>
        <v>9.4251177299117042E-2</v>
      </c>
      <c r="G88" s="786">
        <f t="shared" si="28"/>
        <v>6.5768966604751464E-3</v>
      </c>
      <c r="H88" s="786"/>
      <c r="I88" s="786"/>
    </row>
    <row r="89" spans="1:9">
      <c r="A89" s="1">
        <f t="shared" si="26"/>
        <v>2013</v>
      </c>
      <c r="B89" s="786">
        <f t="shared" si="26"/>
        <v>5.7671902775210067E-2</v>
      </c>
      <c r="C89" s="786">
        <f t="shared" si="26"/>
        <v>2.2331853031304708E-2</v>
      </c>
      <c r="D89" s="786">
        <f t="shared" si="26"/>
        <v>1.5914800261768496E-2</v>
      </c>
      <c r="E89" s="786">
        <f t="shared" si="29"/>
        <v>1.2219304208036792E-3</v>
      </c>
      <c r="F89" s="786">
        <f t="shared" si="27"/>
        <v>9.7140486489086963E-2</v>
      </c>
      <c r="G89" s="786">
        <f t="shared" si="28"/>
        <v>6.8312467518398812E-3</v>
      </c>
      <c r="H89" s="786"/>
      <c r="I89" s="786"/>
    </row>
    <row r="90" spans="1:9">
      <c r="A90" s="1">
        <f t="shared" si="26"/>
        <v>2014</v>
      </c>
      <c r="B90" s="786">
        <f t="shared" si="26"/>
        <v>5.4209806865289416E-2</v>
      </c>
      <c r="C90" s="786">
        <f t="shared" si="26"/>
        <v>2.2579375080733533E-2</v>
      </c>
      <c r="D90" s="786">
        <f t="shared" si="26"/>
        <v>1.5871302582137044E-2</v>
      </c>
      <c r="E90" s="786">
        <f t="shared" si="29"/>
        <v>1.6327062141724975E-3</v>
      </c>
      <c r="F90" s="786">
        <f t="shared" si="27"/>
        <v>9.42931907423325E-2</v>
      </c>
      <c r="G90" s="786">
        <f t="shared" si="28"/>
        <v>8.38241527111434E-3</v>
      </c>
      <c r="H90" s="786"/>
      <c r="I90" s="786"/>
    </row>
    <row r="91" spans="1:9">
      <c r="A91" s="1">
        <f t="shared" si="26"/>
        <v>2015</v>
      </c>
      <c r="B91" s="786">
        <f t="shared" si="26"/>
        <v>5.6429715829916419E-2</v>
      </c>
      <c r="C91" s="786">
        <f t="shared" si="26"/>
        <v>2.3642605265148511E-2</v>
      </c>
      <c r="D91" s="786">
        <f t="shared" si="26"/>
        <v>1.6055108102521049E-2</v>
      </c>
      <c r="E91" s="786">
        <f t="shared" si="29"/>
        <v>1.7480835825710128E-3</v>
      </c>
      <c r="F91" s="786">
        <f t="shared" si="27"/>
        <v>9.7875512780156992E-2</v>
      </c>
      <c r="G91" s="786">
        <f t="shared" si="28"/>
        <v>8.9312093248872185E-3</v>
      </c>
      <c r="H91" s="786"/>
      <c r="I91" s="786"/>
    </row>
    <row r="92" spans="1:9">
      <c r="A92" s="1">
        <f t="shared" si="26"/>
        <v>2016</v>
      </c>
      <c r="B92" s="786">
        <f t="shared" si="26"/>
        <v>5.4687527495474855E-2</v>
      </c>
      <c r="C92" s="786">
        <f t="shared" si="26"/>
        <v>2.1229363568431997E-2</v>
      </c>
      <c r="D92" s="786">
        <f t="shared" si="26"/>
        <v>1.1533398062803835E-2</v>
      </c>
      <c r="E92" s="786">
        <f t="shared" si="29"/>
        <v>1.7105917554574937E-3</v>
      </c>
      <c r="F92" s="786">
        <f t="shared" si="27"/>
        <v>8.9160880882168184E-2</v>
      </c>
      <c r="G92" s="786">
        <f t="shared" si="28"/>
        <v>8.8075849695962542E-3</v>
      </c>
      <c r="H92" s="786">
        <f>G28</f>
        <v>3.8062867430678814E-3</v>
      </c>
      <c r="I92" s="786">
        <f>I28</f>
        <v>1.2582496643220224E-2</v>
      </c>
    </row>
    <row r="93" spans="1:9">
      <c r="A93" s="1">
        <f t="shared" si="26"/>
        <v>2017</v>
      </c>
      <c r="B93" s="786">
        <f t="shared" si="26"/>
        <v>5.5590096056665005E-2</v>
      </c>
      <c r="C93" s="786">
        <f t="shared" si="26"/>
        <v>2.1365199313940306E-2</v>
      </c>
      <c r="D93" s="786">
        <f t="shared" si="26"/>
        <v>8.3124002766656289E-3</v>
      </c>
      <c r="E93" s="786">
        <f t="shared" si="29"/>
        <v>1.1053546467209253E-3</v>
      </c>
      <c r="F93" s="786">
        <f t="shared" si="27"/>
        <v>8.6373050293991865E-2</v>
      </c>
      <c r="G93" s="786">
        <f t="shared" si="28"/>
        <v>1.0359687540638353E-2</v>
      </c>
      <c r="H93" s="786">
        <f>G29</f>
        <v>7.6045316092612043E-3</v>
      </c>
      <c r="I93" s="786">
        <f>I29</f>
        <v>4.2096363400800623E-3</v>
      </c>
    </row>
    <row r="94" spans="1:9">
      <c r="A94" s="1">
        <f t="shared" si="26"/>
        <v>2018</v>
      </c>
      <c r="B94" s="786">
        <f t="shared" si="26"/>
        <v>5.0704846491994214E-2</v>
      </c>
      <c r="C94" s="786">
        <f t="shared" si="26"/>
        <v>2.6720252660672565E-2</v>
      </c>
      <c r="D94" s="786">
        <f t="shared" si="26"/>
        <v>6.3356487062846906E-3</v>
      </c>
      <c r="E94" s="786">
        <f t="shared" si="29"/>
        <v>3.2264996405817985E-4</v>
      </c>
      <c r="F94" s="786">
        <f t="shared" si="27"/>
        <v>8.4083397823009651E-2</v>
      </c>
      <c r="G94" s="786">
        <f t="shared" si="28"/>
        <v>1.2578886934714758E-2</v>
      </c>
      <c r="H94" s="786">
        <f>G30</f>
        <v>1.213366048836579E-2</v>
      </c>
      <c r="I94" s="786"/>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V3:V4"/>
    <mergeCell ref="W3:W4"/>
    <mergeCell ref="Q3:Q4"/>
    <mergeCell ref="R3:R4"/>
    <mergeCell ref="S3:S4"/>
    <mergeCell ref="T3:T4"/>
    <mergeCell ref="U3:U4"/>
  </mergeCells>
  <pageMargins left="0.7" right="0.7" top="0.75" bottom="0.75" header="0.51180555555555496" footer="0.51180555555555496"/>
  <pageSetup paperSize="9" firstPageNumber="0"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B91"/>
  <sheetViews>
    <sheetView topLeftCell="A2" zoomScale="70" zoomScaleNormal="70" workbookViewId="0">
      <selection activeCell="K56" sqref="K56"/>
    </sheetView>
    <sheetView workbookViewId="1"/>
  </sheetViews>
  <sheetFormatPr baseColWidth="10" defaultColWidth="10.42578125" defaultRowHeight="15"/>
  <cols>
    <col min="4" max="4" width="15.42578125" customWidth="1"/>
    <col min="5" max="5" width="16.140625" customWidth="1"/>
    <col min="6" max="6" width="21.42578125" customWidth="1"/>
    <col min="7" max="7" width="30.28515625" customWidth="1"/>
    <col min="8" max="8" width="13.42578125" customWidth="1"/>
    <col min="9" max="9" width="15.7109375" customWidth="1"/>
    <col min="10" max="10" width="20.28515625" customWidth="1"/>
    <col min="11" max="11" width="12.42578125" customWidth="1"/>
    <col min="12" max="12" width="11.42578125" customWidth="1"/>
    <col min="15" max="15" width="11.42578125" customWidth="1"/>
  </cols>
  <sheetData>
    <row r="4" spans="3:18" ht="15" customHeight="1">
      <c r="C4" s="830"/>
      <c r="D4" s="830" t="s">
        <v>1113</v>
      </c>
      <c r="E4" s="830" t="s">
        <v>1114</v>
      </c>
      <c r="F4" s="830" t="s">
        <v>1115</v>
      </c>
      <c r="G4" s="830" t="s">
        <v>1116</v>
      </c>
      <c r="H4" s="830" t="s">
        <v>1117</v>
      </c>
      <c r="I4" s="830" t="s">
        <v>1118</v>
      </c>
      <c r="J4" s="830" t="s">
        <v>1119</v>
      </c>
      <c r="K4" s="830" t="s">
        <v>1120</v>
      </c>
      <c r="L4" s="830" t="s">
        <v>1121</v>
      </c>
      <c r="M4" s="830" t="s">
        <v>1105</v>
      </c>
      <c r="N4" s="830" t="s">
        <v>1122</v>
      </c>
      <c r="O4" s="830"/>
      <c r="P4" s="830" t="s">
        <v>1123</v>
      </c>
      <c r="Q4" s="830" t="s">
        <v>1124</v>
      </c>
      <c r="R4" s="830" t="s">
        <v>1087</v>
      </c>
    </row>
    <row r="5" spans="3:18" ht="20.25" customHeight="1">
      <c r="C5" s="830"/>
      <c r="D5" s="830"/>
      <c r="E5" s="830"/>
      <c r="F5" s="830"/>
      <c r="G5" s="830"/>
      <c r="H5" s="830"/>
      <c r="I5" s="830"/>
      <c r="J5" s="830"/>
      <c r="K5" s="830"/>
      <c r="L5" s="830"/>
      <c r="M5" s="830"/>
      <c r="N5" s="830"/>
      <c r="O5" s="830"/>
      <c r="P5" s="830"/>
      <c r="Q5" s="830"/>
      <c r="R5" s="830"/>
    </row>
    <row r="6" spans="3:18" ht="15.75">
      <c r="C6" s="783">
        <v>1993</v>
      </c>
      <c r="D6" s="784">
        <f>'Resultado ANSES por etapas'!M5</f>
        <v>5.2637093191058193E-2</v>
      </c>
      <c r="E6" s="784"/>
      <c r="F6" s="784">
        <f>'Resultado ANSES por etapas'!Q5-'Cuenta Ahorro-Inversión-Financi'!CJ9/1000/'PIB corriente base 1993'!V8</f>
        <v>5.2886285344030236E-3</v>
      </c>
      <c r="G6" s="784">
        <f>'Resultado ANSES por etapas'!P5</f>
        <v>1.4899099917563394E-3</v>
      </c>
      <c r="H6" s="784">
        <f>'Resultado ANSES por etapas'!N5</f>
        <v>1.1642303700452977E-2</v>
      </c>
      <c r="I6" s="784"/>
      <c r="J6" s="784"/>
      <c r="K6" s="784">
        <f>'Cuenta Ahorro-Inversión-Financi'!CJ9/1000/'PIB corriente base 1993'!V8</f>
        <v>0</v>
      </c>
      <c r="L6" s="784"/>
      <c r="M6" s="784">
        <f t="shared" ref="M6:M31" si="0">SUM(D6:L6)</f>
        <v>7.105793541767054E-2</v>
      </c>
      <c r="N6" s="784"/>
      <c r="O6" s="783">
        <v>1993</v>
      </c>
      <c r="P6" s="784">
        <f t="shared" ref="P6:P31" si="1">K6+J6+I6</f>
        <v>0</v>
      </c>
      <c r="Q6" s="784">
        <f t="shared" ref="Q6:Q31" si="2">D6+H6+F6+G6+E6</f>
        <v>7.105793541767054E-2</v>
      </c>
      <c r="R6" s="784"/>
    </row>
    <row r="7" spans="3:18" ht="15.75">
      <c r="C7" s="788">
        <v>1994</v>
      </c>
      <c r="D7" s="787">
        <f>'Resultado ANSES por etapas'!M6</f>
        <v>5.6464426220353491E-2</v>
      </c>
      <c r="E7" s="787"/>
      <c r="F7" s="787">
        <f>'Resultado ANSES por etapas'!Q6-'Cuenta Ahorro-Inversión-Financi'!CJ10/1000/'PIB corriente base 1993'!V9</f>
        <v>6.7753088693605253E-3</v>
      </c>
      <c r="G7" s="787">
        <f>'Resultado ANSES por etapas'!P6</f>
        <v>1.146258007796943E-3</v>
      </c>
      <c r="H7" s="787">
        <f>'Resultado ANSES por etapas'!N6-K7</f>
        <v>1.0724084071542239E-2</v>
      </c>
      <c r="I7" s="787"/>
      <c r="J7" s="787"/>
      <c r="K7" s="787">
        <f>440721/1000/'PIB corriente base 1993'!V9</f>
        <v>1.7119370322330593E-3</v>
      </c>
      <c r="L7" s="787"/>
      <c r="M7" s="787">
        <f t="shared" si="0"/>
        <v>7.6822014201286259E-2</v>
      </c>
      <c r="N7" s="787"/>
      <c r="O7" s="788">
        <v>1994</v>
      </c>
      <c r="P7" s="787">
        <f t="shared" si="1"/>
        <v>1.7119370322330593E-3</v>
      </c>
      <c r="Q7" s="787">
        <f t="shared" si="2"/>
        <v>7.5110077169053199E-2</v>
      </c>
      <c r="R7" s="787"/>
    </row>
    <row r="8" spans="3:18" ht="15.75">
      <c r="C8" s="788">
        <v>1995</v>
      </c>
      <c r="D8" s="784">
        <f>'Resultado ANSES por etapas'!M7</f>
        <v>5.3644670399752167E-2</v>
      </c>
      <c r="E8" s="784"/>
      <c r="F8" s="784">
        <f>'Resultado ANSES por etapas'!Q7-'Cuenta Ahorro-Inversión-Financi'!CJ11/1000/'PIB corriente base 1993'!V10</f>
        <v>6.6383579073520721E-3</v>
      </c>
      <c r="G8" s="784">
        <f>'Resultado ANSES por etapas'!P7</f>
        <v>1.1921532722603625E-3</v>
      </c>
      <c r="H8" s="784">
        <f>'Resultado ANSES por etapas'!N7-K8</f>
        <v>3.3718670237501795E-3</v>
      </c>
      <c r="I8" s="784"/>
      <c r="J8" s="784"/>
      <c r="K8" s="784">
        <f>511938.578/1000/'PIB corriente base 1993'!V10</f>
        <v>1.9840128592397135E-3</v>
      </c>
      <c r="L8" s="784"/>
      <c r="M8" s="784">
        <f t="shared" si="0"/>
        <v>6.6831061462354499E-2</v>
      </c>
      <c r="N8" s="784"/>
      <c r="O8" s="788">
        <v>1995</v>
      </c>
      <c r="P8" s="784">
        <f t="shared" si="1"/>
        <v>1.9840128592397135E-3</v>
      </c>
      <c r="Q8" s="784">
        <f t="shared" si="2"/>
        <v>6.4847048603114785E-2</v>
      </c>
      <c r="R8" s="784"/>
    </row>
    <row r="9" spans="3:18" ht="15.75">
      <c r="C9" s="788">
        <v>1996</v>
      </c>
      <c r="D9" s="787">
        <f>'Resultado ANSES por etapas'!M8</f>
        <v>5.3162252663224489E-2</v>
      </c>
      <c r="E9" s="787"/>
      <c r="F9" s="787">
        <f>'Resultado ANSES por etapas'!Q8-'Cuenta Ahorro-Inversión-Financi'!CJ12/1000/'PIB corriente base 1993'!V11</f>
        <v>5.4895849729759902E-3</v>
      </c>
      <c r="G9" s="787">
        <f>'Resultado ANSES por etapas'!P8</f>
        <v>1.7103134529435297E-3</v>
      </c>
      <c r="H9" s="787">
        <f>'Resultado ANSES por etapas'!N8</f>
        <v>6.00272468782676E-3</v>
      </c>
      <c r="I9" s="787"/>
      <c r="J9" s="787"/>
      <c r="K9" s="787">
        <f>'Cuenta Ahorro-Inversión-Financi'!CJ12/1000/'PIB corriente base 1993'!V11</f>
        <v>1.9711740096493078E-3</v>
      </c>
      <c r="L9" s="787"/>
      <c r="M9" s="787">
        <f t="shared" si="0"/>
        <v>6.8336049786620071E-2</v>
      </c>
      <c r="N9" s="787"/>
      <c r="O9" s="788">
        <v>1996</v>
      </c>
      <c r="P9" s="787">
        <f t="shared" si="1"/>
        <v>1.9711740096493078E-3</v>
      </c>
      <c r="Q9" s="787">
        <f t="shared" si="2"/>
        <v>6.6364875776970783E-2</v>
      </c>
      <c r="R9" s="787"/>
    </row>
    <row r="10" spans="3:18" ht="15.75">
      <c r="C10" s="788">
        <v>1997</v>
      </c>
      <c r="D10" s="784">
        <f>'Resultado ANSES por etapas'!M9</f>
        <v>5.0065966686067401E-2</v>
      </c>
      <c r="E10" s="784"/>
      <c r="F10" s="784">
        <f>'Resultado ANSES por etapas'!Q9-'Cuenta Ahorro-Inversión-Financi'!CJ13/1000/'PIB corriente base 1993'!V12</f>
        <v>5.3513718269038264E-3</v>
      </c>
      <c r="G10" s="784">
        <f>'Resultado ANSES por etapas'!P9</f>
        <v>1.13559901995312E-3</v>
      </c>
      <c r="H10" s="784">
        <f>'Resultado ANSES por etapas'!N9</f>
        <v>5.3990300658729477E-3</v>
      </c>
      <c r="I10" s="784"/>
      <c r="J10" s="784"/>
      <c r="K10" s="784">
        <f>'Cuenta Ahorro-Inversión-Financi'!CJ13/1000/'PIB corriente base 1993'!V12</f>
        <v>1.8660882879266234E-3</v>
      </c>
      <c r="L10" s="784"/>
      <c r="M10" s="784">
        <f t="shared" si="0"/>
        <v>6.3818055886723915E-2</v>
      </c>
      <c r="N10" s="784"/>
      <c r="O10" s="788">
        <v>1997</v>
      </c>
      <c r="P10" s="784">
        <f t="shared" si="1"/>
        <v>1.8660882879266234E-3</v>
      </c>
      <c r="Q10" s="784">
        <f t="shared" si="2"/>
        <v>6.1951967598797286E-2</v>
      </c>
      <c r="R10" s="784"/>
    </row>
    <row r="11" spans="3:18" ht="15.75">
      <c r="C11" s="788">
        <v>1998</v>
      </c>
      <c r="D11" s="787">
        <f>'Resultado ANSES por etapas'!M10</f>
        <v>4.9190355547857903E-2</v>
      </c>
      <c r="E11" s="787"/>
      <c r="F11" s="787">
        <f>'Resultado ANSES por etapas'!Q10-'Cuenta Ahorro-Inversión-Financi'!CJ14/1000/'PIB corriente base 1993'!V13</f>
        <v>6.4018976654222565E-3</v>
      </c>
      <c r="G11" s="787">
        <f>'Resultado ANSES por etapas'!P10</f>
        <v>1.0248131568665125E-3</v>
      </c>
      <c r="H11" s="787">
        <f>'Resultado ANSES por etapas'!N10</f>
        <v>4.7703499305596919E-3</v>
      </c>
      <c r="I11" s="787"/>
      <c r="J11" s="787"/>
      <c r="K11" s="787">
        <f>'Cuenta Ahorro-Inversión-Financi'!CJ14/1000/'PIB corriente base 1993'!V13</f>
        <v>1.7788371125094264E-3</v>
      </c>
      <c r="L11" s="787"/>
      <c r="M11" s="787">
        <f t="shared" si="0"/>
        <v>6.3166253413215787E-2</v>
      </c>
      <c r="N11" s="787"/>
      <c r="O11" s="788">
        <v>1998</v>
      </c>
      <c r="P11" s="787">
        <f t="shared" si="1"/>
        <v>1.7788371125094264E-3</v>
      </c>
      <c r="Q11" s="787">
        <f t="shared" si="2"/>
        <v>6.1387416300706363E-2</v>
      </c>
      <c r="R11" s="787"/>
    </row>
    <row r="12" spans="3:18" ht="15.75">
      <c r="C12" s="788">
        <v>1999</v>
      </c>
      <c r="D12" s="784">
        <f>'Resultado ANSES por etapas'!M11</f>
        <v>5.1749690321129138E-2</v>
      </c>
      <c r="E12" s="784"/>
      <c r="F12" s="784">
        <f>'Resultado ANSES por etapas'!Q11-'Cuenta Ahorro-Inversión-Financi'!CJ15/1000/'PIB corriente base 1993'!V14</f>
        <v>6.7735048067591791E-3</v>
      </c>
      <c r="G12" s="784">
        <f>'Resultado ANSES por etapas'!P11</f>
        <v>8.5904797363688221E-4</v>
      </c>
      <c r="H12" s="784">
        <f>'Resultado ANSES por etapas'!N11</f>
        <v>5.8732282382241395E-3</v>
      </c>
      <c r="I12" s="784"/>
      <c r="J12" s="784"/>
      <c r="K12" s="784">
        <f>'Cuenta Ahorro-Inversión-Financi'!CJ15/1000/'PIB corriente base 1993'!V14</f>
        <v>1.9080734984925722E-3</v>
      </c>
      <c r="L12" s="784"/>
      <c r="M12" s="784">
        <f t="shared" si="0"/>
        <v>6.7163544838241912E-2</v>
      </c>
      <c r="N12" s="784"/>
      <c r="O12" s="788">
        <v>1999</v>
      </c>
      <c r="P12" s="784">
        <f t="shared" si="1"/>
        <v>1.9080734984925722E-3</v>
      </c>
      <c r="Q12" s="784">
        <f t="shared" si="2"/>
        <v>6.5255471339749335E-2</v>
      </c>
      <c r="R12" s="784"/>
    </row>
    <row r="13" spans="3:18" ht="15.75">
      <c r="C13" s="788">
        <v>2000</v>
      </c>
      <c r="D13" s="787">
        <f>'Resultado ANSES por etapas'!M12</f>
        <v>5.1850130065835651E-2</v>
      </c>
      <c r="E13" s="787"/>
      <c r="F13" s="787">
        <f>'Resultado ANSES por etapas'!Q12-'Cuenta Ahorro-Inversión-Financi'!CJ16/1000/'PIB corriente base 1993'!V15</f>
        <v>6.0714693918216961E-3</v>
      </c>
      <c r="G13" s="787">
        <f>'Resultado ANSES por etapas'!P12</f>
        <v>7.6389914743401916E-4</v>
      </c>
      <c r="H13" s="787">
        <f>'Resultado ANSES por etapas'!N12</f>
        <v>6.1308401763183794E-3</v>
      </c>
      <c r="I13" s="787"/>
      <c r="J13" s="787"/>
      <c r="K13" s="787">
        <f>'Cuenta Ahorro-Inversión-Financi'!CJ16/1000/'PIB corriente base 1993'!V15</f>
        <v>2.3523240372636586E-3</v>
      </c>
      <c r="L13" s="787"/>
      <c r="M13" s="787">
        <f t="shared" si="0"/>
        <v>6.7168662818673397E-2</v>
      </c>
      <c r="N13" s="787"/>
      <c r="O13" s="788">
        <v>2000</v>
      </c>
      <c r="P13" s="787">
        <f t="shared" si="1"/>
        <v>2.3523240372636586E-3</v>
      </c>
      <c r="Q13" s="787">
        <f t="shared" si="2"/>
        <v>6.4816338781409744E-2</v>
      </c>
      <c r="R13" s="787"/>
    </row>
    <row r="14" spans="3:18" ht="15.75">
      <c r="C14" s="788">
        <v>2001</v>
      </c>
      <c r="D14" s="784">
        <f>'Resultado ANSES por etapas'!M13</f>
        <v>5.2521530825534735E-2</v>
      </c>
      <c r="E14" s="784"/>
      <c r="F14" s="784">
        <f>'Resultado ANSES por etapas'!Q13-'Cuenta Ahorro-Inversión-Financi'!CJ17/1000/'PIB corriente base 1993'!V16</f>
        <v>5.9816276587191242E-3</v>
      </c>
      <c r="G14" s="784">
        <f>'Resultado ANSES por etapas'!P13</f>
        <v>6.8849236067155802E-4</v>
      </c>
      <c r="H14" s="784">
        <f>'Resultado ANSES por etapas'!N13</f>
        <v>6.2166992059071212E-3</v>
      </c>
      <c r="I14" s="784"/>
      <c r="J14" s="784"/>
      <c r="K14" s="784">
        <f>'Cuenta Ahorro-Inversión-Financi'!CJ17/1000/'PIB corriente base 1993'!V16</f>
        <v>2.5245458004040434E-3</v>
      </c>
      <c r="L14" s="784"/>
      <c r="M14" s="784">
        <f t="shared" si="0"/>
        <v>6.7932895851236574E-2</v>
      </c>
      <c r="N14" s="784"/>
      <c r="O14" s="788">
        <v>2001</v>
      </c>
      <c r="P14" s="784">
        <f t="shared" si="1"/>
        <v>2.5245458004040434E-3</v>
      </c>
      <c r="Q14" s="784">
        <f t="shared" si="2"/>
        <v>6.5408350050832537E-2</v>
      </c>
      <c r="R14" s="784"/>
    </row>
    <row r="15" spans="3:18" ht="15.75">
      <c r="C15" s="788">
        <v>2002</v>
      </c>
      <c r="D15" s="787">
        <f>'Resultado ANSES por etapas'!M14</f>
        <v>4.4342162747713201E-2</v>
      </c>
      <c r="E15" s="787"/>
      <c r="F15" s="787">
        <f>'Resultado ANSES por etapas'!Q14-'Cuenta Ahorro-Inversión-Financi'!CJ18/1000/'PIB corriente base 1993'!V17</f>
        <v>4.8818652376130117E-3</v>
      </c>
      <c r="G15" s="787">
        <f>'Resultado ANSES por etapas'!P14</f>
        <v>6.741155799202933E-4</v>
      </c>
      <c r="H15" s="787">
        <f>'Resultado ANSES por etapas'!N14</f>
        <v>6.7859175547552945E-3</v>
      </c>
      <c r="I15" s="787"/>
      <c r="J15" s="787"/>
      <c r="K15" s="787">
        <f>'Cuenta Ahorro-Inversión-Financi'!CJ18/1000/'PIB corriente base 1993'!V17</f>
        <v>1.9168627013546235E-3</v>
      </c>
      <c r="L15" s="787"/>
      <c r="M15" s="787">
        <f t="shared" si="0"/>
        <v>5.8600923821356427E-2</v>
      </c>
      <c r="N15" s="787"/>
      <c r="O15" s="788">
        <v>2002</v>
      </c>
      <c r="P15" s="787">
        <f t="shared" si="1"/>
        <v>1.9168627013546235E-3</v>
      </c>
      <c r="Q15" s="787">
        <f t="shared" si="2"/>
        <v>5.6684061120001801E-2</v>
      </c>
      <c r="R15" s="787"/>
    </row>
    <row r="16" spans="3:18" ht="15.75">
      <c r="C16" s="788">
        <v>2003</v>
      </c>
      <c r="D16" s="784">
        <f>'Resultado ANSES por etapas'!M15</f>
        <v>4.1415509916904091E-2</v>
      </c>
      <c r="E16" s="784"/>
      <c r="F16" s="784">
        <f>'Resultado ANSES por etapas'!Q15-'Cuenta Ahorro-Inversión-Financi'!CJ19/1000/'PIB corriente base 1993'!V18</f>
        <v>4.9662697303782611E-3</v>
      </c>
      <c r="G16" s="784">
        <f>'Resultado ANSES por etapas'!P15</f>
        <v>6.9561124327544065E-4</v>
      </c>
      <c r="H16" s="784">
        <f>'Resultado ANSES por etapas'!N15</f>
        <v>8.1561711866091641E-3</v>
      </c>
      <c r="I16" s="784"/>
      <c r="J16" s="784"/>
      <c r="K16" s="784">
        <f>'Cuenta Ahorro-Inversión-Financi'!CJ19/1000/'PIB corriente base 1993'!V18</f>
        <v>1.8299057305576647E-3</v>
      </c>
      <c r="L16" s="784"/>
      <c r="M16" s="784">
        <f t="shared" si="0"/>
        <v>5.7063467807724616E-2</v>
      </c>
      <c r="N16" s="784"/>
      <c r="O16" s="788">
        <v>2003</v>
      </c>
      <c r="P16" s="784">
        <f t="shared" si="1"/>
        <v>1.8299057305576647E-3</v>
      </c>
      <c r="Q16" s="784">
        <f t="shared" si="2"/>
        <v>5.5233562077166953E-2</v>
      </c>
      <c r="R16" s="784"/>
    </row>
    <row r="17" spans="3:18" ht="15.75">
      <c r="C17" s="788">
        <v>2004</v>
      </c>
      <c r="D17" s="787">
        <f>'Resultado ANSES por etapas'!M16</f>
        <v>3.6705436096271957E-2</v>
      </c>
      <c r="E17" s="787"/>
      <c r="F17" s="787">
        <f>'Resultado ANSES por etapas'!Q16-'Cuenta Ahorro-Inversión-Financi'!CJ20/1000/'PIB corriente base 2004'!X8</f>
        <v>3.9485301082082484E-3</v>
      </c>
      <c r="G17" s="787">
        <f>'Resultado ANSES por etapas'!P16</f>
        <v>6.201748342075749E-4</v>
      </c>
      <c r="H17" s="787">
        <f>'Resultado ANSES por etapas'!N16</f>
        <v>6.012535225050874E-3</v>
      </c>
      <c r="I17" s="787"/>
      <c r="J17" s="787"/>
      <c r="K17" s="787">
        <f>'Cuenta Ahorro-Inversión-Financi'!CJ20/1000/'PIB corriente base 2004'!X8</f>
        <v>2.2936958429045488E-3</v>
      </c>
      <c r="L17" s="787">
        <f>'Resultado ANSES por etapas'!O16</f>
        <v>1.4784185938701185E-3</v>
      </c>
      <c r="M17" s="787">
        <f t="shared" si="0"/>
        <v>5.1058790700513321E-2</v>
      </c>
      <c r="N17" s="787"/>
      <c r="O17" s="788">
        <v>2004</v>
      </c>
      <c r="P17" s="787">
        <f t="shared" si="1"/>
        <v>2.2936958429045488E-3</v>
      </c>
      <c r="Q17" s="787">
        <f t="shared" si="2"/>
        <v>4.7286676263738649E-2</v>
      </c>
      <c r="R17" s="787">
        <f t="shared" ref="R17:R31" si="3">L17</f>
        <v>1.4784185938701185E-3</v>
      </c>
    </row>
    <row r="18" spans="3:18" ht="15.75">
      <c r="C18" s="788">
        <v>2005</v>
      </c>
      <c r="D18" s="784">
        <f>'Resultado ANSES por etapas'!M17</f>
        <v>3.4550591268011556E-2</v>
      </c>
      <c r="E18" s="784"/>
      <c r="F18" s="784">
        <f>'Resultado ANSES por etapas'!Q17-'Cuenta Ahorro-Inversión-Financi'!CJ21/1000/'PIB corriente base 2004'!X9</f>
        <v>3.6859532511205979E-3</v>
      </c>
      <c r="G18" s="784">
        <f>'Resultado ANSES por etapas'!P17</f>
        <v>7.7527622947488732E-4</v>
      </c>
      <c r="H18" s="784">
        <f>'Resultado ANSES por etapas'!N17</f>
        <v>7.1714132424585859E-3</v>
      </c>
      <c r="I18" s="784"/>
      <c r="J18" s="784"/>
      <c r="K18" s="784">
        <f>'Cuenta Ahorro-Inversión-Financi'!CJ21/1000/'PIB corriente base 2004'!X9</f>
        <v>2.285162132290579E-3</v>
      </c>
      <c r="L18" s="784">
        <f>'Resultado ANSES por etapas'!O17</f>
        <v>1.3544936722025961E-3</v>
      </c>
      <c r="M18" s="784">
        <f t="shared" si="0"/>
        <v>4.9822889795558802E-2</v>
      </c>
      <c r="N18" s="784"/>
      <c r="O18" s="788">
        <v>2005</v>
      </c>
      <c r="P18" s="784">
        <f t="shared" si="1"/>
        <v>2.285162132290579E-3</v>
      </c>
      <c r="Q18" s="784">
        <f t="shared" si="2"/>
        <v>4.6183233991065629E-2</v>
      </c>
      <c r="R18" s="784">
        <f t="shared" si="3"/>
        <v>1.3544936722025961E-3</v>
      </c>
    </row>
    <row r="19" spans="3:18" ht="15.75">
      <c r="C19" s="788">
        <v>2006</v>
      </c>
      <c r="D19" s="787">
        <f>'Resultado ANSES por etapas'!M18</f>
        <v>3.6841887116250548E-2</v>
      </c>
      <c r="E19" s="787"/>
      <c r="F19" s="787">
        <f>'Resultado ANSES por etapas'!Q18-'Cuenta Ahorro-Inversión-Financi'!CJ22/1000/'PIB corriente base 2004'!X10</f>
        <v>3.4831895302854902E-3</v>
      </c>
      <c r="G19" s="787">
        <f>'Resultado ANSES por etapas'!P18</f>
        <v>8.3738426362242894E-4</v>
      </c>
      <c r="H19" s="787">
        <f>'Resultado ANSES por etapas'!N18</f>
        <v>6.4501306174308062E-3</v>
      </c>
      <c r="I19" s="787"/>
      <c r="J19" s="787"/>
      <c r="K19" s="787">
        <f>'Cuenta Ahorro-Inversión-Financi'!CJ22/1000/'PIB corriente base 2004'!X10</f>
        <v>2.7805347116437425E-3</v>
      </c>
      <c r="L19" s="787">
        <f>'Resultado ANSES por etapas'!O18</f>
        <v>1.4208986349060009E-3</v>
      </c>
      <c r="M19" s="787">
        <f t="shared" si="0"/>
        <v>5.1814024874139011E-2</v>
      </c>
      <c r="N19" s="787"/>
      <c r="O19" s="788">
        <v>2006</v>
      </c>
      <c r="P19" s="787">
        <f t="shared" si="1"/>
        <v>2.7805347116437425E-3</v>
      </c>
      <c r="Q19" s="787">
        <f t="shared" si="2"/>
        <v>4.7612591527589274E-2</v>
      </c>
      <c r="R19" s="787">
        <f t="shared" si="3"/>
        <v>1.4208986349060009E-3</v>
      </c>
    </row>
    <row r="20" spans="3:18" ht="15.75">
      <c r="C20" s="788">
        <v>2007</v>
      </c>
      <c r="D20" s="784">
        <f>'Resultado ANSES por etapas'!M19-I20</f>
        <v>3.5489775896817281E-2</v>
      </c>
      <c r="E20" s="784"/>
      <c r="F20" s="784">
        <f>'Resultado ANSES por etapas'!Q19-'Cuenta Ahorro-Inversión-Financi'!CJ23/1000/'PIB corriente base 2004'!X11</f>
        <v>3.3637299171432274E-3</v>
      </c>
      <c r="G20" s="784">
        <f>'Resultado ANSES por etapas'!P19</f>
        <v>9.3443366631513894E-4</v>
      </c>
      <c r="H20" s="784">
        <f>'Resultado ANSES por etapas'!N19</f>
        <v>5.5903438281324118E-3</v>
      </c>
      <c r="I20" s="784">
        <f>'[2]Versión ordenada'!$F$4/1000/'PIB corriente base 2004'!X11</f>
        <v>1.349107997180766E-2</v>
      </c>
      <c r="J20" s="784"/>
      <c r="K20" s="784">
        <f>'Cuenta Ahorro-Inversión-Financi'!CJ23/1000/'PIB corriente base 2004'!X11</f>
        <v>3.580010904212678E-3</v>
      </c>
      <c r="L20" s="784">
        <f>'Resultado ANSES por etapas'!O19</f>
        <v>1.8084480471693978E-3</v>
      </c>
      <c r="M20" s="784">
        <f t="shared" si="0"/>
        <v>6.4257822231597803E-2</v>
      </c>
      <c r="N20" s="784"/>
      <c r="O20" s="788">
        <v>2007</v>
      </c>
      <c r="P20" s="784">
        <f t="shared" si="1"/>
        <v>1.7071090876020337E-2</v>
      </c>
      <c r="Q20" s="784">
        <f t="shared" si="2"/>
        <v>4.5378283308408061E-2</v>
      </c>
      <c r="R20" s="784">
        <f t="shared" si="3"/>
        <v>1.8084480471693978E-3</v>
      </c>
    </row>
    <row r="21" spans="3:18" ht="15.75">
      <c r="C21" s="788">
        <v>2008</v>
      </c>
      <c r="D21" s="787">
        <f>'Resultado ANSES por etapas'!M20-I21</f>
        <v>3.3489686389908263E-2</v>
      </c>
      <c r="E21" s="787">
        <f>'Resultado ANSES por etapas'!R20</f>
        <v>1.1668965370281548E-3</v>
      </c>
      <c r="F21" s="787">
        <f>'Resultado ANSES por etapas'!Q20-'Cuenta Ahorro-Inversión-Financi'!CJ24/1000/'PIB corriente base 2004'!X12</f>
        <v>3.5052387722505291E-3</v>
      </c>
      <c r="G21" s="787">
        <f>'Resultado ANSES por etapas'!P20</f>
        <v>1.1011291376003744E-3</v>
      </c>
      <c r="H21" s="787">
        <f>'Resultado ANSES por etapas'!N20</f>
        <v>7.1767305900126265E-3</v>
      </c>
      <c r="I21" s="787">
        <f>'[2]Versión ordenada'!$G$4/1000/'PIB corriente base 2004'!X12</f>
        <v>1.4886785027870228E-2</v>
      </c>
      <c r="J21" s="787"/>
      <c r="K21" s="787">
        <f>'Cuenta Ahorro-Inversión-Financi'!CJ24/1000/'PIB corriente base 2004'!X12</f>
        <v>4.0494787209571443E-3</v>
      </c>
      <c r="L21" s="787">
        <f>'Resultado ANSES por etapas'!O20</f>
        <v>1.7582872865716456E-3</v>
      </c>
      <c r="M21" s="787">
        <f t="shared" si="0"/>
        <v>6.7134232462198962E-2</v>
      </c>
      <c r="N21" s="787"/>
      <c r="O21" s="788">
        <v>2008</v>
      </c>
      <c r="P21" s="787">
        <f t="shared" si="1"/>
        <v>1.8936263748827373E-2</v>
      </c>
      <c r="Q21" s="787">
        <f t="shared" si="2"/>
        <v>4.6439681426799946E-2</v>
      </c>
      <c r="R21" s="787">
        <f t="shared" si="3"/>
        <v>1.7582872865716456E-3</v>
      </c>
    </row>
    <row r="22" spans="3:18" ht="15.75">
      <c r="C22" s="788">
        <v>2009</v>
      </c>
      <c r="D22" s="784">
        <f>'Resultado ANSES por etapas'!M21-I22</f>
        <v>3.8741024852935645E-2</v>
      </c>
      <c r="E22" s="784">
        <f>'Resultado ANSES por etapas'!R21</f>
        <v>1.6750269346199568E-3</v>
      </c>
      <c r="F22" s="784">
        <f>'Resultado ANSES por etapas'!Q21-'Cuenta Ahorro-Inversión-Financi'!CJ25/1000/'PIB corriente base 2004'!X13</f>
        <v>4.1600189080282885E-3</v>
      </c>
      <c r="G22" s="784">
        <f>'Resultado ANSES por etapas'!P21</f>
        <v>1.7812244536541564E-3</v>
      </c>
      <c r="H22" s="784">
        <f>'Resultado ANSES por etapas'!N21</f>
        <v>1.0354874411312815E-2</v>
      </c>
      <c r="I22" s="784">
        <f>'[2]Versión ordenada'!$H$4/1000/'PIB corriente base 2004'!X13</f>
        <v>1.8075249704096234E-2</v>
      </c>
      <c r="J22" s="784"/>
      <c r="K22" s="784">
        <f>'Cuenta Ahorro-Inversión-Financi'!CJ25/1000/'PIB corriente base 2004'!X13</f>
        <v>5.4726456942892155E-3</v>
      </c>
      <c r="L22" s="784">
        <f>'Resultado ANSES por etapas'!O21</f>
        <v>2.0413731238184958E-3</v>
      </c>
      <c r="M22" s="784">
        <f t="shared" si="0"/>
        <v>8.2301438082754808E-2</v>
      </c>
      <c r="N22" s="784"/>
      <c r="O22" s="788">
        <v>2009</v>
      </c>
      <c r="P22" s="784">
        <f t="shared" si="1"/>
        <v>2.3547895398385449E-2</v>
      </c>
      <c r="Q22" s="784">
        <f t="shared" si="2"/>
        <v>5.6712169560550856E-2</v>
      </c>
      <c r="R22" s="784">
        <f t="shared" si="3"/>
        <v>2.0413731238184958E-3</v>
      </c>
    </row>
    <row r="23" spans="3:18" ht="15.75">
      <c r="C23" s="788">
        <v>2010</v>
      </c>
      <c r="D23" s="787">
        <f>'Resultado ANSES por etapas'!M22-I23</f>
        <v>3.5056647748680295E-2</v>
      </c>
      <c r="E23" s="787">
        <f>'Resultado ANSES por etapas'!R22</f>
        <v>1.2916127891811728E-3</v>
      </c>
      <c r="F23" s="787">
        <f>'Resultado ANSES por etapas'!Q22-'Cuenta Ahorro-Inversión-Financi'!CJ26/1000/'PIB corriente base 2004'!X14</f>
        <v>4.1262265821154359E-3</v>
      </c>
      <c r="G23" s="787">
        <f>'Resultado ANSES por etapas'!P22</f>
        <v>1.9327338796220422E-3</v>
      </c>
      <c r="H23" s="787">
        <f>'Resultado ANSES por etapas'!N22-J23</f>
        <v>9.5858996177143E-3</v>
      </c>
      <c r="I23" s="787">
        <f>'[2]Versión ordenada'!$I$4/1000/'PIB corriente base 2004'!X14</f>
        <v>1.8115677490122654E-2</v>
      </c>
      <c r="J23" s="787">
        <f>'[2]Versión ordenada'!$I$11/1000/'PIB corriente base 2004'!X14</f>
        <v>3.8152325556087027E-3</v>
      </c>
      <c r="K23" s="787">
        <f>'Cuenta Ahorro-Inversión-Financi'!CJ26/1000/'PIB corriente base 2004'!X14</f>
        <v>5.9801104471024855E-3</v>
      </c>
      <c r="L23" s="787">
        <f>'Resultado ANSES por etapas'!O22</f>
        <v>1.904159634724085E-3</v>
      </c>
      <c r="M23" s="787">
        <f t="shared" si="0"/>
        <v>8.1808300744871165E-2</v>
      </c>
      <c r="N23" s="787"/>
      <c r="O23" s="788">
        <v>2010</v>
      </c>
      <c r="P23" s="787">
        <f t="shared" si="1"/>
        <v>2.7911020492833845E-2</v>
      </c>
      <c r="Q23" s="787">
        <f t="shared" si="2"/>
        <v>5.1993120617313246E-2</v>
      </c>
      <c r="R23" s="787">
        <f t="shared" si="3"/>
        <v>1.904159634724085E-3</v>
      </c>
    </row>
    <row r="24" spans="3:18" ht="15.75">
      <c r="C24" s="788">
        <v>2011</v>
      </c>
      <c r="D24" s="784">
        <f>'Resultado ANSES por etapas'!M23-I24</f>
        <v>3.6440562195797846E-2</v>
      </c>
      <c r="E24" s="784">
        <f>'Resultado ANSES por etapas'!R23</f>
        <v>1.0313332451235664E-3</v>
      </c>
      <c r="F24" s="784">
        <f>'Resultado ANSES por etapas'!Q23-'Cuenta Ahorro-Inversión-Financi'!CJ27/1000/'PIB corriente base 2004'!X15</f>
        <v>5.2561514186585103E-3</v>
      </c>
      <c r="G24" s="784">
        <f>'Resultado ANSES por etapas'!P23</f>
        <v>2.1921343380464898E-3</v>
      </c>
      <c r="H24" s="784">
        <f>'Resultado ANSES por etapas'!N23-J24</f>
        <v>6.8328806074936625E-3</v>
      </c>
      <c r="I24" s="784">
        <f>'[2]Versión ordenada'!$J$4/1000/'PIB corriente base 2004'!X15</f>
        <v>1.9551788209231744E-2</v>
      </c>
      <c r="J24" s="784">
        <f>'[2]Versión ordenada'!$J$11/1000/'PIB corriente base 2004'!X15</f>
        <v>4.147111797406353E-3</v>
      </c>
      <c r="K24" s="784">
        <f>'Cuenta Ahorro-Inversión-Financi'!CJ27/1000/'PIB corriente base 2004'!X15</f>
        <v>6.8431137134941167E-3</v>
      </c>
      <c r="L24" s="784">
        <f>'Resultado ANSES por etapas'!O23</f>
        <v>2.006924517633056E-3</v>
      </c>
      <c r="M24" s="784">
        <f t="shared" si="0"/>
        <v>8.4302000042885364E-2</v>
      </c>
      <c r="N24" s="784"/>
      <c r="O24" s="788">
        <v>2011</v>
      </c>
      <c r="P24" s="784">
        <f t="shared" si="1"/>
        <v>3.0542013720132214E-2</v>
      </c>
      <c r="Q24" s="784">
        <f t="shared" si="2"/>
        <v>5.1753061805120085E-2</v>
      </c>
      <c r="R24" s="784">
        <f t="shared" si="3"/>
        <v>2.006924517633056E-3</v>
      </c>
    </row>
    <row r="25" spans="3:18" ht="15.75">
      <c r="C25" s="788">
        <v>2012</v>
      </c>
      <c r="D25" s="787">
        <f>'Resultado ANSES por etapas'!M24-I25</f>
        <v>4.2009144304406755E-2</v>
      </c>
      <c r="E25" s="787">
        <f>'Resultado ANSES por etapas'!R24</f>
        <v>1.2353701400083462E-3</v>
      </c>
      <c r="F25" s="787">
        <f>'Resultado ANSES por etapas'!Q24-'Cuenta Ahorro-Inversión-Financi'!CJ28/1000/'PIB corriente base 2004'!X16</f>
        <v>4.2110987491818571E-3</v>
      </c>
      <c r="G25" s="787">
        <f>'Resultado ANSES por etapas'!P24</f>
        <v>2.3668122016848488E-3</v>
      </c>
      <c r="H25" s="787">
        <f>'Resultado ANSES por etapas'!N24-J25</f>
        <v>5.7212871165634727E-3</v>
      </c>
      <c r="I25" s="787">
        <f>'[2]Versión ordenada'!$K$4/1000/'PIB corriente base 2004'!X16</f>
        <v>2.194854312515402E-2</v>
      </c>
      <c r="J25" s="787">
        <f>'[2]Versión ordenada'!$K$11/1000/'PIB corriente base 2004'!X16</f>
        <v>4.2338659723687028E-3</v>
      </c>
      <c r="K25" s="787">
        <f>'Cuenta Ahorro-Inversión-Financi'!CJ28/1000/'PIB corriente base 2004'!X16</f>
        <v>8.7071728840794043E-3</v>
      </c>
      <c r="L25" s="787">
        <f>'Resultado ANSES por etapas'!O24</f>
        <v>2.2917701706974044E-3</v>
      </c>
      <c r="M25" s="787">
        <f t="shared" si="0"/>
        <v>9.2725064664144805E-2</v>
      </c>
      <c r="N25" s="787"/>
      <c r="O25" s="788">
        <v>2012</v>
      </c>
      <c r="P25" s="787">
        <f t="shared" si="1"/>
        <v>3.4889581981602129E-2</v>
      </c>
      <c r="Q25" s="787">
        <f t="shared" si="2"/>
        <v>5.5543712511845277E-2</v>
      </c>
      <c r="R25" s="787">
        <f t="shared" si="3"/>
        <v>2.2917701706974044E-3</v>
      </c>
    </row>
    <row r="26" spans="3:18" ht="15.75">
      <c r="C26" s="788">
        <v>2013</v>
      </c>
      <c r="D26" s="784">
        <f>'Resultado ANSES por etapas'!M25-I26</f>
        <v>4.3984921618621886E-2</v>
      </c>
      <c r="E26" s="784">
        <f>'Resultado ANSES por etapas'!R25</f>
        <v>1.6696788899997676E-3</v>
      </c>
      <c r="F26" s="784">
        <f>'Resultado ANSES por etapas'!Q25-'Cuenta Ahorro-Inversión-Financi'!CJ29/1000/'PIB corriente base 2004'!X17</f>
        <v>5.1449693316492993E-3</v>
      </c>
      <c r="G26" s="784">
        <f>'Resultado ANSES por etapas'!P25</f>
        <v>2.1080695696970185E-3</v>
      </c>
      <c r="H26" s="784">
        <f>'Resultado ANSES por etapas'!N25-J26</f>
        <v>5.9944408584129338E-3</v>
      </c>
      <c r="I26" s="784">
        <f>'[2]Versión ordenada'!$L$4/1000/'PIB corriente base 2004'!X17</f>
        <v>2.2607372880113039E-2</v>
      </c>
      <c r="J26" s="784">
        <f>'[2]Versión ordenada'!$L$11/1000/'PIB corriente base 2004'!X17</f>
        <v>4.7202312357330018E-3</v>
      </c>
      <c r="K26" s="784">
        <f>'Cuenta Ahorro-Inversión-Financi'!CJ29/1000/'PIB corriente base 2004'!X17</f>
        <v>9.4768506991094216E-3</v>
      </c>
      <c r="L26" s="784">
        <f>'Resultado ANSES por etapas'!O25</f>
        <v>2.3856199639117528E-3</v>
      </c>
      <c r="M26" s="784">
        <f t="shared" si="0"/>
        <v>9.8092155047248122E-2</v>
      </c>
      <c r="N26" s="784"/>
      <c r="O26" s="788">
        <v>2013</v>
      </c>
      <c r="P26" s="784">
        <f t="shared" si="1"/>
        <v>3.6804454814955465E-2</v>
      </c>
      <c r="Q26" s="784">
        <f t="shared" si="2"/>
        <v>5.8902080268380903E-2</v>
      </c>
      <c r="R26" s="784">
        <f t="shared" si="3"/>
        <v>2.3856199639117528E-3</v>
      </c>
    </row>
    <row r="27" spans="3:18" ht="15.75">
      <c r="C27" s="788">
        <v>2014</v>
      </c>
      <c r="D27" s="787">
        <f>'Resultado ANSES por etapas'!M26-I27</f>
        <v>4.2739730998008492E-2</v>
      </c>
      <c r="E27" s="787">
        <f>'Resultado ANSES por etapas'!R26</f>
        <v>1.80520724704594E-3</v>
      </c>
      <c r="F27" s="787">
        <f>'Resultado ANSES por etapas'!Q26-'Cuenta Ahorro-Inversión-Financi'!CJ30/1000/'PIB corriente base 2004'!X18</f>
        <v>4.496051018778523E-3</v>
      </c>
      <c r="G27" s="787">
        <f>'Resultado ANSES por etapas'!P26</f>
        <v>2.0813338150341737E-3</v>
      </c>
      <c r="H27" s="787">
        <f>'Resultado ANSES por etapas'!N26-J27</f>
        <v>5.3306541729366665E-3</v>
      </c>
      <c r="I27" s="787">
        <f>'[2]Versión ordenada'!$M$4/1000/'PIB corriente base 2004'!X18</f>
        <v>2.1816191828494085E-2</v>
      </c>
      <c r="J27" s="787">
        <f>('[2]Versión ordenada'!$M$11 + '[2]Versión ordenada'!$M$16)/1000/'PIB corriente base 2004'!X18</f>
        <v>5.3444912206059144E-3</v>
      </c>
      <c r="K27" s="787">
        <f>'Cuenta Ahorro-Inversión-Financi'!CJ30/1000/'PIB corriente base 2004'!X18</f>
        <v>9.6451809252310651E-3</v>
      </c>
      <c r="L27" s="787">
        <f>'Resultado ANSES por etapas'!O26</f>
        <v>2.3272132721660977E-3</v>
      </c>
      <c r="M27" s="787">
        <f t="shared" si="0"/>
        <v>9.558605449830096E-2</v>
      </c>
      <c r="N27" s="787"/>
      <c r="O27" s="788">
        <v>2014</v>
      </c>
      <c r="P27" s="787">
        <f t="shared" si="1"/>
        <v>3.6805863974331068E-2</v>
      </c>
      <c r="Q27" s="787">
        <f t="shared" si="2"/>
        <v>5.6452977251803801E-2</v>
      </c>
      <c r="R27" s="787">
        <f t="shared" si="3"/>
        <v>2.3272132721660977E-3</v>
      </c>
    </row>
    <row r="28" spans="3:18" ht="15.75">
      <c r="C28" s="788">
        <f>C27+1</f>
        <v>2015</v>
      </c>
      <c r="D28" s="784">
        <f>'Resultado ANSES por etapas'!M27-I28</f>
        <v>4.5416225586263931E-2</v>
      </c>
      <c r="E28" s="784">
        <f>'Resultado ANSES por etapas'!R27</f>
        <v>1.7142465903260647E-3</v>
      </c>
      <c r="F28" s="784">
        <f>'Resultado ANSES por etapas'!Q27-'Cuenta Ahorro-Inversión-Financi'!CJ31/1000/'PIB corriente base 2004'!X19</f>
        <v>4.0822651156898534E-3</v>
      </c>
      <c r="G28" s="784">
        <f>'Resultado ANSES por etapas'!P27</f>
        <v>2.0992538040870605E-3</v>
      </c>
      <c r="H28" s="784">
        <f>'Resultado ANSES por etapas'!N27-J28</f>
        <v>4.763474598456008E-3</v>
      </c>
      <c r="I28" s="784">
        <f>'[2]Versión ordenada'!$N$4/1000/'PIB corriente base 2004'!X19</f>
        <v>2.7374250617278894E-2</v>
      </c>
      <c r="J28" s="784">
        <f>('[2]Versión ordenada'!$N$11+'[2]Versión ordenada'!$N$16)/1000/'PIB corriente base 2004'!X19</f>
        <v>6.8693757772096643E-3</v>
      </c>
      <c r="K28" s="784">
        <f>'Cuenta Ahorro-Inversión-Financi'!CJ31/1000/'PIB corriente base 2004'!X19</f>
        <v>1.0456866699986156E-2</v>
      </c>
      <c r="L28" s="784">
        <f>'Resultado ANSES por etapas'!O27</f>
        <v>2.6068870526325806E-3</v>
      </c>
      <c r="M28" s="784">
        <f t="shared" si="0"/>
        <v>0.10538284584193022</v>
      </c>
      <c r="N28" s="784"/>
      <c r="O28" s="788">
        <f>O27+1</f>
        <v>2015</v>
      </c>
      <c r="P28" s="784">
        <f t="shared" si="1"/>
        <v>4.4700493094474714E-2</v>
      </c>
      <c r="Q28" s="784">
        <f t="shared" si="2"/>
        <v>5.8075465694822921E-2</v>
      </c>
      <c r="R28" s="784">
        <f t="shared" si="3"/>
        <v>2.6068870526325806E-3</v>
      </c>
    </row>
    <row r="29" spans="3:18" ht="15.75">
      <c r="C29" s="788">
        <f>C28+1</f>
        <v>2016</v>
      </c>
      <c r="D29" s="787">
        <f>'Resultado ANSES por etapas'!M28-I29</f>
        <v>4.4722951032275693E-2</v>
      </c>
      <c r="E29" s="787">
        <f>'Resultado ANSES por etapas'!R28</f>
        <v>1.9710726181915404E-3</v>
      </c>
      <c r="F29" s="787">
        <f>'Resultado ANSES por etapas'!Q28-'Cuenta Ahorro-Inversión-Financi'!CJ32/1000/'PIB corriente base 2004'!X20</f>
        <v>4.0264350012551089E-3</v>
      </c>
      <c r="G29" s="787">
        <f>'Resultado ANSES por etapas'!P28</f>
        <v>1.770725491435783E-3</v>
      </c>
      <c r="H29" s="787">
        <f>'Resultado ANSES por etapas'!N28-J29</f>
        <v>9.112350229937843E-3</v>
      </c>
      <c r="I29" s="787">
        <f>('[2]Versión ordenada'!$O$4+'Cuenta Ahorro-Inversión-Financi'!BF32)/1000/'PIB corriente base 2004'!X20</f>
        <v>2.8318123348202537E-2</v>
      </c>
      <c r="J29" s="787">
        <f>('[2]Versión ordenada'!$O$11+'[2]Versión ordenada'!$O$16)/1000/'PIB corriente base 2004'!X20</f>
        <v>7.2336783889560812E-3</v>
      </c>
      <c r="K29" s="787">
        <f>'Cuenta Ahorro-Inversión-Financi'!CJ32/1000/'PIB corriente base 2004'!X20</f>
        <v>9.7160356203607953E-3</v>
      </c>
      <c r="L29" s="787">
        <f>'Resultado ANSES por etapas'!O28</f>
        <v>2.6363088474017208E-3</v>
      </c>
      <c r="M29" s="787">
        <f t="shared" si="0"/>
        <v>0.10950768057801712</v>
      </c>
      <c r="N29" s="787">
        <f>'Resultado ANSES por etapas'!T28</f>
        <v>7.7108373463174616E-4</v>
      </c>
      <c r="O29" s="788">
        <f>O28+1</f>
        <v>2016</v>
      </c>
      <c r="P29" s="787">
        <f t="shared" si="1"/>
        <v>4.5267837357519415E-2</v>
      </c>
      <c r="Q29" s="787">
        <f t="shared" si="2"/>
        <v>6.1603534373095972E-2</v>
      </c>
      <c r="R29" s="787">
        <f t="shared" si="3"/>
        <v>2.6363088474017208E-3</v>
      </c>
    </row>
    <row r="30" spans="3:18" ht="15.75">
      <c r="C30" s="788">
        <f>C29+1</f>
        <v>2017</v>
      </c>
      <c r="D30" s="784">
        <f>'Resultado ANSES por etapas'!M29-('Cuenta Ahorro-Inversión-Financi'!BG33)/1000/'PIB corriente base 2004'!X21-I30</f>
        <v>4.57618602566989E-2</v>
      </c>
      <c r="E30" s="784">
        <f>'Resultado ANSES por etapas'!R29</f>
        <v>1.6931827770299091E-3</v>
      </c>
      <c r="F30" s="784">
        <f>'Resultado ANSES por etapas'!Q29-'Cuenta Ahorro-Inversión-Financi'!CJ33/1000/'PIB corriente base 2004'!X21</f>
        <v>4.0989555988654343E-3</v>
      </c>
      <c r="G30" s="784">
        <f>'Resultado ANSES por etapas'!P29</f>
        <v>1.7270509378138103E-3</v>
      </c>
      <c r="H30" s="784">
        <f>'Resultado ANSES por etapas'!N29-J30</f>
        <v>8.499922756796327E-3</v>
      </c>
      <c r="I30" s="784">
        <f>('[2]Versión ordenada'!$P$4+'Cuenta Ahorro-Inversión-Financi'!BF33)/1000/'PIB corriente base 2004'!X21</f>
        <v>2.9743969816744441E-2</v>
      </c>
      <c r="J30" s="784">
        <f>('[2]Versión ordenada'!$P$11+'[2]Versión ordenada'!$P$16)/1000/'PIB corriente base 2004'!X21</f>
        <v>6.4137023037248303E-3</v>
      </c>
      <c r="K30" s="784">
        <f>('Cuenta Ahorro-Inversión-Financi'!CJ33+'Cuenta Ahorro-Inversión-Financi'!BG33)/1000/'PIB corriente base 2004'!X21</f>
        <v>9.5683105227662886E-3</v>
      </c>
      <c r="L30" s="784">
        <f>'Resultado ANSES por etapas'!O29</f>
        <v>2.9707973317415659E-3</v>
      </c>
      <c r="M30" s="784">
        <f t="shared" si="0"/>
        <v>0.1104777523021815</v>
      </c>
      <c r="N30" s="784">
        <f>'Resultado ANSES por etapas'!T29</f>
        <v>3.7188875483721521E-3</v>
      </c>
      <c r="O30" s="788">
        <f>O29+1</f>
        <v>2017</v>
      </c>
      <c r="P30" s="784">
        <f t="shared" si="1"/>
        <v>4.572598264323556E-2</v>
      </c>
      <c r="Q30" s="784">
        <f t="shared" si="2"/>
        <v>6.1780972327204378E-2</v>
      </c>
      <c r="R30" s="784">
        <f t="shared" si="3"/>
        <v>2.9707973317415659E-3</v>
      </c>
    </row>
    <row r="31" spans="3:18" ht="15.75">
      <c r="C31" s="788">
        <f>C30+1</f>
        <v>2018</v>
      </c>
      <c r="D31" s="787">
        <f>'Resultado ANSES por etapas'!M30-('Cuenta Ahorro-Inversión-Financi'!BG34)/1000/'PIB corriente base 2004'!X22-I31</f>
        <v>4.2134739002272013E-2</v>
      </c>
      <c r="E31" s="787">
        <f>'Resultado ANSES por etapas'!R30</f>
        <v>1.5558204318447749E-3</v>
      </c>
      <c r="F31" s="787">
        <f>'Resultado ANSES por etapas'!Q30-'Cuenta Ahorro-Inversión-Financi'!CJ34/1000/'PIB corriente base 2004'!X22</f>
        <v>3.5404280895655737E-3</v>
      </c>
      <c r="G31" s="787">
        <f>'Resultado ANSES por etapas'!P30</f>
        <v>1.4822546905173355E-3</v>
      </c>
      <c r="H31" s="787">
        <f>'Resultado ANSES por etapas'!N30-J31</f>
        <v>8.7005508727895451E-3</v>
      </c>
      <c r="I31" s="787">
        <f>('[2]Versión ordenada'!$Q$4+'Cuenta Ahorro-Inversión-Financi'!BF34)/1000/'PIB corriente base 2004'!X22</f>
        <v>2.7220021984051247E-2</v>
      </c>
      <c r="J31" s="787">
        <f>('[2]Versión ordenada'!$Q$11+'[2]Versión ordenada'!$Q$16)/1000/'PIB corriente base 2004'!X22</f>
        <v>6.1715142349449761E-3</v>
      </c>
      <c r="K31" s="787">
        <f>('Cuenta Ahorro-Inversión-Financi'!CJ34+'Cuenta Ahorro-Inversión-Financi'!BG34)/1000/'PIB corriente base 2004'!X22</f>
        <v>8.7323352650614788E-3</v>
      </c>
      <c r="L31" s="787">
        <f>'Resultado ANSES por etapas'!O30</f>
        <v>2.8175310521751772E-3</v>
      </c>
      <c r="M31" s="787">
        <f t="shared" si="0"/>
        <v>0.10235519562322211</v>
      </c>
      <c r="N31" s="787">
        <f>'Resultado ANSES por etapas'!T30</f>
        <v>5.091301115412567E-3</v>
      </c>
      <c r="O31" s="788">
        <f>O30+1</f>
        <v>2018</v>
      </c>
      <c r="P31" s="787">
        <f t="shared" si="1"/>
        <v>4.2123871484057704E-2</v>
      </c>
      <c r="Q31" s="787">
        <f t="shared" si="2"/>
        <v>5.741379308698924E-2</v>
      </c>
      <c r="R31" s="787">
        <f t="shared" si="3"/>
        <v>2.8175310521751772E-3</v>
      </c>
    </row>
    <row r="34" spans="3:28" ht="15" customHeight="1">
      <c r="C34" s="842"/>
      <c r="D34" s="843" t="s">
        <v>1125</v>
      </c>
      <c r="E34" s="843" t="s">
        <v>1126</v>
      </c>
      <c r="F34" s="843" t="s">
        <v>1127</v>
      </c>
      <c r="G34" s="830" t="s">
        <v>1128</v>
      </c>
      <c r="H34" s="843" t="s">
        <v>1118</v>
      </c>
      <c r="I34" s="843" t="s">
        <v>1119</v>
      </c>
      <c r="J34" s="843" t="s">
        <v>1120</v>
      </c>
      <c r="K34" s="830" t="s">
        <v>1123</v>
      </c>
      <c r="L34" s="843" t="s">
        <v>1087</v>
      </c>
      <c r="M34" s="843" t="s">
        <v>1129</v>
      </c>
      <c r="N34" s="830" t="s">
        <v>1122</v>
      </c>
    </row>
    <row r="35" spans="3:28">
      <c r="C35" s="842"/>
      <c r="D35" s="843"/>
      <c r="E35" s="843"/>
      <c r="F35" s="843"/>
      <c r="G35" s="830"/>
      <c r="H35" s="843"/>
      <c r="I35" s="843"/>
      <c r="J35" s="843"/>
      <c r="K35" s="830"/>
      <c r="L35" s="843"/>
      <c r="M35" s="843"/>
      <c r="N35" s="830"/>
    </row>
    <row r="36" spans="3:28" ht="15.75">
      <c r="C36" s="783">
        <v>1993</v>
      </c>
      <c r="D36" s="798">
        <v>5.26370931910582E-2</v>
      </c>
      <c r="E36" s="798">
        <f t="shared" ref="E36:E61" si="4">F6+G6</f>
        <v>6.7785385261593632E-3</v>
      </c>
      <c r="F36" s="798">
        <v>1.1642303700453001E-2</v>
      </c>
      <c r="G36" s="799">
        <f t="shared" ref="G36:G61" si="5">Q6+L6</f>
        <v>7.105793541767054E-2</v>
      </c>
      <c r="H36" s="798"/>
      <c r="I36" s="798"/>
      <c r="J36" s="798">
        <v>0</v>
      </c>
      <c r="K36" s="799">
        <f t="shared" ref="K36:K61" si="6">P6</f>
        <v>0</v>
      </c>
      <c r="L36" s="798"/>
      <c r="M36" s="799">
        <v>7.1057935417670498E-2</v>
      </c>
      <c r="N36" s="798"/>
    </row>
    <row r="37" spans="3:28" ht="15.75">
      <c r="C37" s="788">
        <v>1994</v>
      </c>
      <c r="D37" s="800">
        <v>5.6464426220353497E-2</v>
      </c>
      <c r="E37" s="800">
        <f t="shared" si="4"/>
        <v>7.9215668771574679E-3</v>
      </c>
      <c r="F37" s="800">
        <v>1.0724084071542199E-2</v>
      </c>
      <c r="G37" s="801">
        <f t="shared" si="5"/>
        <v>7.5110077169053199E-2</v>
      </c>
      <c r="H37" s="800"/>
      <c r="I37" s="800"/>
      <c r="J37" s="800">
        <v>1.7119370322330599E-3</v>
      </c>
      <c r="K37" s="801">
        <f t="shared" si="6"/>
        <v>1.7119370322330593E-3</v>
      </c>
      <c r="L37" s="800"/>
      <c r="M37" s="801">
        <v>7.6822014201286301E-2</v>
      </c>
      <c r="N37" s="800"/>
    </row>
    <row r="38" spans="3:28" ht="15.75">
      <c r="C38" s="788">
        <v>1995</v>
      </c>
      <c r="D38" s="798">
        <v>5.3644670399752202E-2</v>
      </c>
      <c r="E38" s="798">
        <f t="shared" si="4"/>
        <v>7.8305111796124344E-3</v>
      </c>
      <c r="F38" s="798">
        <v>3.37186702375018E-3</v>
      </c>
      <c r="G38" s="799">
        <f t="shared" si="5"/>
        <v>6.4847048603114785E-2</v>
      </c>
      <c r="H38" s="798"/>
      <c r="I38" s="798"/>
      <c r="J38" s="798">
        <v>1.98401285923971E-3</v>
      </c>
      <c r="K38" s="799">
        <f t="shared" si="6"/>
        <v>1.9840128592397135E-3</v>
      </c>
      <c r="L38" s="798"/>
      <c r="M38" s="799">
        <v>6.6831061462354499E-2</v>
      </c>
      <c r="N38" s="798"/>
    </row>
    <row r="39" spans="3:28" ht="15.75">
      <c r="C39" s="788">
        <v>1996</v>
      </c>
      <c r="D39" s="800">
        <v>5.3162252663224503E-2</v>
      </c>
      <c r="E39" s="800">
        <f t="shared" si="4"/>
        <v>7.1998984259195199E-3</v>
      </c>
      <c r="F39" s="800">
        <v>6.00272468782676E-3</v>
      </c>
      <c r="G39" s="801">
        <f t="shared" si="5"/>
        <v>6.6364875776970783E-2</v>
      </c>
      <c r="H39" s="800"/>
      <c r="I39" s="800"/>
      <c r="J39" s="800">
        <v>1.97117400964931E-3</v>
      </c>
      <c r="K39" s="801">
        <f t="shared" si="6"/>
        <v>1.9711740096493078E-3</v>
      </c>
      <c r="L39" s="800"/>
      <c r="M39" s="801">
        <v>6.8336049786620098E-2</v>
      </c>
      <c r="N39" s="800"/>
    </row>
    <row r="40" spans="3:28" ht="15.75">
      <c r="C40" s="788">
        <v>1997</v>
      </c>
      <c r="D40" s="798">
        <v>5.0065966686067401E-2</v>
      </c>
      <c r="E40" s="798">
        <f t="shared" si="4"/>
        <v>6.4869708468569464E-3</v>
      </c>
      <c r="F40" s="798">
        <v>5.3990300658729503E-3</v>
      </c>
      <c r="G40" s="799">
        <f t="shared" si="5"/>
        <v>6.1951967598797286E-2</v>
      </c>
      <c r="H40" s="798"/>
      <c r="I40" s="798"/>
      <c r="J40" s="798">
        <v>1.86608828792662E-3</v>
      </c>
      <c r="K40" s="799">
        <f t="shared" si="6"/>
        <v>1.8660882879266234E-3</v>
      </c>
      <c r="L40" s="798"/>
      <c r="M40" s="799">
        <v>6.3818055886723901E-2</v>
      </c>
      <c r="N40" s="798"/>
    </row>
    <row r="41" spans="3:28" ht="15.75">
      <c r="C41" s="788">
        <v>1998</v>
      </c>
      <c r="D41" s="800">
        <v>4.9190355547857903E-2</v>
      </c>
      <c r="E41" s="800">
        <f t="shared" si="4"/>
        <v>7.4267108222887688E-3</v>
      </c>
      <c r="F41" s="800">
        <v>4.7703499305596902E-3</v>
      </c>
      <c r="G41" s="801">
        <f t="shared" si="5"/>
        <v>6.1387416300706363E-2</v>
      </c>
      <c r="H41" s="800"/>
      <c r="I41" s="800"/>
      <c r="J41" s="800">
        <v>1.7788371125094301E-3</v>
      </c>
      <c r="K41" s="801">
        <f t="shared" si="6"/>
        <v>1.7788371125094264E-3</v>
      </c>
      <c r="L41" s="800"/>
      <c r="M41" s="801">
        <v>6.31662534132158E-2</v>
      </c>
      <c r="N41" s="800"/>
    </row>
    <row r="42" spans="3:28" ht="15.75">
      <c r="C42" s="788">
        <v>1999</v>
      </c>
      <c r="D42" s="798">
        <v>5.1749690321129103E-2</v>
      </c>
      <c r="E42" s="798">
        <f t="shared" si="4"/>
        <v>7.6325527803960611E-3</v>
      </c>
      <c r="F42" s="798">
        <v>5.8732282382241404E-3</v>
      </c>
      <c r="G42" s="799">
        <f t="shared" si="5"/>
        <v>6.5255471339749335E-2</v>
      </c>
      <c r="H42" s="798"/>
      <c r="I42" s="798"/>
      <c r="J42" s="798">
        <v>1.9080734984925701E-3</v>
      </c>
      <c r="K42" s="799">
        <f t="shared" si="6"/>
        <v>1.9080734984925722E-3</v>
      </c>
      <c r="L42" s="798"/>
      <c r="M42" s="799">
        <v>6.7163544838241898E-2</v>
      </c>
      <c r="N42" s="798"/>
      <c r="AB42" s="802">
        <v>4.2000000000000003E-2</v>
      </c>
    </row>
    <row r="43" spans="3:28" ht="15.75">
      <c r="C43" s="788">
        <v>2000</v>
      </c>
      <c r="D43" s="800">
        <v>5.1850130065835699E-2</v>
      </c>
      <c r="E43" s="800">
        <f t="shared" si="4"/>
        <v>6.8353685392557153E-3</v>
      </c>
      <c r="F43" s="800">
        <v>6.1308401763183803E-3</v>
      </c>
      <c r="G43" s="801">
        <f t="shared" si="5"/>
        <v>6.4816338781409744E-2</v>
      </c>
      <c r="H43" s="800"/>
      <c r="I43" s="800"/>
      <c r="J43" s="800">
        <v>2.3523240372636599E-3</v>
      </c>
      <c r="K43" s="801">
        <f t="shared" si="6"/>
        <v>2.3523240372636586E-3</v>
      </c>
      <c r="L43" s="800"/>
      <c r="M43" s="801">
        <v>6.7168662818673397E-2</v>
      </c>
      <c r="N43" s="800"/>
    </row>
    <row r="44" spans="3:28" ht="15.75">
      <c r="C44" s="788">
        <v>2001</v>
      </c>
      <c r="D44" s="798">
        <v>5.25215308255347E-2</v>
      </c>
      <c r="E44" s="798">
        <f t="shared" si="4"/>
        <v>6.6701200193906825E-3</v>
      </c>
      <c r="F44" s="798">
        <v>6.2166992059071204E-3</v>
      </c>
      <c r="G44" s="799">
        <f t="shared" si="5"/>
        <v>6.5408350050832537E-2</v>
      </c>
      <c r="H44" s="798"/>
      <c r="I44" s="798"/>
      <c r="J44" s="798">
        <v>2.5245458004040399E-3</v>
      </c>
      <c r="K44" s="799">
        <f t="shared" si="6"/>
        <v>2.5245458004040434E-3</v>
      </c>
      <c r="L44" s="798"/>
      <c r="M44" s="799">
        <v>6.7932895851236602E-2</v>
      </c>
      <c r="N44" s="798"/>
    </row>
    <row r="45" spans="3:28" ht="15.75">
      <c r="C45" s="788">
        <v>2002</v>
      </c>
      <c r="D45" s="800">
        <v>4.4342162747713201E-2</v>
      </c>
      <c r="E45" s="800">
        <f t="shared" si="4"/>
        <v>5.5559808175333052E-3</v>
      </c>
      <c r="F45" s="800">
        <v>6.7859175547552901E-3</v>
      </c>
      <c r="G45" s="801">
        <f t="shared" si="5"/>
        <v>5.6684061120001801E-2</v>
      </c>
      <c r="H45" s="800"/>
      <c r="I45" s="800"/>
      <c r="J45" s="800">
        <v>1.9168627013546201E-3</v>
      </c>
      <c r="K45" s="801">
        <f t="shared" si="6"/>
        <v>1.9168627013546235E-3</v>
      </c>
      <c r="L45" s="800"/>
      <c r="M45" s="801">
        <v>5.8600923821356399E-2</v>
      </c>
      <c r="N45" s="800"/>
    </row>
    <row r="46" spans="3:28" ht="15.75">
      <c r="C46" s="788">
        <v>2003</v>
      </c>
      <c r="D46" s="798">
        <v>4.1415509916904097E-2</v>
      </c>
      <c r="E46" s="798">
        <f t="shared" si="4"/>
        <v>5.6618809736537021E-3</v>
      </c>
      <c r="F46" s="798">
        <v>8.1561711866091607E-3</v>
      </c>
      <c r="G46" s="799">
        <f t="shared" si="5"/>
        <v>5.5233562077166953E-2</v>
      </c>
      <c r="H46" s="798"/>
      <c r="I46" s="798"/>
      <c r="J46" s="798">
        <v>1.8299057305576601E-3</v>
      </c>
      <c r="K46" s="799">
        <f t="shared" si="6"/>
        <v>1.8299057305576647E-3</v>
      </c>
      <c r="L46" s="798"/>
      <c r="M46" s="799">
        <v>5.7063467807724602E-2</v>
      </c>
      <c r="N46" s="798"/>
    </row>
    <row r="47" spans="3:28" ht="15.75">
      <c r="C47" s="788">
        <v>2004</v>
      </c>
      <c r="D47" s="800">
        <v>3.6705436096271998E-2</v>
      </c>
      <c r="E47" s="800">
        <f t="shared" si="4"/>
        <v>4.5687049424158232E-3</v>
      </c>
      <c r="F47" s="800">
        <v>6.0125352250508697E-3</v>
      </c>
      <c r="G47" s="801">
        <f t="shared" si="5"/>
        <v>4.8765094857608771E-2</v>
      </c>
      <c r="H47" s="800"/>
      <c r="I47" s="800"/>
      <c r="J47" s="800">
        <v>2.2936958429045501E-3</v>
      </c>
      <c r="K47" s="801">
        <f t="shared" si="6"/>
        <v>2.2936958429045488E-3</v>
      </c>
      <c r="L47" s="800">
        <v>1.47841859387012E-3</v>
      </c>
      <c r="M47" s="801">
        <v>5.10587907005133E-2</v>
      </c>
      <c r="N47" s="800"/>
    </row>
    <row r="48" spans="3:28" ht="15.75">
      <c r="C48" s="788">
        <v>2005</v>
      </c>
      <c r="D48" s="798">
        <v>3.45505912680115E-2</v>
      </c>
      <c r="E48" s="798">
        <f t="shared" si="4"/>
        <v>4.461229480595485E-3</v>
      </c>
      <c r="F48" s="798">
        <v>7.1714132424585799E-3</v>
      </c>
      <c r="G48" s="799">
        <f t="shared" si="5"/>
        <v>4.7537727663268227E-2</v>
      </c>
      <c r="H48" s="798"/>
      <c r="I48" s="798"/>
      <c r="J48" s="798">
        <v>2.2851621322905798E-3</v>
      </c>
      <c r="K48" s="799">
        <f t="shared" si="6"/>
        <v>2.285162132290579E-3</v>
      </c>
      <c r="L48" s="798">
        <v>1.3544936722026E-3</v>
      </c>
      <c r="M48" s="799">
        <v>4.9822889795558802E-2</v>
      </c>
      <c r="N48" s="798"/>
    </row>
    <row r="49" spans="3:28" ht="15.75">
      <c r="C49" s="788">
        <v>2006</v>
      </c>
      <c r="D49" s="800">
        <v>3.6841887116250499E-2</v>
      </c>
      <c r="E49" s="800">
        <f t="shared" si="4"/>
        <v>4.3205737939079189E-3</v>
      </c>
      <c r="F49" s="800">
        <v>6.4501306174308097E-3</v>
      </c>
      <c r="G49" s="801">
        <f t="shared" si="5"/>
        <v>4.9033490162495273E-2</v>
      </c>
      <c r="H49" s="800"/>
      <c r="I49" s="800"/>
      <c r="J49" s="800">
        <v>2.7805347116437399E-3</v>
      </c>
      <c r="K49" s="801">
        <f t="shared" si="6"/>
        <v>2.7805347116437425E-3</v>
      </c>
      <c r="L49" s="800">
        <v>1.420898634906E-3</v>
      </c>
      <c r="M49" s="801">
        <v>5.1814024874138997E-2</v>
      </c>
      <c r="N49" s="800"/>
    </row>
    <row r="50" spans="3:28" ht="15.75">
      <c r="C50" s="788">
        <v>2007</v>
      </c>
      <c r="D50" s="798">
        <v>3.5489775896817302E-2</v>
      </c>
      <c r="E50" s="798">
        <f t="shared" si="4"/>
        <v>4.2981635834583665E-3</v>
      </c>
      <c r="F50" s="798">
        <v>5.5903438281324101E-3</v>
      </c>
      <c r="G50" s="799">
        <f t="shared" si="5"/>
        <v>4.7186731355577459E-2</v>
      </c>
      <c r="H50" s="798">
        <v>1.34910799718077E-2</v>
      </c>
      <c r="I50" s="798"/>
      <c r="J50" s="798">
        <v>3.5800109042126802E-3</v>
      </c>
      <c r="K50" s="799">
        <f t="shared" si="6"/>
        <v>1.7071090876020337E-2</v>
      </c>
      <c r="L50" s="798">
        <v>1.8084480471693999E-3</v>
      </c>
      <c r="M50" s="799">
        <v>6.4257822231597803E-2</v>
      </c>
      <c r="N50" s="798"/>
      <c r="AB50" s="802">
        <v>6.0999999999999999E-2</v>
      </c>
    </row>
    <row r="51" spans="3:28" ht="15.75">
      <c r="C51" s="788">
        <v>2008</v>
      </c>
      <c r="D51" s="800">
        <f t="shared" ref="D51:D61" si="7">D21+E21</f>
        <v>3.4656582926936415E-2</v>
      </c>
      <c r="E51" s="800">
        <f t="shared" si="4"/>
        <v>4.6063679098509031E-3</v>
      </c>
      <c r="F51" s="800">
        <v>7.17673059001263E-3</v>
      </c>
      <c r="G51" s="801">
        <f t="shared" si="5"/>
        <v>4.8197968713371592E-2</v>
      </c>
      <c r="H51" s="800">
        <v>1.4886785027870201E-2</v>
      </c>
      <c r="I51" s="800"/>
      <c r="J51" s="800">
        <v>4.0494787209571399E-3</v>
      </c>
      <c r="K51" s="801">
        <f t="shared" si="6"/>
        <v>1.8936263748827373E-2</v>
      </c>
      <c r="L51" s="800">
        <v>1.75828728657165E-3</v>
      </c>
      <c r="M51" s="801">
        <v>6.7134232462199003E-2</v>
      </c>
      <c r="N51" s="800"/>
    </row>
    <row r="52" spans="3:28" ht="15.75">
      <c r="C52" s="788">
        <v>2009</v>
      </c>
      <c r="D52" s="798">
        <f t="shared" si="7"/>
        <v>4.0416051787555599E-2</v>
      </c>
      <c r="E52" s="798">
        <f t="shared" si="4"/>
        <v>5.941243361682445E-3</v>
      </c>
      <c r="F52" s="798">
        <v>1.03548744113128E-2</v>
      </c>
      <c r="G52" s="799">
        <f t="shared" si="5"/>
        <v>5.8753542684369352E-2</v>
      </c>
      <c r="H52" s="798">
        <v>1.80752497040962E-2</v>
      </c>
      <c r="I52" s="798"/>
      <c r="J52" s="798">
        <v>5.4726456942892198E-3</v>
      </c>
      <c r="K52" s="799">
        <f t="shared" si="6"/>
        <v>2.3547895398385449E-2</v>
      </c>
      <c r="L52" s="798">
        <v>2.0413731238185001E-3</v>
      </c>
      <c r="M52" s="799">
        <v>8.2301438082754794E-2</v>
      </c>
      <c r="N52" s="798"/>
    </row>
    <row r="53" spans="3:28" ht="15.75">
      <c r="C53" s="788">
        <v>2010</v>
      </c>
      <c r="D53" s="800">
        <f t="shared" si="7"/>
        <v>3.6348260537861471E-2</v>
      </c>
      <c r="E53" s="800">
        <f t="shared" si="4"/>
        <v>6.0589604617374785E-3</v>
      </c>
      <c r="F53" s="800">
        <v>9.5858996177142896E-3</v>
      </c>
      <c r="G53" s="801">
        <f t="shared" si="5"/>
        <v>5.3897280252037334E-2</v>
      </c>
      <c r="H53" s="800">
        <v>1.8115677490122599E-2</v>
      </c>
      <c r="I53" s="800">
        <v>3.8152325556087001E-3</v>
      </c>
      <c r="J53" s="800">
        <v>5.9801104471024803E-3</v>
      </c>
      <c r="K53" s="801">
        <f t="shared" si="6"/>
        <v>2.7911020492833845E-2</v>
      </c>
      <c r="L53" s="800">
        <v>1.90415963472408E-3</v>
      </c>
      <c r="M53" s="801">
        <v>8.1808300744871096E-2</v>
      </c>
      <c r="N53" s="800"/>
    </row>
    <row r="54" spans="3:28" ht="15.75">
      <c r="C54" s="788">
        <v>2011</v>
      </c>
      <c r="D54" s="798">
        <f t="shared" si="7"/>
        <v>3.7471895440921416E-2</v>
      </c>
      <c r="E54" s="798">
        <f t="shared" si="4"/>
        <v>7.4482857567049997E-3</v>
      </c>
      <c r="F54" s="798">
        <v>6.8328806074936599E-3</v>
      </c>
      <c r="G54" s="799">
        <f t="shared" si="5"/>
        <v>5.3759986322753139E-2</v>
      </c>
      <c r="H54" s="798">
        <v>1.9551788209231698E-2</v>
      </c>
      <c r="I54" s="798">
        <v>4.1471117974063504E-3</v>
      </c>
      <c r="J54" s="798">
        <v>6.8431137134941202E-3</v>
      </c>
      <c r="K54" s="799">
        <f t="shared" si="6"/>
        <v>3.0542013720132214E-2</v>
      </c>
      <c r="L54" s="798">
        <v>2.0069245176330599E-3</v>
      </c>
      <c r="M54" s="799">
        <v>8.4302000042885405E-2</v>
      </c>
      <c r="N54" s="798"/>
    </row>
    <row r="55" spans="3:28" ht="15.75">
      <c r="C55" s="788">
        <v>2012</v>
      </c>
      <c r="D55" s="800">
        <f t="shared" si="7"/>
        <v>4.32445144444151E-2</v>
      </c>
      <c r="E55" s="800">
        <f t="shared" si="4"/>
        <v>6.5779109508667059E-3</v>
      </c>
      <c r="F55" s="800">
        <v>5.7212871165634796E-3</v>
      </c>
      <c r="G55" s="801">
        <f t="shared" si="5"/>
        <v>5.7835482682542683E-2</v>
      </c>
      <c r="H55" s="800">
        <v>2.1948543125153999E-2</v>
      </c>
      <c r="I55" s="800">
        <v>4.2338659723687097E-3</v>
      </c>
      <c r="J55" s="800">
        <v>8.7071728840794095E-3</v>
      </c>
      <c r="K55" s="801">
        <f t="shared" si="6"/>
        <v>3.4889581981602129E-2</v>
      </c>
      <c r="L55" s="800">
        <v>2.29177017069741E-3</v>
      </c>
      <c r="M55" s="801">
        <v>9.2725064664144805E-2</v>
      </c>
      <c r="N55" s="800"/>
    </row>
    <row r="56" spans="3:28" ht="15.75">
      <c r="C56" s="788">
        <v>2013</v>
      </c>
      <c r="D56" s="798">
        <f t="shared" si="7"/>
        <v>4.5654600508621655E-2</v>
      </c>
      <c r="E56" s="798">
        <f t="shared" si="4"/>
        <v>7.2530389013463177E-3</v>
      </c>
      <c r="F56" s="798">
        <v>5.9944408584129303E-3</v>
      </c>
      <c r="G56" s="799">
        <f t="shared" si="5"/>
        <v>6.1287700232292658E-2</v>
      </c>
      <c r="H56" s="798">
        <v>2.2607372880113E-2</v>
      </c>
      <c r="I56" s="798">
        <v>4.720231235733E-3</v>
      </c>
      <c r="J56" s="798">
        <v>9.4768506991094199E-3</v>
      </c>
      <c r="K56" s="799">
        <f t="shared" si="6"/>
        <v>3.6804454814955465E-2</v>
      </c>
      <c r="L56" s="798">
        <v>2.3856199639117502E-3</v>
      </c>
      <c r="M56" s="799">
        <v>9.8092155047248095E-2</v>
      </c>
      <c r="N56" s="798"/>
    </row>
    <row r="57" spans="3:28" ht="15.75">
      <c r="C57" s="788">
        <v>2014</v>
      </c>
      <c r="D57" s="800">
        <f t="shared" si="7"/>
        <v>4.4544938245054434E-2</v>
      </c>
      <c r="E57" s="800">
        <f t="shared" si="4"/>
        <v>6.5773848338126963E-3</v>
      </c>
      <c r="F57" s="800">
        <v>5.33065417293667E-3</v>
      </c>
      <c r="G57" s="801">
        <f t="shared" si="5"/>
        <v>5.8780190523969898E-2</v>
      </c>
      <c r="H57" s="800">
        <v>2.1816191828494098E-2</v>
      </c>
      <c r="I57" s="800">
        <v>5.3444912206059196E-3</v>
      </c>
      <c r="J57" s="800">
        <v>9.6451809252310703E-3</v>
      </c>
      <c r="K57" s="801">
        <f t="shared" si="6"/>
        <v>3.6805863974331068E-2</v>
      </c>
      <c r="L57" s="800">
        <v>2.3272132721660998E-3</v>
      </c>
      <c r="M57" s="801">
        <v>9.5586054498301001E-2</v>
      </c>
      <c r="N57" s="800"/>
    </row>
    <row r="58" spans="3:28" ht="15.75">
      <c r="C58" s="788">
        <f>C57+1</f>
        <v>2015</v>
      </c>
      <c r="D58" s="798">
        <f t="shared" si="7"/>
        <v>4.7130472176589992E-2</v>
      </c>
      <c r="E58" s="798">
        <f t="shared" si="4"/>
        <v>6.1815189197769139E-3</v>
      </c>
      <c r="F58" s="798">
        <v>4.7634745984560098E-3</v>
      </c>
      <c r="G58" s="799">
        <f t="shared" si="5"/>
        <v>6.0682352747455502E-2</v>
      </c>
      <c r="H58" s="798">
        <v>2.7374250617278901E-2</v>
      </c>
      <c r="I58" s="798">
        <v>6.8693757772096704E-3</v>
      </c>
      <c r="J58" s="798">
        <v>1.04568666999862E-2</v>
      </c>
      <c r="K58" s="799">
        <f t="shared" si="6"/>
        <v>4.4700493094474714E-2</v>
      </c>
      <c r="L58" s="798">
        <v>2.6068870526325802E-3</v>
      </c>
      <c r="M58" s="799">
        <v>0.10538284584193</v>
      </c>
      <c r="N58" s="798"/>
    </row>
    <row r="59" spans="3:28" ht="15.75">
      <c r="C59" s="788">
        <f>C58+1</f>
        <v>2016</v>
      </c>
      <c r="D59" s="800">
        <f t="shared" si="7"/>
        <v>4.6694023650467237E-2</v>
      </c>
      <c r="E59" s="800">
        <f t="shared" si="4"/>
        <v>5.7971604926908924E-3</v>
      </c>
      <c r="F59" s="800">
        <v>9.1123502299378396E-3</v>
      </c>
      <c r="G59" s="801">
        <f t="shared" si="5"/>
        <v>6.4239843220497694E-2</v>
      </c>
      <c r="H59" s="800">
        <v>2.8318123348202499E-2</v>
      </c>
      <c r="I59" s="800">
        <v>7.2336783889560803E-3</v>
      </c>
      <c r="J59" s="800">
        <v>9.7160356203607901E-3</v>
      </c>
      <c r="K59" s="801">
        <f t="shared" si="6"/>
        <v>4.5267837357519415E-2</v>
      </c>
      <c r="L59" s="800">
        <v>2.6363088474017199E-3</v>
      </c>
      <c r="M59" s="801">
        <v>0.10950768057801701</v>
      </c>
      <c r="N59" s="800">
        <v>7.7108373463174605E-4</v>
      </c>
    </row>
    <row r="60" spans="3:28" ht="15.75">
      <c r="C60" s="788">
        <f>C59+1</f>
        <v>2017</v>
      </c>
      <c r="D60" s="798">
        <f t="shared" si="7"/>
        <v>4.7455043033728807E-2</v>
      </c>
      <c r="E60" s="798">
        <f t="shared" si="4"/>
        <v>5.8260065366792443E-3</v>
      </c>
      <c r="F60" s="798">
        <v>8.4999227567963097E-3</v>
      </c>
      <c r="G60" s="799">
        <f t="shared" si="5"/>
        <v>6.475176965894594E-2</v>
      </c>
      <c r="H60" s="798">
        <v>2.97439698167444E-2</v>
      </c>
      <c r="I60" s="798">
        <v>6.4137023037248199E-3</v>
      </c>
      <c r="J60" s="798">
        <v>9.5683105227662695E-3</v>
      </c>
      <c r="K60" s="799">
        <f t="shared" si="6"/>
        <v>4.572598264323556E-2</v>
      </c>
      <c r="L60" s="798">
        <v>2.9707973317415599E-3</v>
      </c>
      <c r="M60" s="799">
        <v>0.110288718926531</v>
      </c>
      <c r="N60" s="798">
        <v>3.9079209240223097E-3</v>
      </c>
    </row>
    <row r="61" spans="3:28" ht="15.75">
      <c r="C61" s="788">
        <f>C60+1</f>
        <v>2018</v>
      </c>
      <c r="D61" s="800">
        <f t="shared" si="7"/>
        <v>4.3690559434116788E-2</v>
      </c>
      <c r="E61" s="800">
        <f t="shared" si="4"/>
        <v>5.0226827800829094E-3</v>
      </c>
      <c r="F61" s="800">
        <v>8.7005508727895295E-3</v>
      </c>
      <c r="G61" s="801">
        <f t="shared" si="5"/>
        <v>6.0231324139164419E-2</v>
      </c>
      <c r="H61" s="800">
        <v>2.7220021984051199E-2</v>
      </c>
      <c r="I61" s="800">
        <v>6.1715142349449701E-3</v>
      </c>
      <c r="J61" s="800">
        <v>8.7323352650614701E-3</v>
      </c>
      <c r="K61" s="801">
        <f t="shared" si="6"/>
        <v>4.2123871484057704E-2</v>
      </c>
      <c r="L61" s="800">
        <v>2.8175310521751699E-3</v>
      </c>
      <c r="M61" s="801">
        <v>0.103446496738635</v>
      </c>
      <c r="N61" s="800">
        <v>4.0000000000000001E-3</v>
      </c>
    </row>
    <row r="62" spans="3:28">
      <c r="K62" s="802"/>
    </row>
    <row r="64" spans="3:28" ht="15" customHeight="1">
      <c r="C64" s="830"/>
      <c r="D64" s="840" t="s">
        <v>789</v>
      </c>
      <c r="E64" s="840" t="s">
        <v>1079</v>
      </c>
      <c r="F64" s="840" t="s">
        <v>1080</v>
      </c>
      <c r="G64" s="838" t="s">
        <v>1130</v>
      </c>
      <c r="H64" s="830"/>
      <c r="I64" s="841" t="s">
        <v>1131</v>
      </c>
      <c r="J64" s="840" t="s">
        <v>1132</v>
      </c>
      <c r="K64" s="838" t="s">
        <v>1133</v>
      </c>
      <c r="L64" s="840"/>
    </row>
    <row r="65" spans="2:12">
      <c r="C65" s="830"/>
      <c r="D65" s="840"/>
      <c r="E65" s="840"/>
      <c r="F65" s="840"/>
      <c r="G65" s="838"/>
      <c r="H65" s="830"/>
      <c r="I65" s="841"/>
      <c r="J65" s="840"/>
      <c r="K65" s="838"/>
      <c r="L65" s="840"/>
    </row>
    <row r="66" spans="2:12">
      <c r="B66" s="802">
        <f>SUM(D66:G66)</f>
        <v>7.0611866142206658E-2</v>
      </c>
      <c r="C66" s="781">
        <v>1993</v>
      </c>
      <c r="D66" s="782">
        <f>'Resultado ANSES por etapas'!B5</f>
        <v>4.5352832912549039E-2</v>
      </c>
      <c r="E66" s="782">
        <f>'Resultado ANSES por etapas'!C5</f>
        <v>1.1426158691432906E-2</v>
      </c>
      <c r="F66" s="782">
        <f>'Resultado ANSES por etapas'!D5</f>
        <v>1.2477115671008975E-2</v>
      </c>
      <c r="G66" s="782">
        <f>'Resultado ANSES por etapas'!E5</f>
        <v>1.3557588672157268E-3</v>
      </c>
      <c r="H66" s="781">
        <v>1993</v>
      </c>
      <c r="I66" s="782">
        <f t="shared" ref="I66:I91" si="8">D66-G36</f>
        <v>-2.5705102505121501E-2</v>
      </c>
      <c r="J66" s="782">
        <f t="shared" ref="J66:J91" si="9">E66+F66+G66-K36</f>
        <v>2.5259033229657609E-2</v>
      </c>
      <c r="K66" s="782">
        <f t="shared" ref="K66:K91" si="10">I66+J66</f>
        <v>-4.4606927546389161E-4</v>
      </c>
      <c r="L66" s="782"/>
    </row>
    <row r="67" spans="2:12">
      <c r="C67" s="781">
        <v>1994</v>
      </c>
      <c r="D67" s="787">
        <f>'Resultado ANSES por etapas'!B6</f>
        <v>4.1240641070148722E-2</v>
      </c>
      <c r="E67" s="787">
        <f>'Resultado ANSES por etapas'!C6</f>
        <v>1.2086918580086134E-2</v>
      </c>
      <c r="F67" s="787">
        <f>'Resultado ANSES por etapas'!D6</f>
        <v>1.0313805580301925E-2</v>
      </c>
      <c r="G67" s="787">
        <f>'Resultado ANSES por etapas'!E6</f>
        <v>9.5319509687930845E-5</v>
      </c>
      <c r="H67" s="781">
        <v>1994</v>
      </c>
      <c r="I67" s="787">
        <f t="shared" si="8"/>
        <v>-3.3869436098904478E-2</v>
      </c>
      <c r="J67" s="787">
        <f t="shared" si="9"/>
        <v>2.0784106637842931E-2</v>
      </c>
      <c r="K67" s="787">
        <f t="shared" si="10"/>
        <v>-1.3085329461061546E-2</v>
      </c>
      <c r="L67" s="787"/>
    </row>
    <row r="68" spans="2:12">
      <c r="C68" s="781">
        <v>1995</v>
      </c>
      <c r="D68" s="782">
        <f>'Resultado ANSES por etapas'!B7</f>
        <v>3.671628422629266E-2</v>
      </c>
      <c r="E68" s="782">
        <f>'Resultado ANSES por etapas'!C7</f>
        <v>1.2112184053518191E-2</v>
      </c>
      <c r="F68" s="782">
        <f>'Resultado ANSES por etapas'!D7</f>
        <v>1.1591546064282976E-2</v>
      </c>
      <c r="G68" s="782">
        <f>'Resultado ANSES por etapas'!E7</f>
        <v>3.1697520672467914E-5</v>
      </c>
      <c r="H68" s="781">
        <v>1995</v>
      </c>
      <c r="I68" s="782">
        <f t="shared" si="8"/>
        <v>-2.8130764376822125E-2</v>
      </c>
      <c r="J68" s="782">
        <f t="shared" si="9"/>
        <v>2.1751414779233921E-2</v>
      </c>
      <c r="K68" s="782">
        <f t="shared" si="10"/>
        <v>-6.3793495975882041E-3</v>
      </c>
      <c r="L68" s="782"/>
    </row>
    <row r="69" spans="2:12">
      <c r="C69" s="781">
        <v>1996</v>
      </c>
      <c r="D69" s="787">
        <f>'Resultado ANSES por etapas'!B8</f>
        <v>3.6384675884464944E-2</v>
      </c>
      <c r="E69" s="787">
        <f>'Resultado ANSES por etapas'!C8</f>
        <v>1.4674132007748912E-2</v>
      </c>
      <c r="F69" s="787">
        <f>'Resultado ANSES por etapas'!D8</f>
        <v>1.1873413888874359E-2</v>
      </c>
      <c r="G69" s="787">
        <f>'Resultado ANSES por etapas'!E8</f>
        <v>1.1652327474047302E-4</v>
      </c>
      <c r="H69" s="781">
        <v>1996</v>
      </c>
      <c r="I69" s="787">
        <f t="shared" si="8"/>
        <v>-2.9980199892505839E-2</v>
      </c>
      <c r="J69" s="787">
        <f t="shared" si="9"/>
        <v>2.4692895161714436E-2</v>
      </c>
      <c r="K69" s="787">
        <f t="shared" si="10"/>
        <v>-5.2873047307914027E-3</v>
      </c>
      <c r="L69" s="787"/>
    </row>
    <row r="70" spans="2:12">
      <c r="C70" s="781">
        <v>1997</v>
      </c>
      <c r="D70" s="782">
        <f>'Resultado ANSES por etapas'!B9</f>
        <v>2.8181988867876529E-2</v>
      </c>
      <c r="E70" s="782">
        <f>'Resultado ANSES por etapas'!C9</f>
        <v>2.008539468875652E-2</v>
      </c>
      <c r="F70" s="782">
        <f>'Resultado ANSES por etapas'!D9</f>
        <v>1.2286423141515632E-2</v>
      </c>
      <c r="G70" s="782">
        <f>'Resultado ANSES por etapas'!E9</f>
        <v>1.0830390046298377E-4</v>
      </c>
      <c r="H70" s="781">
        <v>1997</v>
      </c>
      <c r="I70" s="782">
        <f t="shared" si="8"/>
        <v>-3.3769978730920761E-2</v>
      </c>
      <c r="J70" s="782">
        <f t="shared" si="9"/>
        <v>3.0614033442808518E-2</v>
      </c>
      <c r="K70" s="782">
        <f t="shared" si="10"/>
        <v>-3.1559452881122427E-3</v>
      </c>
      <c r="L70" s="782"/>
    </row>
    <row r="71" spans="2:12">
      <c r="C71" s="781">
        <v>1998</v>
      </c>
      <c r="D71" s="787">
        <f>'Resultado ANSES por etapas'!B10</f>
        <v>2.6496521923346422E-2</v>
      </c>
      <c r="E71" s="787">
        <f>'Resultado ANSES por etapas'!C10</f>
        <v>2.1257840347759106E-2</v>
      </c>
      <c r="F71" s="787">
        <f>'Resultado ANSES por etapas'!D10</f>
        <v>1.2703332712976441E-2</v>
      </c>
      <c r="G71" s="787">
        <f>'Resultado ANSES por etapas'!E10</f>
        <v>4.8496305148205421E-5</v>
      </c>
      <c r="H71" s="781">
        <v>1998</v>
      </c>
      <c r="I71" s="787">
        <f t="shared" si="8"/>
        <v>-3.4890894377359941E-2</v>
      </c>
      <c r="J71" s="787">
        <f t="shared" si="9"/>
        <v>3.2230832253374329E-2</v>
      </c>
      <c r="K71" s="787">
        <f t="shared" si="10"/>
        <v>-2.6600621239856112E-3</v>
      </c>
      <c r="L71" s="787"/>
    </row>
    <row r="72" spans="2:12">
      <c r="C72" s="781">
        <v>1999</v>
      </c>
      <c r="D72" s="782">
        <f>'Resultado ANSES por etapas'!B11</f>
        <v>2.4905564668713822E-2</v>
      </c>
      <c r="E72" s="782">
        <f>'Resultado ANSES por etapas'!C11</f>
        <v>2.1430330231537533E-2</v>
      </c>
      <c r="F72" s="782">
        <f>'Resultado ANSES por etapas'!D11</f>
        <v>1.3059061033359248E-2</v>
      </c>
      <c r="G72" s="782">
        <f>'Resultado ANSES por etapas'!E11</f>
        <v>8.9008900038115067E-6</v>
      </c>
      <c r="H72" s="781">
        <v>1999</v>
      </c>
      <c r="I72" s="782">
        <f t="shared" si="8"/>
        <v>-4.034990667103551E-2</v>
      </c>
      <c r="J72" s="782">
        <f t="shared" si="9"/>
        <v>3.2590218656408022E-2</v>
      </c>
      <c r="K72" s="782">
        <f t="shared" si="10"/>
        <v>-7.7596880146274874E-3</v>
      </c>
      <c r="L72" s="782"/>
    </row>
    <row r="73" spans="2:12">
      <c r="C73" s="781">
        <v>2000</v>
      </c>
      <c r="D73" s="787">
        <f>'Resultado ANSES por etapas'!B12</f>
        <v>2.36198765665383E-2</v>
      </c>
      <c r="E73" s="787">
        <f>'Resultado ANSES por etapas'!C12</f>
        <v>2.3556870770297954E-2</v>
      </c>
      <c r="F73" s="787">
        <f>'Resultado ANSES por etapas'!D12</f>
        <v>1.3248290446669314E-2</v>
      </c>
      <c r="G73" s="787">
        <f>'Resultado ANSES por etapas'!E12</f>
        <v>5.0805813937639194E-6</v>
      </c>
      <c r="H73" s="781">
        <v>2000</v>
      </c>
      <c r="I73" s="787">
        <f t="shared" si="8"/>
        <v>-4.1196462214871443E-2</v>
      </c>
      <c r="J73" s="787">
        <f t="shared" si="9"/>
        <v>3.445791776109737E-2</v>
      </c>
      <c r="K73" s="787">
        <f t="shared" si="10"/>
        <v>-6.738544453774073E-3</v>
      </c>
      <c r="L73" s="787"/>
    </row>
    <row r="74" spans="2:12">
      <c r="C74" s="781">
        <v>2001</v>
      </c>
      <c r="D74" s="782">
        <f>'Resultado ANSES por etapas'!B13</f>
        <v>2.387586963380494E-2</v>
      </c>
      <c r="E74" s="782">
        <f>'Resultado ANSES por etapas'!C13</f>
        <v>2.144577363317738E-2</v>
      </c>
      <c r="F74" s="782">
        <f>'Resultado ANSES por etapas'!D13</f>
        <v>1.2445044343194066E-2</v>
      </c>
      <c r="G74" s="782">
        <f>'Resultado ANSES por etapas'!E13</f>
        <v>1.2795037999963891E-6</v>
      </c>
      <c r="H74" s="781">
        <v>2001</v>
      </c>
      <c r="I74" s="782">
        <f t="shared" si="8"/>
        <v>-4.1532480417027597E-2</v>
      </c>
      <c r="J74" s="782">
        <f t="shared" si="9"/>
        <v>3.1367551679767396E-2</v>
      </c>
      <c r="K74" s="782">
        <f t="shared" si="10"/>
        <v>-1.0164928737260201E-2</v>
      </c>
      <c r="L74" s="782"/>
    </row>
    <row r="75" spans="2:12">
      <c r="C75" s="781">
        <v>2002</v>
      </c>
      <c r="D75" s="787">
        <f>'Resultado ANSES por etapas'!B14</f>
        <v>2.0451199643396614E-2</v>
      </c>
      <c r="E75" s="787">
        <f>'Resultado ANSES por etapas'!C14</f>
        <v>1.7055519971740474E-2</v>
      </c>
      <c r="F75" s="787">
        <f>'Resultado ANSES por etapas'!D14</f>
        <v>9.6369580470071613E-3</v>
      </c>
      <c r="G75" s="787">
        <f>'Resultado ANSES por etapas'!E14</f>
        <v>1.7183089538788257E-5</v>
      </c>
      <c r="H75" s="781">
        <v>2002</v>
      </c>
      <c r="I75" s="787">
        <f t="shared" si="8"/>
        <v>-3.6232861476605191E-2</v>
      </c>
      <c r="J75" s="787">
        <f t="shared" si="9"/>
        <v>2.4792798406931799E-2</v>
      </c>
      <c r="K75" s="787">
        <f t="shared" si="10"/>
        <v>-1.1440063069673392E-2</v>
      </c>
      <c r="L75" s="787"/>
    </row>
    <row r="76" spans="2:12">
      <c r="C76" s="781">
        <v>2003</v>
      </c>
      <c r="D76" s="782">
        <f>'Resultado ANSES por etapas'!B15</f>
        <v>2.0472673983102898E-2</v>
      </c>
      <c r="E76" s="782">
        <f>'Resultado ANSES por etapas'!C15</f>
        <v>1.9855391614481178E-2</v>
      </c>
      <c r="F76" s="782">
        <f>'Resultado ANSES por etapas'!D15</f>
        <v>1.1802672712088739E-2</v>
      </c>
      <c r="G76" s="782">
        <f>'Resultado ANSES por etapas'!E15</f>
        <v>5.4597090170212923E-6</v>
      </c>
      <c r="H76" s="781">
        <v>2003</v>
      </c>
      <c r="I76" s="782">
        <f t="shared" si="8"/>
        <v>-3.4760888094064052E-2</v>
      </c>
      <c r="J76" s="782">
        <f t="shared" si="9"/>
        <v>2.9833618305029268E-2</v>
      </c>
      <c r="K76" s="782">
        <f t="shared" si="10"/>
        <v>-4.9272697890347834E-3</v>
      </c>
      <c r="L76" s="782"/>
    </row>
    <row r="77" spans="2:12">
      <c r="C77" s="781">
        <v>2004</v>
      </c>
      <c r="D77" s="787">
        <f>'Resultado ANSES por etapas'!B16</f>
        <v>1.9858383068615145E-2</v>
      </c>
      <c r="E77" s="787">
        <f>'Resultado ANSES por etapas'!C16</f>
        <v>2.1674207616184295E-2</v>
      </c>
      <c r="F77" s="787">
        <f>'Resultado ANSES por etapas'!D16</f>
        <v>1.3324283644975191E-2</v>
      </c>
      <c r="G77" s="787">
        <f>'Resultado ANSES por etapas'!E16</f>
        <v>2.3088096995920518E-5</v>
      </c>
      <c r="H77" s="781">
        <v>2004</v>
      </c>
      <c r="I77" s="787">
        <f t="shared" si="8"/>
        <v>-2.8906711788993626E-2</v>
      </c>
      <c r="J77" s="787">
        <f t="shared" si="9"/>
        <v>3.2727883515250862E-2</v>
      </c>
      <c r="K77" s="787">
        <f t="shared" si="10"/>
        <v>3.8211717262572366E-3</v>
      </c>
      <c r="L77" s="787"/>
    </row>
    <row r="78" spans="2:12">
      <c r="C78" s="781">
        <v>2005</v>
      </c>
      <c r="D78" s="782">
        <f>'Resultado ANSES por etapas'!B17</f>
        <v>2.142497776030532E-2</v>
      </c>
      <c r="E78" s="782">
        <f>'Resultado ANSES por etapas'!C17</f>
        <v>2.1947140589457386E-2</v>
      </c>
      <c r="F78" s="782">
        <f>'Resultado ANSES por etapas'!D17</f>
        <v>1.3961831821235454E-2</v>
      </c>
      <c r="G78" s="782">
        <f>'Resultado ANSES por etapas'!E17</f>
        <v>6.6475850715056454E-5</v>
      </c>
      <c r="H78" s="781">
        <v>2005</v>
      </c>
      <c r="I78" s="782">
        <f t="shared" si="8"/>
        <v>-2.6112749902962907E-2</v>
      </c>
      <c r="J78" s="782">
        <f t="shared" si="9"/>
        <v>3.3690286129117314E-2</v>
      </c>
      <c r="K78" s="782">
        <f t="shared" si="10"/>
        <v>7.577536226154407E-3</v>
      </c>
      <c r="L78" s="782"/>
    </row>
    <row r="79" spans="2:12">
      <c r="C79" s="781">
        <v>2006</v>
      </c>
      <c r="D79" s="787">
        <f>'Resultado ANSES por etapas'!B18</f>
        <v>2.525758774444406E-2</v>
      </c>
      <c r="E79" s="787">
        <f>'Resultado ANSES por etapas'!C18</f>
        <v>2.1219679943127439E-2</v>
      </c>
      <c r="F79" s="787">
        <f>'Resultado ANSES por etapas'!D18</f>
        <v>1.4113123533386727E-2</v>
      </c>
      <c r="G79" s="787">
        <f>'Resultado ANSES por etapas'!E18</f>
        <v>4.0142879943149833E-4</v>
      </c>
      <c r="H79" s="781">
        <v>2006</v>
      </c>
      <c r="I79" s="787">
        <f t="shared" si="8"/>
        <v>-2.3775902418051213E-2</v>
      </c>
      <c r="J79" s="787">
        <f t="shared" si="9"/>
        <v>3.2953697564301915E-2</v>
      </c>
      <c r="K79" s="787">
        <f t="shared" si="10"/>
        <v>9.1777951462507015E-3</v>
      </c>
      <c r="L79" s="787"/>
    </row>
    <row r="80" spans="2:12">
      <c r="C80" s="781">
        <v>2007</v>
      </c>
      <c r="D80" s="782">
        <f>'Resultado ANSES por etapas'!B19</f>
        <v>3.8504796638148854E-2</v>
      </c>
      <c r="E80" s="782">
        <f>'Resultado ANSES por etapas'!C19</f>
        <v>2.0954867995993498E-2</v>
      </c>
      <c r="F80" s="782">
        <f>'Resultado ANSES por etapas'!D19</f>
        <v>1.4906804729574941E-2</v>
      </c>
      <c r="G80" s="782">
        <f>'Resultado ANSES por etapas'!E19</f>
        <v>7.3792881718357851E-4</v>
      </c>
      <c r="H80" s="781">
        <v>2007</v>
      </c>
      <c r="I80" s="782">
        <f t="shared" si="8"/>
        <v>-8.6819347174286049E-3</v>
      </c>
      <c r="J80" s="782">
        <f t="shared" si="9"/>
        <v>1.9528510666731676E-2</v>
      </c>
      <c r="K80" s="782">
        <f t="shared" si="10"/>
        <v>1.0846575949303071E-2</v>
      </c>
      <c r="L80" s="782"/>
    </row>
    <row r="81" spans="3:12">
      <c r="C81" s="781">
        <v>2008</v>
      </c>
      <c r="D81" s="787">
        <f>'Resultado ANSES por etapas'!B20</f>
        <v>3.685080167369819E-2</v>
      </c>
      <c r="E81" s="787">
        <f>'Resultado ANSES por etapas'!C20</f>
        <v>2.043922790165011E-2</v>
      </c>
      <c r="F81" s="787">
        <f>'Resultado ANSES por etapas'!D20</f>
        <v>1.4573037647607418E-2</v>
      </c>
      <c r="G81" s="787"/>
      <c r="H81" s="781">
        <v>2008</v>
      </c>
      <c r="I81" s="787">
        <f t="shared" si="8"/>
        <v>-1.1347167039673402E-2</v>
      </c>
      <c r="J81" s="787">
        <f t="shared" si="9"/>
        <v>1.6076001800430156E-2</v>
      </c>
      <c r="K81" s="787">
        <f t="shared" si="10"/>
        <v>4.7288347607567539E-3</v>
      </c>
      <c r="L81" s="787"/>
    </row>
    <row r="82" spans="3:12">
      <c r="C82" s="781">
        <v>2009</v>
      </c>
      <c r="D82" s="782">
        <f>'Resultado ANSES por etapas'!B21</f>
        <v>5.0770137181938908E-2</v>
      </c>
      <c r="E82" s="782">
        <f>'Resultado ANSES por etapas'!C21</f>
        <v>2.0392118134628833E-2</v>
      </c>
      <c r="F82" s="782">
        <f>'Resultado ANSES por etapas'!D21</f>
        <v>1.4617359798054395E-2</v>
      </c>
      <c r="G82" s="782"/>
      <c r="H82" s="781">
        <v>2009</v>
      </c>
      <c r="I82" s="782">
        <f t="shared" si="8"/>
        <v>-7.9834055024304434E-3</v>
      </c>
      <c r="J82" s="782">
        <f t="shared" si="9"/>
        <v>1.1461582534297778E-2</v>
      </c>
      <c r="K82" s="782">
        <f t="shared" si="10"/>
        <v>3.4781770318673341E-3</v>
      </c>
      <c r="L82" s="782"/>
    </row>
    <row r="83" spans="3:12">
      <c r="C83" s="781">
        <v>2010</v>
      </c>
      <c r="D83" s="787">
        <f>'Resultado ANSES por etapas'!B22</f>
        <v>5.0487311577959881E-2</v>
      </c>
      <c r="E83" s="787">
        <f>'Resultado ANSES por etapas'!C22</f>
        <v>2.0640763106550608E-2</v>
      </c>
      <c r="F83" s="787">
        <f>'Resultado ANSES por etapas'!D22</f>
        <v>1.4744221894204591E-2</v>
      </c>
      <c r="G83" s="787">
        <f>'Resultado ANSES por etapas'!F22</f>
        <v>4.7841968382753223E-5</v>
      </c>
      <c r="H83" s="781">
        <v>2010</v>
      </c>
      <c r="I83" s="787">
        <f t="shared" si="8"/>
        <v>-3.4099686740774529E-3</v>
      </c>
      <c r="J83" s="787">
        <f t="shared" si="9"/>
        <v>7.5218064763041062E-3</v>
      </c>
      <c r="K83" s="787">
        <f t="shared" si="10"/>
        <v>4.1118378022266533E-3</v>
      </c>
      <c r="L83" s="787"/>
    </row>
    <row r="84" spans="3:12">
      <c r="C84" s="781">
        <v>2011</v>
      </c>
      <c r="D84" s="782">
        <f>'Resultado ANSES por etapas'!B23</f>
        <v>5.1623947009385961E-2</v>
      </c>
      <c r="E84" s="782">
        <f>'Resultado ANSES por etapas'!C23</f>
        <v>2.1055525547648633E-2</v>
      </c>
      <c r="F84" s="782">
        <f>'Resultado ANSES por etapas'!D23</f>
        <v>1.4885606544660831E-2</v>
      </c>
      <c r="G84" s="782">
        <f>'Resultado ANSES por etapas'!F23</f>
        <v>1.2765066065424809E-3</v>
      </c>
      <c r="H84" s="781">
        <v>2011</v>
      </c>
      <c r="I84" s="782">
        <f t="shared" si="8"/>
        <v>-2.1360393133671787E-3</v>
      </c>
      <c r="J84" s="782">
        <f t="shared" si="9"/>
        <v>6.6756249787197318E-3</v>
      </c>
      <c r="K84" s="782">
        <f t="shared" si="10"/>
        <v>4.5395856653525531E-3</v>
      </c>
      <c r="L84" s="782"/>
    </row>
    <row r="85" spans="3:12">
      <c r="C85" s="781">
        <v>2012</v>
      </c>
      <c r="D85" s="787">
        <f>'Resultado ANSES por etapas'!B24</f>
        <v>5.5778278265297979E-2</v>
      </c>
      <c r="E85" s="787">
        <f>'Resultado ANSES por etapas'!C24</f>
        <v>2.2440098912537731E-2</v>
      </c>
      <c r="F85" s="787">
        <f>'Resultado ANSES por etapas'!D24</f>
        <v>1.5558304996599116E-2</v>
      </c>
      <c r="G85" s="787">
        <f>'Resultado ANSES por etapas'!F24</f>
        <v>4.7449512468222062E-4</v>
      </c>
      <c r="H85" s="781">
        <v>2012</v>
      </c>
      <c r="I85" s="787">
        <f t="shared" si="8"/>
        <v>-2.057204417244704E-3</v>
      </c>
      <c r="J85" s="787">
        <f t="shared" si="9"/>
        <v>3.5833170522169416E-3</v>
      </c>
      <c r="K85" s="787">
        <f t="shared" si="10"/>
        <v>1.5261126349722376E-3</v>
      </c>
      <c r="L85" s="787"/>
    </row>
    <row r="86" spans="3:12">
      <c r="C86" s="781">
        <f t="shared" ref="C86:C91" si="11">C85+1</f>
        <v>2013</v>
      </c>
      <c r="D86" s="782">
        <f>'Resultado ANSES por etapas'!B25</f>
        <v>5.7671902775210067E-2</v>
      </c>
      <c r="E86" s="782">
        <f>'Resultado ANSES por etapas'!C25</f>
        <v>2.2331853031304708E-2</v>
      </c>
      <c r="F86" s="782">
        <f>'Resultado ANSES por etapas'!D25</f>
        <v>1.5914800261768496E-2</v>
      </c>
      <c r="G86" s="782">
        <f>'Resultado ANSES por etapas'!F25</f>
        <v>1.2219304208036792E-3</v>
      </c>
      <c r="H86" s="781">
        <f t="shared" ref="H86:H91" si="12">H85+1</f>
        <v>2013</v>
      </c>
      <c r="I86" s="782">
        <f t="shared" si="8"/>
        <v>-3.615797457082591E-3</v>
      </c>
      <c r="J86" s="782">
        <f t="shared" si="9"/>
        <v>2.6641288989214182E-3</v>
      </c>
      <c r="K86" s="782">
        <f t="shared" si="10"/>
        <v>-9.516685581611728E-4</v>
      </c>
      <c r="L86" s="782"/>
    </row>
    <row r="87" spans="3:12">
      <c r="C87" s="781">
        <f t="shared" si="11"/>
        <v>2014</v>
      </c>
      <c r="D87" s="787">
        <f>'Resultado ANSES por etapas'!B26</f>
        <v>5.4209806865289416E-2</v>
      </c>
      <c r="E87" s="787">
        <f>'Resultado ANSES por etapas'!C26</f>
        <v>2.2579375080733533E-2</v>
      </c>
      <c r="F87" s="787">
        <f>'Resultado ANSES por etapas'!D26</f>
        <v>1.5871302582137044E-2</v>
      </c>
      <c r="G87" s="787">
        <f>'Resultado ANSES por etapas'!F26</f>
        <v>1.6327062141724975E-3</v>
      </c>
      <c r="H87" s="781">
        <f t="shared" si="12"/>
        <v>2014</v>
      </c>
      <c r="I87" s="787">
        <f t="shared" si="8"/>
        <v>-4.5703836586804825E-3</v>
      </c>
      <c r="J87" s="787">
        <f t="shared" si="9"/>
        <v>3.2775199027120089E-3</v>
      </c>
      <c r="K87" s="787">
        <f t="shared" si="10"/>
        <v>-1.2928637559684736E-3</v>
      </c>
      <c r="L87" s="787"/>
    </row>
    <row r="88" spans="3:12">
      <c r="C88" s="781">
        <f t="shared" si="11"/>
        <v>2015</v>
      </c>
      <c r="D88" s="782">
        <f>'Resultado ANSES por etapas'!B27</f>
        <v>5.6429715829916419E-2</v>
      </c>
      <c r="E88" s="782">
        <f>'Resultado ANSES por etapas'!C27</f>
        <v>2.3642605265148511E-2</v>
      </c>
      <c r="F88" s="782">
        <f>'Resultado ANSES por etapas'!D27</f>
        <v>1.6055108102521049E-2</v>
      </c>
      <c r="G88" s="782">
        <f>'Resultado ANSES por etapas'!F27</f>
        <v>1.7480835825710128E-3</v>
      </c>
      <c r="H88" s="781">
        <f t="shared" si="12"/>
        <v>2015</v>
      </c>
      <c r="I88" s="782">
        <f t="shared" si="8"/>
        <v>-4.2526369175390835E-3</v>
      </c>
      <c r="J88" s="782">
        <f t="shared" si="9"/>
        <v>-3.2546961442341468E-3</v>
      </c>
      <c r="K88" s="782">
        <f t="shared" si="10"/>
        <v>-7.5073330617732303E-3</v>
      </c>
      <c r="L88" s="782"/>
    </row>
    <row r="89" spans="3:12">
      <c r="C89" s="781">
        <f t="shared" si="11"/>
        <v>2016</v>
      </c>
      <c r="D89" s="787">
        <f>'Resultado ANSES por etapas'!B28</f>
        <v>5.4687527495474855E-2</v>
      </c>
      <c r="E89" s="787">
        <f>'Resultado ANSES por etapas'!C28</f>
        <v>2.1229363568431997E-2</v>
      </c>
      <c r="F89" s="787">
        <f>'Resultado ANSES por etapas'!D28</f>
        <v>1.1533398062803835E-2</v>
      </c>
      <c r="G89" s="787">
        <f>'Resultado ANSES por etapas'!F28</f>
        <v>1.7105917554574937E-3</v>
      </c>
      <c r="H89" s="781">
        <f t="shared" si="12"/>
        <v>2016</v>
      </c>
      <c r="I89" s="787">
        <f t="shared" si="8"/>
        <v>-9.5523157250228391E-3</v>
      </c>
      <c r="J89" s="787">
        <f t="shared" si="9"/>
        <v>-1.0794483970826094E-2</v>
      </c>
      <c r="K89" s="787">
        <f t="shared" si="10"/>
        <v>-2.0346799695848933E-2</v>
      </c>
      <c r="L89" s="787"/>
    </row>
    <row r="90" spans="3:12">
      <c r="C90" s="781">
        <f t="shared" si="11"/>
        <v>2017</v>
      </c>
      <c r="D90" s="782">
        <f>'Resultado ANSES por etapas'!B29</f>
        <v>5.5590096056665005E-2</v>
      </c>
      <c r="E90" s="782">
        <f>'Resultado ANSES por etapas'!C29</f>
        <v>2.1365199313940306E-2</v>
      </c>
      <c r="F90" s="782">
        <f>'Resultado ANSES por etapas'!D29</f>
        <v>8.3124002766656289E-3</v>
      </c>
      <c r="G90" s="782">
        <f>'Resultado ANSES por etapas'!F29</f>
        <v>1.1053546467209253E-3</v>
      </c>
      <c r="H90" s="781">
        <f t="shared" si="12"/>
        <v>2017</v>
      </c>
      <c r="I90" s="782">
        <f t="shared" si="8"/>
        <v>-9.1616736022809356E-3</v>
      </c>
      <c r="J90" s="782">
        <f t="shared" si="9"/>
        <v>-1.49430284059087E-2</v>
      </c>
      <c r="K90" s="782">
        <f t="shared" si="10"/>
        <v>-2.4104702008189635E-2</v>
      </c>
      <c r="L90" s="782"/>
    </row>
    <row r="91" spans="3:12">
      <c r="C91" s="781">
        <f t="shared" si="11"/>
        <v>2018</v>
      </c>
      <c r="D91" s="787">
        <f>'Resultado ANSES por etapas'!B30</f>
        <v>5.0704846491994214E-2</v>
      </c>
      <c r="E91" s="787">
        <f>'Resultado ANSES por etapas'!C30</f>
        <v>2.6720252660672565E-2</v>
      </c>
      <c r="F91" s="787">
        <f>'Resultado ANSES por etapas'!D30</f>
        <v>6.3356487062846906E-3</v>
      </c>
      <c r="G91" s="787">
        <f>'Resultado ANSES por etapas'!F30</f>
        <v>3.2264996405817985E-4</v>
      </c>
      <c r="H91" s="781">
        <f t="shared" si="12"/>
        <v>2018</v>
      </c>
      <c r="I91" s="787">
        <f t="shared" si="8"/>
        <v>-9.5264776471702048E-3</v>
      </c>
      <c r="J91" s="787">
        <f t="shared" si="9"/>
        <v>-8.7453201530422672E-3</v>
      </c>
      <c r="K91" s="787">
        <f t="shared" si="10"/>
        <v>-1.8271797800212472E-2</v>
      </c>
      <c r="L91" s="787"/>
    </row>
  </sheetData>
  <mergeCells count="38">
    <mergeCell ref="C4:C5"/>
    <mergeCell ref="D4:D5"/>
    <mergeCell ref="E4:E5"/>
    <mergeCell ref="F4:F5"/>
    <mergeCell ref="G4:G5"/>
    <mergeCell ref="P4:P5"/>
    <mergeCell ref="Q4:Q5"/>
    <mergeCell ref="H4:H5"/>
    <mergeCell ref="I4:I5"/>
    <mergeCell ref="J4:J5"/>
    <mergeCell ref="K4:K5"/>
    <mergeCell ref="L4:L5"/>
    <mergeCell ref="R4:R5"/>
    <mergeCell ref="C34:C35"/>
    <mergeCell ref="D34:D35"/>
    <mergeCell ref="E34:E35"/>
    <mergeCell ref="F34:F35"/>
    <mergeCell ref="G34:G35"/>
    <mergeCell ref="H34:H35"/>
    <mergeCell ref="I34:I35"/>
    <mergeCell ref="J34:J35"/>
    <mergeCell ref="K34:K35"/>
    <mergeCell ref="L34:L35"/>
    <mergeCell ref="M34:M35"/>
    <mergeCell ref="N34:N35"/>
    <mergeCell ref="M4:M5"/>
    <mergeCell ref="N4:N5"/>
    <mergeCell ref="O4:O5"/>
    <mergeCell ref="C64:C65"/>
    <mergeCell ref="D64:D65"/>
    <mergeCell ref="E64:E65"/>
    <mergeCell ref="F64:F65"/>
    <mergeCell ref="G64:G65"/>
    <mergeCell ref="H64:H65"/>
    <mergeCell ref="I64:I65"/>
    <mergeCell ref="J64:J65"/>
    <mergeCell ref="K64:K65"/>
    <mergeCell ref="L64:L65"/>
  </mergeCell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1555</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IVA</vt:lpstr>
      <vt:lpstr>PIB corriente base 2004</vt:lpstr>
      <vt:lpstr>PIB corriente base 1993</vt:lpstr>
      <vt:lpstr>Cálculo masa impuestos copartic</vt:lpstr>
      <vt:lpstr>Cuenta Ahorro-Inversión-Financi</vt:lpstr>
      <vt:lpstr>Exogenous tax and expenses</vt:lpstr>
      <vt:lpstr>Cobertura y contribuyentes</vt:lpstr>
      <vt:lpstr>Resultado ANSES por etapas</vt:lpstr>
      <vt:lpstr>Contrib gastos ANSES</vt:lpstr>
      <vt:lpstr>'Cuenta Ahorro-Inversión-Financi'!_Toc499037931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AG6</cp:lastModifiedBy>
  <cp:revision>23</cp:revision>
  <cp:lastPrinted>2019-09-11T15:44:50Z</cp:lastPrinted>
  <dcterms:created xsi:type="dcterms:W3CDTF">2019-04-15T19:05:27Z</dcterms:created>
  <dcterms:modified xsi:type="dcterms:W3CDTF">2020-02-28T20:27:14Z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