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8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15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Child benefits values 2019 leg" sheetId="1" state="visible" r:id="rId2"/>
    <sheet name="Child benefits values 2017 leg" sheetId="2" state="visible" r:id="rId3"/>
    <sheet name="Child benefits values 2015 mor" sheetId="3" state="visible" r:id="rId4"/>
    <sheet name="Child benefits 2015 no mor" sheetId="4" state="visible" r:id="rId5"/>
    <sheet name="Child ben compare all" sheetId="5" state="visible" r:id="rId6"/>
  </sheets>
  <externalReferences>
    <externalReference r:id="rId7"/>
  </externalReferences>
  <calcPr iterateCount="100" refMode="A1" iterate="false" iterateDelta="0.0001"/>
</workbook>
</file>

<file path=xl/sharedStrings.xml><?xml version="1.0" encoding="utf-8"?>
<sst xmlns="http://schemas.openxmlformats.org/spreadsheetml/2006/main" count="240" uniqueCount="27">
  <si>
    <t>LOW</t>
  </si>
  <si>
    <t>Official values</t>
  </si>
  <si>
    <t>"True" values</t>
  </si>
  <si>
    <t>CENTRAL</t>
  </si>
  <si>
    <t>HIGH</t>
  </si>
  <si>
    <t>Real wages</t>
  </si>
  <si>
    <t>Mean family benefit</t>
  </si>
  <si>
    <t>Mean child benefits</t>
  </si>
  <si>
    <t>Mean contributory child benefits</t>
  </si>
  <si>
    <t>Mean AUH benefits</t>
  </si>
  <si>
    <t>Period</t>
  </si>
  <si>
    <t>Family benefits</t>
  </si>
  <si>
    <t>Contributory child benefits</t>
  </si>
  <si>
    <t>AUH benefits</t>
  </si>
  <si>
    <t>Child benefits</t>
  </si>
  <si>
    <t>Contributory child benefits, 2019 legislation</t>
  </si>
  <si>
    <t>Contributory child benefits, 2017 legislation</t>
  </si>
  <si>
    <t>Contributory child benefits, 2015 legislation with moratoriums</t>
  </si>
  <si>
    <t>Contributory child benefits, 2015 legislation without moratoriums</t>
  </si>
  <si>
    <t>AUH benefits, 2019 legislation</t>
  </si>
  <si>
    <t>AUH benefits, 2017 legislation</t>
  </si>
  <si>
    <t>AUH benefits, 2015 legislation with moratoriums</t>
  </si>
  <si>
    <t>AUH benefits, 2015 legislation without moratoriums</t>
  </si>
  <si>
    <t>Child benefits values, 2019 legislation</t>
  </si>
  <si>
    <t>Child benefits values, 2017 legislation</t>
  </si>
  <si>
    <t>Child benefits values, 2015 legislation with moratoriums</t>
  </si>
  <si>
    <t>Child benefits values, 2015 legislation without moratoriums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</si>
</sst>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2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4F81BD"/>
      <rgbColor rgb="FFC0C0C0"/>
      <rgbColor rgb="FF878787"/>
      <rgbColor rgb="FF9999FF"/>
      <rgbColor rgb="FFBE4B48"/>
      <rgbColor rgb="FFF2F2F2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F9900"/>
      <rgbColor rgb="FFFF6600"/>
      <rgbColor rgb="FF7D5FA0"/>
      <rgbColor rgb="FF9BBB59"/>
      <rgbColor rgb="FF003366"/>
      <rgbColor rgb="FF66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 2019 leg'!$AG$2:$AG$3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2019 leg'!$AD$4:$AD$29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2019 leg'!$AG$4:$AG$29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2252.22299345299</c:v>
                </c:pt>
                <c:pt idx="4">
                  <c:v>1881.54366369364</c:v>
                </c:pt>
                <c:pt idx="5">
                  <c:v>1779.89285036087</c:v>
                </c:pt>
                <c:pt idx="6">
                  <c:v>1878.45445562438</c:v>
                </c:pt>
                <c:pt idx="7">
                  <c:v>1968.59183306929</c:v>
                </c:pt>
                <c:pt idx="8">
                  <c:v>1998.42090621001</c:v>
                </c:pt>
                <c:pt idx="9">
                  <c:v>2063.71083322299</c:v>
                </c:pt>
                <c:pt idx="10">
                  <c:v>2112.63296274602</c:v>
                </c:pt>
                <c:pt idx="11">
                  <c:v>2149.76288844686</c:v>
                </c:pt>
                <c:pt idx="12">
                  <c:v>2122.08274248165</c:v>
                </c:pt>
                <c:pt idx="13">
                  <c:v>2161.51547785801</c:v>
                </c:pt>
                <c:pt idx="14">
                  <c:v>2172.61062668188</c:v>
                </c:pt>
                <c:pt idx="15">
                  <c:v>2151.20533863579</c:v>
                </c:pt>
                <c:pt idx="16">
                  <c:v>2147.51245202243</c:v>
                </c:pt>
                <c:pt idx="17">
                  <c:v>2101.90531291416</c:v>
                </c:pt>
                <c:pt idx="18">
                  <c:v>2082.59850686854</c:v>
                </c:pt>
                <c:pt idx="19">
                  <c:v>2132.821683445</c:v>
                </c:pt>
                <c:pt idx="20">
                  <c:v>2165.71437342339</c:v>
                </c:pt>
                <c:pt idx="21">
                  <c:v>2142.6535043263</c:v>
                </c:pt>
                <c:pt idx="22">
                  <c:v>2149.87059334986</c:v>
                </c:pt>
                <c:pt idx="23">
                  <c:v>2171.79512222444</c:v>
                </c:pt>
                <c:pt idx="24">
                  <c:v>2150.22437404104</c:v>
                </c:pt>
                <c:pt idx="25">
                  <c:v>2167.85540310873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 2019 leg'!$AH$2:$AH$3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2019 leg'!$AD$4:$AD$29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2019 leg'!$AH$4:$AH$29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3193.88488219808</c:v>
                </c:pt>
                <c:pt idx="5">
                  <c:v>2677.377965863</c:v>
                </c:pt>
                <c:pt idx="6">
                  <c:v>2824.64832928567</c:v>
                </c:pt>
                <c:pt idx="7">
                  <c:v>2899.06517911425</c:v>
                </c:pt>
                <c:pt idx="8">
                  <c:v>2976.62029916451</c:v>
                </c:pt>
                <c:pt idx="9">
                  <c:v>3047.92537198161</c:v>
                </c:pt>
                <c:pt idx="10">
                  <c:v>3114.70476881488</c:v>
                </c:pt>
                <c:pt idx="11">
                  <c:v>3163.6486575374</c:v>
                </c:pt>
                <c:pt idx="12">
                  <c:v>3162.2546129127</c:v>
                </c:pt>
                <c:pt idx="13">
                  <c:v>3201.35712735484</c:v>
                </c:pt>
                <c:pt idx="14">
                  <c:v>3248.03404028102</c:v>
                </c:pt>
                <c:pt idx="15">
                  <c:v>3240.43366474543</c:v>
                </c:pt>
                <c:pt idx="16">
                  <c:v>3237.00771181584</c:v>
                </c:pt>
                <c:pt idx="17">
                  <c:v>3207.48401989667</c:v>
                </c:pt>
                <c:pt idx="18">
                  <c:v>3327.28303911291</c:v>
                </c:pt>
                <c:pt idx="19">
                  <c:v>3301.15220336746</c:v>
                </c:pt>
                <c:pt idx="20">
                  <c:v>3269.80603695781</c:v>
                </c:pt>
                <c:pt idx="21">
                  <c:v>3365.3090311564</c:v>
                </c:pt>
                <c:pt idx="22">
                  <c:v>3382.93836579409</c:v>
                </c:pt>
                <c:pt idx="23">
                  <c:v>3344.17227645758</c:v>
                </c:pt>
                <c:pt idx="24">
                  <c:v>3390.22515224179</c:v>
                </c:pt>
                <c:pt idx="25">
                  <c:v>3422.896231108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 2019 leg'!$AI$2:$AI$3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2019 leg'!$AD$4:$AD$29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2019 leg'!$AI$4:$AI$29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2515.37149058918</c:v>
                </c:pt>
                <c:pt idx="4">
                  <c:v>2264.3173204628</c:v>
                </c:pt>
                <c:pt idx="5">
                  <c:v>2024.20854614857</c:v>
                </c:pt>
                <c:pt idx="6">
                  <c:v>2123.38081384108</c:v>
                </c:pt>
                <c:pt idx="7">
                  <c:v>2215.99594708714</c:v>
                </c:pt>
                <c:pt idx="8">
                  <c:v>2251.29569892301</c:v>
                </c:pt>
                <c:pt idx="9">
                  <c:v>2309.0042326218</c:v>
                </c:pt>
                <c:pt idx="10">
                  <c:v>2360.74335434248</c:v>
                </c:pt>
                <c:pt idx="11">
                  <c:v>2398.11179059832</c:v>
                </c:pt>
                <c:pt idx="12">
                  <c:v>2371.3518793181</c:v>
                </c:pt>
                <c:pt idx="13">
                  <c:v>2393.17864182804</c:v>
                </c:pt>
                <c:pt idx="14">
                  <c:v>2404.64075750734</c:v>
                </c:pt>
                <c:pt idx="15">
                  <c:v>2396.8470088461</c:v>
                </c:pt>
                <c:pt idx="16">
                  <c:v>2385.51731179492</c:v>
                </c:pt>
                <c:pt idx="17">
                  <c:v>2351.82501786388</c:v>
                </c:pt>
                <c:pt idx="18">
                  <c:v>2351.31889297456</c:v>
                </c:pt>
                <c:pt idx="19">
                  <c:v>2363.38201121437</c:v>
                </c:pt>
                <c:pt idx="20">
                  <c:v>2375.52808974885</c:v>
                </c:pt>
                <c:pt idx="21">
                  <c:v>2347.58035162072</c:v>
                </c:pt>
                <c:pt idx="22">
                  <c:v>2339.49851225055</c:v>
                </c:pt>
                <c:pt idx="23">
                  <c:v>2363.9682285031</c:v>
                </c:pt>
                <c:pt idx="24">
                  <c:v>2373.81377822549</c:v>
                </c:pt>
                <c:pt idx="25">
                  <c:v>2394.7560790983</c:v>
                </c:pt>
              </c:numCache>
            </c:numRef>
          </c:yVal>
          <c:smooth val="0"/>
        </c:ser>
        <c:axId val="77780785"/>
        <c:axId val="84542591"/>
      </c:scatterChart>
      <c:valAx>
        <c:axId val="77780785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542591"/>
        <c:crosses val="autoZero"/>
      </c:valAx>
      <c:valAx>
        <c:axId val="845425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78078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values 2019 leg'!$N$2:$N$3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leg'!$N$4:$N$29</c:f>
              <c:numCache>
                <c:formatCode>General</c:formatCode>
                <c:ptCount val="26"/>
                <c:pt idx="0">
                  <c:v>2275.69945453833</c:v>
                </c:pt>
                <c:pt idx="1">
                  <c:v>2497.94574473008</c:v>
                </c:pt>
                <c:pt idx="2">
                  <c:v>2692.47897452934</c:v>
                </c:pt>
                <c:pt idx="3">
                  <c:v>2489.99767238057</c:v>
                </c:pt>
                <c:pt idx="4">
                  <c:v>2222.45276756908</c:v>
                </c:pt>
                <c:pt idx="5">
                  <c:v>2031.15588222214</c:v>
                </c:pt>
                <c:pt idx="6">
                  <c:v>2130.35142462552</c:v>
                </c:pt>
                <c:pt idx="7">
                  <c:v>2193.6398731002</c:v>
                </c:pt>
                <c:pt idx="8">
                  <c:v>2293.55570378825</c:v>
                </c:pt>
                <c:pt idx="9">
                  <c:v>2320.04871481214</c:v>
                </c:pt>
                <c:pt idx="10">
                  <c:v>2358.43829067952</c:v>
                </c:pt>
                <c:pt idx="11">
                  <c:v>2394.49639746483</c:v>
                </c:pt>
                <c:pt idx="12">
                  <c:v>2418.85802502475</c:v>
                </c:pt>
                <c:pt idx="13">
                  <c:v>2425.73838168526</c:v>
                </c:pt>
                <c:pt idx="14">
                  <c:v>2405.51218340935</c:v>
                </c:pt>
                <c:pt idx="15">
                  <c:v>2436.85374617943</c:v>
                </c:pt>
                <c:pt idx="16">
                  <c:v>2452.07392448766</c:v>
                </c:pt>
                <c:pt idx="17">
                  <c:v>2467.52139855421</c:v>
                </c:pt>
                <c:pt idx="18">
                  <c:v>2483.86650999554</c:v>
                </c:pt>
                <c:pt idx="19">
                  <c:v>2450.99175759757</c:v>
                </c:pt>
                <c:pt idx="20">
                  <c:v>2443.180753856</c:v>
                </c:pt>
                <c:pt idx="21">
                  <c:v>2464.68226467115</c:v>
                </c:pt>
                <c:pt idx="22">
                  <c:v>2514.3302793269</c:v>
                </c:pt>
                <c:pt idx="23">
                  <c:v>2505.34666569171</c:v>
                </c:pt>
                <c:pt idx="24">
                  <c:v>2478.44113863002</c:v>
                </c:pt>
                <c:pt idx="25">
                  <c:v>2479.90148327604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values 2019 leg'!$O$2:$O$3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leg'!$O$4:$O$29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2252.22299345299</c:v>
                </c:pt>
                <c:pt idx="4">
                  <c:v>1881.54366369364</c:v>
                </c:pt>
                <c:pt idx="5">
                  <c:v>1784.29065636383</c:v>
                </c:pt>
                <c:pt idx="6">
                  <c:v>1883.02509141348</c:v>
                </c:pt>
                <c:pt idx="7">
                  <c:v>1947.50759978971</c:v>
                </c:pt>
                <c:pt idx="8">
                  <c:v>2043.15877071874</c:v>
                </c:pt>
                <c:pt idx="9">
                  <c:v>2083.01180734038</c:v>
                </c:pt>
                <c:pt idx="10">
                  <c:v>2088.46506979833</c:v>
                </c:pt>
                <c:pt idx="11">
                  <c:v>2115.90197129762</c:v>
                </c:pt>
                <c:pt idx="12">
                  <c:v>2172.51266191821</c:v>
                </c:pt>
                <c:pt idx="13">
                  <c:v>2161.50736002855</c:v>
                </c:pt>
                <c:pt idx="14">
                  <c:v>2165.06925059809</c:v>
                </c:pt>
                <c:pt idx="15">
                  <c:v>2209.29203517028</c:v>
                </c:pt>
                <c:pt idx="16">
                  <c:v>2194.31097111732</c:v>
                </c:pt>
                <c:pt idx="17">
                  <c:v>2189.66274397097</c:v>
                </c:pt>
                <c:pt idx="18">
                  <c:v>2218.30260675128</c:v>
                </c:pt>
                <c:pt idx="19">
                  <c:v>2230.73172637479</c:v>
                </c:pt>
                <c:pt idx="20">
                  <c:v>2205.03310957665</c:v>
                </c:pt>
                <c:pt idx="21">
                  <c:v>2191.41079859043</c:v>
                </c:pt>
                <c:pt idx="22">
                  <c:v>2174.41904092084</c:v>
                </c:pt>
                <c:pt idx="23">
                  <c:v>2191.63410063879</c:v>
                </c:pt>
                <c:pt idx="24">
                  <c:v>2184.84510815351</c:v>
                </c:pt>
                <c:pt idx="25">
                  <c:v>2184.50664389509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2019 leg'!$P$2:$P$3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leg'!$P$4:$P$29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3193.88488219808</c:v>
                </c:pt>
                <c:pt idx="5">
                  <c:v>2676.60719299171</c:v>
                </c:pt>
                <c:pt idx="6">
                  <c:v>2848.07578726079</c:v>
                </c:pt>
                <c:pt idx="7">
                  <c:v>2932.22731244217</c:v>
                </c:pt>
                <c:pt idx="8">
                  <c:v>3018.12837091214</c:v>
                </c:pt>
                <c:pt idx="9">
                  <c:v>3052.35824176705</c:v>
                </c:pt>
                <c:pt idx="10">
                  <c:v>3105.01378210052</c:v>
                </c:pt>
                <c:pt idx="11">
                  <c:v>3115.18566122025</c:v>
                </c:pt>
                <c:pt idx="12">
                  <c:v>3165.48849113444</c:v>
                </c:pt>
                <c:pt idx="13">
                  <c:v>3219.49775261608</c:v>
                </c:pt>
                <c:pt idx="14">
                  <c:v>3156.2293870056</c:v>
                </c:pt>
                <c:pt idx="15">
                  <c:v>3125.75688157237</c:v>
                </c:pt>
                <c:pt idx="16">
                  <c:v>3145.56655441019</c:v>
                </c:pt>
                <c:pt idx="17">
                  <c:v>3242.89123622244</c:v>
                </c:pt>
                <c:pt idx="18">
                  <c:v>3267.07765430835</c:v>
                </c:pt>
                <c:pt idx="19">
                  <c:v>3271.6801326304</c:v>
                </c:pt>
                <c:pt idx="20">
                  <c:v>3261.62904011571</c:v>
                </c:pt>
                <c:pt idx="21">
                  <c:v>3264.03901626331</c:v>
                </c:pt>
                <c:pt idx="22">
                  <c:v>3332.45629791697</c:v>
                </c:pt>
                <c:pt idx="23">
                  <c:v>3256.84817318494</c:v>
                </c:pt>
                <c:pt idx="24">
                  <c:v>3280.70448214351</c:v>
                </c:pt>
                <c:pt idx="25">
                  <c:v>3303.08260108479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2019 leg'!$Q$2:$Q$3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leg'!$Q$4:$Q$29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2515.37149058918</c:v>
                </c:pt>
                <c:pt idx="4">
                  <c:v>2264.3173204628</c:v>
                </c:pt>
                <c:pt idx="5">
                  <c:v>2025.94675908096</c:v>
                </c:pt>
                <c:pt idx="6">
                  <c:v>2129.15022416177</c:v>
                </c:pt>
                <c:pt idx="7">
                  <c:v>2202.43860697305</c:v>
                </c:pt>
                <c:pt idx="8">
                  <c:v>2285.8095072392</c:v>
                </c:pt>
                <c:pt idx="9">
                  <c:v>2316.35306548612</c:v>
                </c:pt>
                <c:pt idx="10">
                  <c:v>2341.61663452517</c:v>
                </c:pt>
                <c:pt idx="11">
                  <c:v>2367.90734818751</c:v>
                </c:pt>
                <c:pt idx="12">
                  <c:v>2421.70573405309</c:v>
                </c:pt>
                <c:pt idx="13">
                  <c:v>2415.0139127117</c:v>
                </c:pt>
                <c:pt idx="14">
                  <c:v>2403.61197542408</c:v>
                </c:pt>
                <c:pt idx="15">
                  <c:v>2428.41965793436</c:v>
                </c:pt>
                <c:pt idx="16">
                  <c:v>2417.0697582882</c:v>
                </c:pt>
                <c:pt idx="17">
                  <c:v>2428.22182763116</c:v>
                </c:pt>
                <c:pt idx="18">
                  <c:v>2456.8595873373</c:v>
                </c:pt>
                <c:pt idx="19">
                  <c:v>2449.11001765462</c:v>
                </c:pt>
                <c:pt idx="20">
                  <c:v>2424.74016891946</c:v>
                </c:pt>
                <c:pt idx="21">
                  <c:v>2416.7819148229</c:v>
                </c:pt>
                <c:pt idx="22">
                  <c:v>2414.57207783362</c:v>
                </c:pt>
                <c:pt idx="23">
                  <c:v>2418.69113039721</c:v>
                </c:pt>
                <c:pt idx="24">
                  <c:v>2419.57108556885</c:v>
                </c:pt>
                <c:pt idx="25">
                  <c:v>2428.91377912874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2019 leg'!$M$2:$M$3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leg'!$M$4:$M$29</c:f>
              <c:numCache>
                <c:formatCode>General</c:formatCode>
                <c:ptCount val="26"/>
                <c:pt idx="0">
                  <c:v>31815.715618218</c:v>
                </c:pt>
                <c:pt idx="1">
                  <c:v>29969.7816818848</c:v>
                </c:pt>
                <c:pt idx="2">
                  <c:v>30901.2012202376</c:v>
                </c:pt>
                <c:pt idx="3">
                  <c:v>29333.2223456884</c:v>
                </c:pt>
                <c:pt idx="4">
                  <c:v>26863.1933240567</c:v>
                </c:pt>
                <c:pt idx="5">
                  <c:v>26757.0482227393</c:v>
                </c:pt>
                <c:pt idx="6">
                  <c:v>27145.4952156295</c:v>
                </c:pt>
                <c:pt idx="7">
                  <c:v>27656.6456452422</c:v>
                </c:pt>
                <c:pt idx="8">
                  <c:v>28189.2314515068</c:v>
                </c:pt>
                <c:pt idx="9">
                  <c:v>28709.5043254826</c:v>
                </c:pt>
                <c:pt idx="10">
                  <c:v>29163.4273861843</c:v>
                </c:pt>
                <c:pt idx="11">
                  <c:v>29724.5169005297</c:v>
                </c:pt>
                <c:pt idx="12">
                  <c:v>30105.4271061888</c:v>
                </c:pt>
                <c:pt idx="13">
                  <c:v>30659.3516907731</c:v>
                </c:pt>
                <c:pt idx="14">
                  <c:v>30961.8025757783</c:v>
                </c:pt>
                <c:pt idx="15">
                  <c:v>31347.1976573032</c:v>
                </c:pt>
                <c:pt idx="16">
                  <c:v>31699.0463578562</c:v>
                </c:pt>
                <c:pt idx="17">
                  <c:v>31960.2373991504</c:v>
                </c:pt>
                <c:pt idx="18">
                  <c:v>32140.1987798087</c:v>
                </c:pt>
                <c:pt idx="19">
                  <c:v>32173.7830218176</c:v>
                </c:pt>
                <c:pt idx="20">
                  <c:v>32580.2487529899</c:v>
                </c:pt>
                <c:pt idx="21">
                  <c:v>33000.4397183192</c:v>
                </c:pt>
                <c:pt idx="22">
                  <c:v>33262.6142552361</c:v>
                </c:pt>
                <c:pt idx="23">
                  <c:v>33510.1302017302</c:v>
                </c:pt>
                <c:pt idx="24">
                  <c:v>33739.0713459507</c:v>
                </c:pt>
                <c:pt idx="25">
                  <c:v>33720.8051199144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7324708"/>
        <c:axId val="12989637"/>
      </c:lineChart>
      <c:catAx>
        <c:axId val="373247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989637"/>
        <c:crosses val="autoZero"/>
        <c:auto val="1"/>
        <c:lblAlgn val="ctr"/>
        <c:lblOffset val="100"/>
      </c:catAx>
      <c:valAx>
        <c:axId val="1298963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324708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values 2019 leg'!$AX$2:$AX$3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leg'!$AX$4:$AX$29</c:f>
              <c:numCache>
                <c:formatCode>General</c:formatCode>
                <c:ptCount val="26"/>
                <c:pt idx="0">
                  <c:v>2275.69945453833</c:v>
                </c:pt>
                <c:pt idx="1">
                  <c:v>2497.94574473008</c:v>
                </c:pt>
                <c:pt idx="2">
                  <c:v>2692.47897452934</c:v>
                </c:pt>
                <c:pt idx="3">
                  <c:v>2489.76038927005</c:v>
                </c:pt>
                <c:pt idx="4">
                  <c:v>2225.27035633069</c:v>
                </c:pt>
                <c:pt idx="5">
                  <c:v>2028.41063558477</c:v>
                </c:pt>
                <c:pt idx="6">
                  <c:v>2111.24118167091</c:v>
                </c:pt>
                <c:pt idx="7">
                  <c:v>2209.58792141453</c:v>
                </c:pt>
                <c:pt idx="8">
                  <c:v>2291.02789682028</c:v>
                </c:pt>
                <c:pt idx="9">
                  <c:v>2331.41070591238</c:v>
                </c:pt>
                <c:pt idx="10">
                  <c:v>2382.19501475494</c:v>
                </c:pt>
                <c:pt idx="11">
                  <c:v>2399.84994155601</c:v>
                </c:pt>
                <c:pt idx="12">
                  <c:v>2414.55023110487</c:v>
                </c:pt>
                <c:pt idx="13">
                  <c:v>2379.98475257667</c:v>
                </c:pt>
                <c:pt idx="14">
                  <c:v>2359.26949186485</c:v>
                </c:pt>
                <c:pt idx="15">
                  <c:v>2407.59901706674</c:v>
                </c:pt>
                <c:pt idx="16">
                  <c:v>2414.13508217781</c:v>
                </c:pt>
                <c:pt idx="17">
                  <c:v>2420.04737319483</c:v>
                </c:pt>
                <c:pt idx="18">
                  <c:v>2430.68869318173</c:v>
                </c:pt>
                <c:pt idx="19">
                  <c:v>2434.36719759069</c:v>
                </c:pt>
                <c:pt idx="20">
                  <c:v>2423.50921865903</c:v>
                </c:pt>
                <c:pt idx="21">
                  <c:v>2409.15517247499</c:v>
                </c:pt>
                <c:pt idx="22">
                  <c:v>2421.03644094394</c:v>
                </c:pt>
                <c:pt idx="23">
                  <c:v>2361.74095774296</c:v>
                </c:pt>
                <c:pt idx="24">
                  <c:v>2333.05930489437</c:v>
                </c:pt>
                <c:pt idx="25">
                  <c:v>2333.48976373947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values 2019 leg'!$AY$2:$AY$3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leg'!$AY$4:$AY$29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2251.57565790209</c:v>
                </c:pt>
                <c:pt idx="4">
                  <c:v>1881.47370595091</c:v>
                </c:pt>
                <c:pt idx="5">
                  <c:v>1832.85137654218</c:v>
                </c:pt>
                <c:pt idx="6">
                  <c:v>1861.15966136134</c:v>
                </c:pt>
                <c:pt idx="7">
                  <c:v>1939.20560762503</c:v>
                </c:pt>
                <c:pt idx="8">
                  <c:v>2019.92186232581</c:v>
                </c:pt>
                <c:pt idx="9">
                  <c:v>2075.97307569732</c:v>
                </c:pt>
                <c:pt idx="10">
                  <c:v>2140.56279446886</c:v>
                </c:pt>
                <c:pt idx="11">
                  <c:v>2143.20911366578</c:v>
                </c:pt>
                <c:pt idx="12">
                  <c:v>2171.00346341279</c:v>
                </c:pt>
                <c:pt idx="13">
                  <c:v>2163.83841111056</c:v>
                </c:pt>
                <c:pt idx="14">
                  <c:v>2178.68595885536</c:v>
                </c:pt>
                <c:pt idx="15">
                  <c:v>2184.00093929283</c:v>
                </c:pt>
                <c:pt idx="16">
                  <c:v>2159.54733096531</c:v>
                </c:pt>
                <c:pt idx="17">
                  <c:v>2117.7352535781</c:v>
                </c:pt>
                <c:pt idx="18">
                  <c:v>2105.53824849914</c:v>
                </c:pt>
                <c:pt idx="19">
                  <c:v>2170.50956211372</c:v>
                </c:pt>
                <c:pt idx="20">
                  <c:v>2153.36095477252</c:v>
                </c:pt>
                <c:pt idx="21">
                  <c:v>2131.06463410989</c:v>
                </c:pt>
                <c:pt idx="22">
                  <c:v>2144.80961982934</c:v>
                </c:pt>
                <c:pt idx="23">
                  <c:v>2095.34505265161</c:v>
                </c:pt>
                <c:pt idx="24">
                  <c:v>2080.95858117892</c:v>
                </c:pt>
                <c:pt idx="25">
                  <c:v>2061.33860377493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2019 leg'!$AZ$2:$AZ$3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leg'!$AZ$4:$AZ$29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3206.1950815083</c:v>
                </c:pt>
                <c:pt idx="5">
                  <c:v>2622.15475339289</c:v>
                </c:pt>
                <c:pt idx="6">
                  <c:v>2842.81549950922</c:v>
                </c:pt>
                <c:pt idx="7">
                  <c:v>2922.63105075063</c:v>
                </c:pt>
                <c:pt idx="8">
                  <c:v>3071.07830513113</c:v>
                </c:pt>
                <c:pt idx="9">
                  <c:v>3103.30558514951</c:v>
                </c:pt>
                <c:pt idx="10">
                  <c:v>3197.66541506149</c:v>
                </c:pt>
                <c:pt idx="11">
                  <c:v>3256.76018750076</c:v>
                </c:pt>
                <c:pt idx="12">
                  <c:v>3367.65979916174</c:v>
                </c:pt>
                <c:pt idx="13">
                  <c:v>3300.62367904175</c:v>
                </c:pt>
                <c:pt idx="14">
                  <c:v>3269.04011748502</c:v>
                </c:pt>
                <c:pt idx="15">
                  <c:v>3336.41059634098</c:v>
                </c:pt>
                <c:pt idx="16">
                  <c:v>3340.59945800668</c:v>
                </c:pt>
                <c:pt idx="17">
                  <c:v>3422.75775754928</c:v>
                </c:pt>
                <c:pt idx="18">
                  <c:v>3486.80705155368</c:v>
                </c:pt>
                <c:pt idx="19">
                  <c:v>3418.88205149352</c:v>
                </c:pt>
                <c:pt idx="20">
                  <c:v>3427.0214864286</c:v>
                </c:pt>
                <c:pt idx="21">
                  <c:v>3671.4307871731</c:v>
                </c:pt>
                <c:pt idx="22">
                  <c:v>3580.8726670985</c:v>
                </c:pt>
                <c:pt idx="23">
                  <c:v>3493.52877863841</c:v>
                </c:pt>
                <c:pt idx="24">
                  <c:v>3481.87572325961</c:v>
                </c:pt>
                <c:pt idx="25">
                  <c:v>3564.09046544927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2019 leg'!$BA$2:$BA$3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leg'!$BA$4:$BA$29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2514.935853007</c:v>
                </c:pt>
                <c:pt idx="4">
                  <c:v>2265.28762009921</c:v>
                </c:pt>
                <c:pt idx="5">
                  <c:v>2047.45861064419</c:v>
                </c:pt>
                <c:pt idx="6">
                  <c:v>2120.01661982701</c:v>
                </c:pt>
                <c:pt idx="7">
                  <c:v>2199.73898016788</c:v>
                </c:pt>
                <c:pt idx="8">
                  <c:v>2278.12974913044</c:v>
                </c:pt>
                <c:pt idx="9">
                  <c:v>2322.01490648205</c:v>
                </c:pt>
                <c:pt idx="10">
                  <c:v>2367.08434109097</c:v>
                </c:pt>
                <c:pt idx="11">
                  <c:v>2386.96198727298</c:v>
                </c:pt>
                <c:pt idx="12">
                  <c:v>2415.37024985259</c:v>
                </c:pt>
                <c:pt idx="13">
                  <c:v>2391.47987875127</c:v>
                </c:pt>
                <c:pt idx="14">
                  <c:v>2383.95781629665</c:v>
                </c:pt>
                <c:pt idx="15">
                  <c:v>2401.6447505712</c:v>
                </c:pt>
                <c:pt idx="16">
                  <c:v>2376.64989235694</c:v>
                </c:pt>
                <c:pt idx="17">
                  <c:v>2350.75138713752</c:v>
                </c:pt>
                <c:pt idx="18">
                  <c:v>2346.15774475729</c:v>
                </c:pt>
                <c:pt idx="19">
                  <c:v>2372.26801004481</c:v>
                </c:pt>
                <c:pt idx="20">
                  <c:v>2355.52015220504</c:v>
                </c:pt>
                <c:pt idx="21">
                  <c:v>2358.62372741433</c:v>
                </c:pt>
                <c:pt idx="22">
                  <c:v>2341.59999951303</c:v>
                </c:pt>
                <c:pt idx="23">
                  <c:v>2297.62104808275</c:v>
                </c:pt>
                <c:pt idx="24">
                  <c:v>2270.99778089768</c:v>
                </c:pt>
                <c:pt idx="25">
                  <c:v>2258.20861451432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2019 leg'!$AW$2:$AW$3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2019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2019 leg'!$AW$4:$AW$29</c:f>
              <c:numCache>
                <c:formatCode>General</c:formatCode>
                <c:ptCount val="26"/>
                <c:pt idx="0">
                  <c:v>31815.715618218</c:v>
                </c:pt>
                <c:pt idx="1">
                  <c:v>29969.7816818848</c:v>
                </c:pt>
                <c:pt idx="2">
                  <c:v>30901.2012202376</c:v>
                </c:pt>
                <c:pt idx="3">
                  <c:v>29336.9739271587</c:v>
                </c:pt>
                <c:pt idx="4">
                  <c:v>26869.677741076</c:v>
                </c:pt>
                <c:pt idx="5">
                  <c:v>27829.8161270734</c:v>
                </c:pt>
                <c:pt idx="6">
                  <c:v>30017.3342166067</c:v>
                </c:pt>
                <c:pt idx="7">
                  <c:v>31422.2041760414</c:v>
                </c:pt>
                <c:pt idx="8">
                  <c:v>32404.6100985987</c:v>
                </c:pt>
                <c:pt idx="9">
                  <c:v>33482.4702693227</c:v>
                </c:pt>
                <c:pt idx="10">
                  <c:v>34372.0795804249</c:v>
                </c:pt>
                <c:pt idx="11">
                  <c:v>35137.561420341</c:v>
                </c:pt>
                <c:pt idx="12">
                  <c:v>36096.6559531027</c:v>
                </c:pt>
                <c:pt idx="13">
                  <c:v>37118.1238722002</c:v>
                </c:pt>
                <c:pt idx="14">
                  <c:v>38038.5961864332</c:v>
                </c:pt>
                <c:pt idx="15">
                  <c:v>39004.8743643107</c:v>
                </c:pt>
                <c:pt idx="16">
                  <c:v>39908.188489329</c:v>
                </c:pt>
                <c:pt idx="17">
                  <c:v>40987.5233534337</c:v>
                </c:pt>
                <c:pt idx="18">
                  <c:v>42051.8377521412</c:v>
                </c:pt>
                <c:pt idx="19">
                  <c:v>43092.5143748961</c:v>
                </c:pt>
                <c:pt idx="20">
                  <c:v>43863.7202053385</c:v>
                </c:pt>
                <c:pt idx="21">
                  <c:v>44876.6061275261</c:v>
                </c:pt>
                <c:pt idx="22">
                  <c:v>45688.1696150955</c:v>
                </c:pt>
                <c:pt idx="23">
                  <c:v>46657.4557614382</c:v>
                </c:pt>
                <c:pt idx="24">
                  <c:v>47606.0826393091</c:v>
                </c:pt>
                <c:pt idx="25">
                  <c:v>48574.0532183751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4786687"/>
        <c:axId val="53712354"/>
      </c:lineChart>
      <c:catAx>
        <c:axId val="34786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712354"/>
        <c:crosses val="autoZero"/>
        <c:auto val="1"/>
        <c:lblAlgn val="ctr"/>
        <c:lblOffset val="100"/>
      </c:catAx>
      <c:valAx>
        <c:axId val="5371235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786687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 2017 leg'!$AG$2:$AG$3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2017 leg'!$AD$4:$AD$29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2017 leg'!$AG$4:$AG$29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407.506574300343</c:v>
                </c:pt>
                <c:pt idx="2">
                  <c:v>500.873436381271</c:v>
                </c:pt>
                <c:pt idx="3">
                  <c:v>460.672182295368</c:v>
                </c:pt>
                <c:pt idx="4">
                  <c:v>427.086091410837</c:v>
                </c:pt>
                <c:pt idx="5">
                  <c:v>432.238637950472</c:v>
                </c:pt>
                <c:pt idx="6">
                  <c:v>436.722236110415</c:v>
                </c:pt>
                <c:pt idx="7">
                  <c:v>437.456048433013</c:v>
                </c:pt>
                <c:pt idx="8">
                  <c:v>429.316812105207</c:v>
                </c:pt>
                <c:pt idx="9">
                  <c:v>423.10335306284</c:v>
                </c:pt>
                <c:pt idx="10">
                  <c:v>430.476164084222</c:v>
                </c:pt>
                <c:pt idx="11">
                  <c:v>428.324289687843</c:v>
                </c:pt>
                <c:pt idx="12">
                  <c:v>433.418014243828</c:v>
                </c:pt>
                <c:pt idx="13">
                  <c:v>434.682883665898</c:v>
                </c:pt>
                <c:pt idx="14">
                  <c:v>435.733129782987</c:v>
                </c:pt>
                <c:pt idx="15">
                  <c:v>431.559732782804</c:v>
                </c:pt>
                <c:pt idx="16">
                  <c:v>436.135731096551</c:v>
                </c:pt>
                <c:pt idx="17">
                  <c:v>439.615666683555</c:v>
                </c:pt>
                <c:pt idx="18">
                  <c:v>443.978141821092</c:v>
                </c:pt>
                <c:pt idx="19">
                  <c:v>439.97977209614</c:v>
                </c:pt>
                <c:pt idx="20">
                  <c:v>443.353272152251</c:v>
                </c:pt>
                <c:pt idx="21">
                  <c:v>435.722814122183</c:v>
                </c:pt>
                <c:pt idx="22">
                  <c:v>426.054141428771</c:v>
                </c:pt>
                <c:pt idx="23">
                  <c:v>443.870599513396</c:v>
                </c:pt>
                <c:pt idx="24">
                  <c:v>438.494611641435</c:v>
                </c:pt>
                <c:pt idx="25">
                  <c:v>432.088085419672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 2017 leg'!$AH$2:$AH$3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2017 leg'!$AD$4:$AD$29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2017 leg'!$AH$4:$AH$29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</c:v>
                </c:pt>
                <c:pt idx="2">
                  <c:v>724.505669913243</c:v>
                </c:pt>
                <c:pt idx="3">
                  <c:v>670.913606709629</c:v>
                </c:pt>
                <c:pt idx="4">
                  <c:v>625.825716526643</c:v>
                </c:pt>
                <c:pt idx="5">
                  <c:v>650.354003003481</c:v>
                </c:pt>
                <c:pt idx="6">
                  <c:v>658.867096305019</c:v>
                </c:pt>
                <c:pt idx="7">
                  <c:v>666.432163791995</c:v>
                </c:pt>
                <c:pt idx="8">
                  <c:v>654.832577028072</c:v>
                </c:pt>
                <c:pt idx="9">
                  <c:v>669.486896752713</c:v>
                </c:pt>
                <c:pt idx="10">
                  <c:v>672.912531720274</c:v>
                </c:pt>
                <c:pt idx="11">
                  <c:v>676.213270882201</c:v>
                </c:pt>
                <c:pt idx="12">
                  <c:v>687.95686034339</c:v>
                </c:pt>
                <c:pt idx="13">
                  <c:v>685.216627882299</c:v>
                </c:pt>
                <c:pt idx="14">
                  <c:v>702.632443861702</c:v>
                </c:pt>
                <c:pt idx="15">
                  <c:v>706.058494558025</c:v>
                </c:pt>
                <c:pt idx="16">
                  <c:v>702.37028321761</c:v>
                </c:pt>
                <c:pt idx="17">
                  <c:v>703.925538003608</c:v>
                </c:pt>
                <c:pt idx="18">
                  <c:v>721.415170412284</c:v>
                </c:pt>
                <c:pt idx="19">
                  <c:v>712.484074801582</c:v>
                </c:pt>
                <c:pt idx="20">
                  <c:v>720.145345519936</c:v>
                </c:pt>
                <c:pt idx="21">
                  <c:v>743.953878425223</c:v>
                </c:pt>
                <c:pt idx="22">
                  <c:v>755.183607062415</c:v>
                </c:pt>
                <c:pt idx="23">
                  <c:v>736.988167651006</c:v>
                </c:pt>
                <c:pt idx="24">
                  <c:v>745.259038512748</c:v>
                </c:pt>
                <c:pt idx="25">
                  <c:v>761.828150150442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 2017 leg'!$AI$2:$AI$3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2017 leg'!$AD$4:$AD$29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2017 leg'!$AI$4:$AI$29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</c:v>
                </c:pt>
                <c:pt idx="2">
                  <c:v>557.338649051489</c:v>
                </c:pt>
                <c:pt idx="3">
                  <c:v>514.516129925359</c:v>
                </c:pt>
                <c:pt idx="4">
                  <c:v>481.294283257222</c:v>
                </c:pt>
                <c:pt idx="5">
                  <c:v>487.717413740714</c:v>
                </c:pt>
                <c:pt idx="6">
                  <c:v>492.799789373055</c:v>
                </c:pt>
                <c:pt idx="7">
                  <c:v>492.790059504595</c:v>
                </c:pt>
                <c:pt idx="8">
                  <c:v>486.600712299987</c:v>
                </c:pt>
                <c:pt idx="9">
                  <c:v>483.44921356512</c:v>
                </c:pt>
                <c:pt idx="10">
                  <c:v>490.278171833869</c:v>
                </c:pt>
                <c:pt idx="11">
                  <c:v>488.927448451065</c:v>
                </c:pt>
                <c:pt idx="12">
                  <c:v>495.803497927919</c:v>
                </c:pt>
                <c:pt idx="13">
                  <c:v>495.181170355666</c:v>
                </c:pt>
                <c:pt idx="14">
                  <c:v>497.965523865766</c:v>
                </c:pt>
                <c:pt idx="15">
                  <c:v>495.065725120538</c:v>
                </c:pt>
                <c:pt idx="16">
                  <c:v>494.455003341064</c:v>
                </c:pt>
                <c:pt idx="17">
                  <c:v>498.346712266989</c:v>
                </c:pt>
                <c:pt idx="18">
                  <c:v>502.761050593706</c:v>
                </c:pt>
                <c:pt idx="19">
                  <c:v>498.086810483481</c:v>
                </c:pt>
                <c:pt idx="20">
                  <c:v>499.897623509941</c:v>
                </c:pt>
                <c:pt idx="21">
                  <c:v>493.503484148407</c:v>
                </c:pt>
                <c:pt idx="22">
                  <c:v>492.229428702938</c:v>
                </c:pt>
                <c:pt idx="23">
                  <c:v>500.00204379332</c:v>
                </c:pt>
                <c:pt idx="24">
                  <c:v>500.585316550831</c:v>
                </c:pt>
                <c:pt idx="25">
                  <c:v>490.392184735911</c:v>
                </c:pt>
              </c:numCache>
            </c:numRef>
          </c:yVal>
          <c:smooth val="0"/>
        </c:ser>
        <c:axId val="59256671"/>
        <c:axId val="69998101"/>
      </c:scatterChart>
      <c:valAx>
        <c:axId val="59256671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998101"/>
        <c:crosses val="autoZero"/>
      </c:valAx>
      <c:valAx>
        <c:axId val="69998101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2566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values 2017 leg'!$N$2:$N$3</c:f>
              <c:strCache>
                <c:ptCount val="1"/>
                <c:pt idx="0">
                  <c:v>Mean family benefit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leg'!$N$4:$N$29</c:f>
              <c:numCache>
                <c:formatCode>General</c:formatCode>
                <c:ptCount val="26"/>
                <c:pt idx="0">
                  <c:v>450.921524738574</c:v>
                </c:pt>
                <c:pt idx="1">
                  <c:v>492.642199286587</c:v>
                </c:pt>
                <c:pt idx="2">
                  <c:v>545.815316546677</c:v>
                </c:pt>
                <c:pt idx="3">
                  <c:v>505.544032875412</c:v>
                </c:pt>
                <c:pt idx="4">
                  <c:v>476.565276875812</c:v>
                </c:pt>
                <c:pt idx="5">
                  <c:v>481.061558629565</c:v>
                </c:pt>
                <c:pt idx="6">
                  <c:v>477.641336644406</c:v>
                </c:pt>
                <c:pt idx="7">
                  <c:v>474.202312018654</c:v>
                </c:pt>
                <c:pt idx="8">
                  <c:v>473.940027872296</c:v>
                </c:pt>
                <c:pt idx="9">
                  <c:v>475.297116316662</c:v>
                </c:pt>
                <c:pt idx="10">
                  <c:v>476.761245506934</c:v>
                </c:pt>
                <c:pt idx="11">
                  <c:v>482.450380113233</c:v>
                </c:pt>
                <c:pt idx="12">
                  <c:v>481.189081008097</c:v>
                </c:pt>
                <c:pt idx="13">
                  <c:v>478.212029671491</c:v>
                </c:pt>
                <c:pt idx="14">
                  <c:v>478.859149496667</c:v>
                </c:pt>
                <c:pt idx="15">
                  <c:v>483.376414833694</c:v>
                </c:pt>
                <c:pt idx="16">
                  <c:v>477.816479382252</c:v>
                </c:pt>
                <c:pt idx="17">
                  <c:v>471.523261834602</c:v>
                </c:pt>
                <c:pt idx="18">
                  <c:v>471.78417692185</c:v>
                </c:pt>
                <c:pt idx="19">
                  <c:v>470.178829505169</c:v>
                </c:pt>
                <c:pt idx="20">
                  <c:v>462.864686860975</c:v>
                </c:pt>
                <c:pt idx="21">
                  <c:v>465.676957094455</c:v>
                </c:pt>
                <c:pt idx="22">
                  <c:v>467.302034944885</c:v>
                </c:pt>
                <c:pt idx="23">
                  <c:v>460.235772347904</c:v>
                </c:pt>
                <c:pt idx="24">
                  <c:v>463.068899819629</c:v>
                </c:pt>
                <c:pt idx="25">
                  <c:v>457.898104748911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values 2017 leg'!$O$2:$O$3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leg'!$O$4:$O$29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407.506574300343</c:v>
                </c:pt>
                <c:pt idx="2">
                  <c:v>500.873436381271</c:v>
                </c:pt>
                <c:pt idx="3">
                  <c:v>460.776929238966</c:v>
                </c:pt>
                <c:pt idx="4">
                  <c:v>427.159043185162</c:v>
                </c:pt>
                <c:pt idx="5">
                  <c:v>428.588560882449</c:v>
                </c:pt>
                <c:pt idx="6">
                  <c:v>428.769196887988</c:v>
                </c:pt>
                <c:pt idx="7">
                  <c:v>418.435247940354</c:v>
                </c:pt>
                <c:pt idx="8">
                  <c:v>417.666084596015</c:v>
                </c:pt>
                <c:pt idx="9">
                  <c:v>421.16285510036</c:v>
                </c:pt>
                <c:pt idx="10">
                  <c:v>418.915930449067</c:v>
                </c:pt>
                <c:pt idx="11">
                  <c:v>415.012015478725</c:v>
                </c:pt>
                <c:pt idx="12">
                  <c:v>409.437875774608</c:v>
                </c:pt>
                <c:pt idx="13">
                  <c:v>410.959303042115</c:v>
                </c:pt>
                <c:pt idx="14">
                  <c:v>408.979933205956</c:v>
                </c:pt>
                <c:pt idx="15">
                  <c:v>412.734678787312</c:v>
                </c:pt>
                <c:pt idx="16">
                  <c:v>410.041255922154</c:v>
                </c:pt>
                <c:pt idx="17">
                  <c:v>403.936295442266</c:v>
                </c:pt>
                <c:pt idx="18">
                  <c:v>401.22803036205</c:v>
                </c:pt>
                <c:pt idx="19">
                  <c:v>400.974658787014</c:v>
                </c:pt>
                <c:pt idx="20">
                  <c:v>396.401197686925</c:v>
                </c:pt>
                <c:pt idx="21">
                  <c:v>393.296142120416</c:v>
                </c:pt>
                <c:pt idx="22">
                  <c:v>393.297366900724</c:v>
                </c:pt>
                <c:pt idx="23">
                  <c:v>388.806615380417</c:v>
                </c:pt>
                <c:pt idx="24">
                  <c:v>386.159471809993</c:v>
                </c:pt>
                <c:pt idx="25">
                  <c:v>377.526343833997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2017 leg'!$P$2:$P$3</c:f>
              <c:strCache>
                <c:ptCount val="1"/>
                <c:pt idx="0">
                  <c:v>Mean 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</c:v>
                </c:pt>
                <c:pt idx="2">
                  <c:v>724.505669913243</c:v>
                </c:pt>
                <c:pt idx="3">
                  <c:v>670.913606709629</c:v>
                </c:pt>
                <c:pt idx="4">
                  <c:v>625.665922052372</c:v>
                </c:pt>
                <c:pt idx="5">
                  <c:v>643.859002628679</c:v>
                </c:pt>
                <c:pt idx="6">
                  <c:v>639.791960142856</c:v>
                </c:pt>
                <c:pt idx="7">
                  <c:v>643.547293469534</c:v>
                </c:pt>
                <c:pt idx="8">
                  <c:v>629.126072580776</c:v>
                </c:pt>
                <c:pt idx="9">
                  <c:v>630.958465979682</c:v>
                </c:pt>
                <c:pt idx="10">
                  <c:v>636.859869416853</c:v>
                </c:pt>
                <c:pt idx="11">
                  <c:v>650.90546793922</c:v>
                </c:pt>
                <c:pt idx="12">
                  <c:v>649.102539999084</c:v>
                </c:pt>
                <c:pt idx="13">
                  <c:v>637.449927965863</c:v>
                </c:pt>
                <c:pt idx="14">
                  <c:v>648.592538736436</c:v>
                </c:pt>
                <c:pt idx="15">
                  <c:v>651.891804673323</c:v>
                </c:pt>
                <c:pt idx="16">
                  <c:v>627.695431560705</c:v>
                </c:pt>
                <c:pt idx="17">
                  <c:v>623.420831640057</c:v>
                </c:pt>
                <c:pt idx="18">
                  <c:v>659.835517725923</c:v>
                </c:pt>
                <c:pt idx="19">
                  <c:v>644.510468751639</c:v>
                </c:pt>
                <c:pt idx="20">
                  <c:v>638.993569369832</c:v>
                </c:pt>
                <c:pt idx="21">
                  <c:v>640.622809203616</c:v>
                </c:pt>
                <c:pt idx="22">
                  <c:v>646.563609362701</c:v>
                </c:pt>
                <c:pt idx="23">
                  <c:v>646.695350664188</c:v>
                </c:pt>
                <c:pt idx="24">
                  <c:v>658.51027853424</c:v>
                </c:pt>
                <c:pt idx="25">
                  <c:v>660.491540703582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2017 leg'!$Q$2:$Q$3</c:f>
              <c:strCache>
                <c:ptCount val="1"/>
                <c:pt idx="0">
                  <c:v>Mean 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</c:v>
                </c:pt>
                <c:pt idx="2">
                  <c:v>557.338649051489</c:v>
                </c:pt>
                <c:pt idx="3">
                  <c:v>514.581039428419</c:v>
                </c:pt>
                <c:pt idx="4">
                  <c:v>481.287781063315</c:v>
                </c:pt>
                <c:pt idx="5">
                  <c:v>484.839160481747</c:v>
                </c:pt>
                <c:pt idx="6">
                  <c:v>484.199274306007</c:v>
                </c:pt>
                <c:pt idx="7">
                  <c:v>479.270402990799</c:v>
                </c:pt>
                <c:pt idx="8">
                  <c:v>477.008579083233</c:v>
                </c:pt>
                <c:pt idx="9">
                  <c:v>478.415449018974</c:v>
                </c:pt>
                <c:pt idx="10">
                  <c:v>476.49216803263</c:v>
                </c:pt>
                <c:pt idx="11">
                  <c:v>480.007949121778</c:v>
                </c:pt>
                <c:pt idx="12">
                  <c:v>475.352515703404</c:v>
                </c:pt>
                <c:pt idx="13">
                  <c:v>472.564025586511</c:v>
                </c:pt>
                <c:pt idx="14">
                  <c:v>471.274527022039</c:v>
                </c:pt>
                <c:pt idx="15">
                  <c:v>473.415626933759</c:v>
                </c:pt>
                <c:pt idx="16">
                  <c:v>467.682837843839</c:v>
                </c:pt>
                <c:pt idx="17">
                  <c:v>463.05962760398</c:v>
                </c:pt>
                <c:pt idx="18">
                  <c:v>460.18604926244</c:v>
                </c:pt>
                <c:pt idx="19">
                  <c:v>457.39343048486</c:v>
                </c:pt>
                <c:pt idx="20">
                  <c:v>454.426029778499</c:v>
                </c:pt>
                <c:pt idx="21">
                  <c:v>453.500733180845</c:v>
                </c:pt>
                <c:pt idx="22">
                  <c:v>455.359917228717</c:v>
                </c:pt>
                <c:pt idx="23">
                  <c:v>448.225363882933</c:v>
                </c:pt>
                <c:pt idx="24">
                  <c:v>449.432302762684</c:v>
                </c:pt>
                <c:pt idx="25">
                  <c:v>443.825951751617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2017 leg'!$M$2:$M$3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leg'!$M$4:$M$29</c:f>
              <c:numCache>
                <c:formatCode>General</c:formatCode>
                <c:ptCount val="26"/>
                <c:pt idx="0">
                  <c:v>6417.63821809933</c:v>
                </c:pt>
                <c:pt idx="1">
                  <c:v>5983.611423093</c:v>
                </c:pt>
                <c:pt idx="2">
                  <c:v>6163.289117964</c:v>
                </c:pt>
                <c:pt idx="3">
                  <c:v>6170.39922094016</c:v>
                </c:pt>
                <c:pt idx="4">
                  <c:v>6201.35947105634</c:v>
                </c:pt>
                <c:pt idx="5">
                  <c:v>6166.69662750392</c:v>
                </c:pt>
                <c:pt idx="6">
                  <c:v>6165.55553754369</c:v>
                </c:pt>
                <c:pt idx="7">
                  <c:v>6134.2306912903</c:v>
                </c:pt>
                <c:pt idx="8">
                  <c:v>6116.63234577955</c:v>
                </c:pt>
                <c:pt idx="9">
                  <c:v>6070.27378079522</c:v>
                </c:pt>
                <c:pt idx="10">
                  <c:v>6055.11278663516</c:v>
                </c:pt>
                <c:pt idx="11">
                  <c:v>6026.73636433417</c:v>
                </c:pt>
                <c:pt idx="12">
                  <c:v>6029.2158295991</c:v>
                </c:pt>
                <c:pt idx="13">
                  <c:v>5996.90654637986</c:v>
                </c:pt>
                <c:pt idx="14">
                  <c:v>5962.74528538439</c:v>
                </c:pt>
                <c:pt idx="15">
                  <c:v>5957.03313881175</c:v>
                </c:pt>
                <c:pt idx="16">
                  <c:v>5927.26400982223</c:v>
                </c:pt>
                <c:pt idx="17">
                  <c:v>5891.93680460613</c:v>
                </c:pt>
                <c:pt idx="18">
                  <c:v>5887.42688101478</c:v>
                </c:pt>
                <c:pt idx="19">
                  <c:v>5892.35375218832</c:v>
                </c:pt>
                <c:pt idx="20">
                  <c:v>5843.94933077981</c:v>
                </c:pt>
                <c:pt idx="21">
                  <c:v>5837.45571832095</c:v>
                </c:pt>
                <c:pt idx="22">
                  <c:v>5821.70683493685</c:v>
                </c:pt>
                <c:pt idx="23">
                  <c:v>5768.57079856109</c:v>
                </c:pt>
                <c:pt idx="24">
                  <c:v>5761.6259548359</c:v>
                </c:pt>
                <c:pt idx="25">
                  <c:v>5761.92124876309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556260"/>
        <c:axId val="29813373"/>
      </c:lineChart>
      <c:catAx>
        <c:axId val="255562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813373"/>
        <c:crosses val="autoZero"/>
        <c:auto val="1"/>
        <c:lblAlgn val="ctr"/>
        <c:lblOffset val="100"/>
      </c:catAx>
      <c:valAx>
        <c:axId val="2981337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556260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values 2017 leg'!$AX$2:$AX$3</c:f>
              <c:strCache>
                <c:ptCount val="1"/>
                <c:pt idx="0">
                  <c:v>Mean family benefit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leg'!$AX$4:$AX$29</c:f>
              <c:numCache>
                <c:formatCode>General</c:formatCode>
                <c:ptCount val="26"/>
                <c:pt idx="0">
                  <c:v>450.921524738574</c:v>
                </c:pt>
                <c:pt idx="1">
                  <c:v>492.642199286587</c:v>
                </c:pt>
                <c:pt idx="2">
                  <c:v>545.815316546677</c:v>
                </c:pt>
                <c:pt idx="3">
                  <c:v>505.312148739902</c:v>
                </c:pt>
                <c:pt idx="4">
                  <c:v>477.054362149322</c:v>
                </c:pt>
                <c:pt idx="5">
                  <c:v>485.841870214463</c:v>
                </c:pt>
                <c:pt idx="6">
                  <c:v>494.426188257982</c:v>
                </c:pt>
                <c:pt idx="7">
                  <c:v>499.762673700702</c:v>
                </c:pt>
                <c:pt idx="8">
                  <c:v>498.571376375768</c:v>
                </c:pt>
                <c:pt idx="9">
                  <c:v>501.85279660911</c:v>
                </c:pt>
                <c:pt idx="10">
                  <c:v>501.081726742377</c:v>
                </c:pt>
                <c:pt idx="11">
                  <c:v>511.097634403602</c:v>
                </c:pt>
                <c:pt idx="12">
                  <c:v>512.250974758358</c:v>
                </c:pt>
                <c:pt idx="13">
                  <c:v>516.887692034621</c:v>
                </c:pt>
                <c:pt idx="14">
                  <c:v>523.702055469063</c:v>
                </c:pt>
                <c:pt idx="15">
                  <c:v>531.946457975871</c:v>
                </c:pt>
                <c:pt idx="16">
                  <c:v>535.398748353203</c:v>
                </c:pt>
                <c:pt idx="17">
                  <c:v>527.158638106845</c:v>
                </c:pt>
                <c:pt idx="18">
                  <c:v>528.070139505238</c:v>
                </c:pt>
                <c:pt idx="19">
                  <c:v>544.376773849939</c:v>
                </c:pt>
                <c:pt idx="20">
                  <c:v>536.097219468643</c:v>
                </c:pt>
                <c:pt idx="21">
                  <c:v>545.062266846463</c:v>
                </c:pt>
                <c:pt idx="22">
                  <c:v>539.944515025935</c:v>
                </c:pt>
                <c:pt idx="23">
                  <c:v>538.365016002199</c:v>
                </c:pt>
                <c:pt idx="24">
                  <c:v>540.306345877822</c:v>
                </c:pt>
                <c:pt idx="25">
                  <c:v>530.523886462411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values 2017 leg'!$AY$2:$AY$3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leg'!$AY$4:$AY$29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407.506574300343</c:v>
                </c:pt>
                <c:pt idx="2">
                  <c:v>500.873436381271</c:v>
                </c:pt>
                <c:pt idx="3">
                  <c:v>460.496281031198</c:v>
                </c:pt>
                <c:pt idx="4">
                  <c:v>427.264094766707</c:v>
                </c:pt>
                <c:pt idx="5">
                  <c:v>433.310298922747</c:v>
                </c:pt>
                <c:pt idx="6">
                  <c:v>439.409908598554</c:v>
                </c:pt>
                <c:pt idx="7">
                  <c:v>447.696543362335</c:v>
                </c:pt>
                <c:pt idx="8">
                  <c:v>438.934795615267</c:v>
                </c:pt>
                <c:pt idx="9">
                  <c:v>440.251190276593</c:v>
                </c:pt>
                <c:pt idx="10">
                  <c:v>438.569717277604</c:v>
                </c:pt>
                <c:pt idx="11">
                  <c:v>443.527086000022</c:v>
                </c:pt>
                <c:pt idx="12">
                  <c:v>447.052374568736</c:v>
                </c:pt>
                <c:pt idx="13">
                  <c:v>455.163154623053</c:v>
                </c:pt>
                <c:pt idx="14">
                  <c:v>455.200890723958</c:v>
                </c:pt>
                <c:pt idx="15">
                  <c:v>463.544699202814</c:v>
                </c:pt>
                <c:pt idx="16">
                  <c:v>466.94990571753</c:v>
                </c:pt>
                <c:pt idx="17">
                  <c:v>459.986668654511</c:v>
                </c:pt>
                <c:pt idx="18">
                  <c:v>462.166864438909</c:v>
                </c:pt>
                <c:pt idx="19">
                  <c:v>465.35139912915</c:v>
                </c:pt>
                <c:pt idx="20">
                  <c:v>464.664041309672</c:v>
                </c:pt>
                <c:pt idx="21">
                  <c:v>469.179105993945</c:v>
                </c:pt>
                <c:pt idx="22">
                  <c:v>461.698093541126</c:v>
                </c:pt>
                <c:pt idx="23">
                  <c:v>458.907629981205</c:v>
                </c:pt>
                <c:pt idx="24">
                  <c:v>449.33623831807</c:v>
                </c:pt>
                <c:pt idx="25">
                  <c:v>454.436446321832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2017 leg'!$AZ$2:$AZ$3</c:f>
              <c:strCache>
                <c:ptCount val="1"/>
                <c:pt idx="0">
                  <c:v>Mean 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</c:v>
                </c:pt>
                <c:pt idx="2">
                  <c:v>724.505669913243</c:v>
                </c:pt>
                <c:pt idx="3">
                  <c:v>670.913606709629</c:v>
                </c:pt>
                <c:pt idx="4">
                  <c:v>627.713129722083</c:v>
                </c:pt>
                <c:pt idx="5">
                  <c:v>661.981370726475</c:v>
                </c:pt>
                <c:pt idx="6">
                  <c:v>667.95851823486</c:v>
                </c:pt>
                <c:pt idx="7">
                  <c:v>673.245514997645</c:v>
                </c:pt>
                <c:pt idx="8">
                  <c:v>676.633474916216</c:v>
                </c:pt>
                <c:pt idx="9">
                  <c:v>706.189822651974</c:v>
                </c:pt>
                <c:pt idx="10">
                  <c:v>701.028381200416</c:v>
                </c:pt>
                <c:pt idx="11">
                  <c:v>723.741881450854</c:v>
                </c:pt>
                <c:pt idx="12">
                  <c:v>748.36567962188</c:v>
                </c:pt>
                <c:pt idx="13">
                  <c:v>738.770889429728</c:v>
                </c:pt>
                <c:pt idx="14">
                  <c:v>753.667560628238</c:v>
                </c:pt>
                <c:pt idx="15">
                  <c:v>773.65947365257</c:v>
                </c:pt>
                <c:pt idx="16">
                  <c:v>759.262662449986</c:v>
                </c:pt>
                <c:pt idx="17">
                  <c:v>756.62421582184</c:v>
                </c:pt>
                <c:pt idx="18">
                  <c:v>775.086849366904</c:v>
                </c:pt>
                <c:pt idx="19">
                  <c:v>803.235478002505</c:v>
                </c:pt>
                <c:pt idx="20">
                  <c:v>808.428977719365</c:v>
                </c:pt>
                <c:pt idx="21">
                  <c:v>859.310927335068</c:v>
                </c:pt>
                <c:pt idx="22">
                  <c:v>854.6269652028</c:v>
                </c:pt>
                <c:pt idx="23">
                  <c:v>862.784043969348</c:v>
                </c:pt>
                <c:pt idx="24">
                  <c:v>896.437345450681</c:v>
                </c:pt>
                <c:pt idx="25">
                  <c:v>865.87464515435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2017 leg'!$BA$2:$BA$3</c:f>
              <c:strCache>
                <c:ptCount val="1"/>
                <c:pt idx="0">
                  <c:v>Mean 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</c:v>
                </c:pt>
                <c:pt idx="2">
                  <c:v>557.338649051489</c:v>
                </c:pt>
                <c:pt idx="3">
                  <c:v>514.404590229343</c:v>
                </c:pt>
                <c:pt idx="4">
                  <c:v>481.834093986251</c:v>
                </c:pt>
                <c:pt idx="5">
                  <c:v>489.908101124942</c:v>
                </c:pt>
                <c:pt idx="6">
                  <c:v>495.976116266443</c:v>
                </c:pt>
                <c:pt idx="7">
                  <c:v>503.17358611572</c:v>
                </c:pt>
                <c:pt idx="8">
                  <c:v>499.108834713664</c:v>
                </c:pt>
                <c:pt idx="9">
                  <c:v>500.271822254634</c:v>
                </c:pt>
                <c:pt idx="10">
                  <c:v>499.197185163111</c:v>
                </c:pt>
                <c:pt idx="11">
                  <c:v>508.396260968833</c:v>
                </c:pt>
                <c:pt idx="12">
                  <c:v>509.700807548541</c:v>
                </c:pt>
                <c:pt idx="13">
                  <c:v>514.087318417112</c:v>
                </c:pt>
                <c:pt idx="14">
                  <c:v>518.108065011274</c:v>
                </c:pt>
                <c:pt idx="15">
                  <c:v>521.290948804119</c:v>
                </c:pt>
                <c:pt idx="16">
                  <c:v>521.235302166462</c:v>
                </c:pt>
                <c:pt idx="17">
                  <c:v>514.211952556943</c:v>
                </c:pt>
                <c:pt idx="18">
                  <c:v>515.543292141735</c:v>
                </c:pt>
                <c:pt idx="19">
                  <c:v>521.508360515385</c:v>
                </c:pt>
                <c:pt idx="20">
                  <c:v>515.487175837508</c:v>
                </c:pt>
                <c:pt idx="21">
                  <c:v>520.295100080375</c:v>
                </c:pt>
                <c:pt idx="22">
                  <c:v>515.035719933226</c:v>
                </c:pt>
                <c:pt idx="23">
                  <c:v>511.582750539954</c:v>
                </c:pt>
                <c:pt idx="24">
                  <c:v>507.11703316998</c:v>
                </c:pt>
                <c:pt idx="25">
                  <c:v>505.447341255752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2017 leg'!$AW$2:$AW$3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2017 leg'!$AV$4:$AV$29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2017 leg'!$AW$4:$AW$29</c:f>
              <c:numCache>
                <c:formatCode>General</c:formatCode>
                <c:ptCount val="26"/>
                <c:pt idx="0">
                  <c:v>6417.63821809933</c:v>
                </c:pt>
                <c:pt idx="1">
                  <c:v>5983.611423093</c:v>
                </c:pt>
                <c:pt idx="2">
                  <c:v>6163.289117964</c:v>
                </c:pt>
                <c:pt idx="3">
                  <c:v>6176.17821897292</c:v>
                </c:pt>
                <c:pt idx="4">
                  <c:v>6296.06735388721</c:v>
                </c:pt>
                <c:pt idx="5">
                  <c:v>6382.37319211624</c:v>
                </c:pt>
                <c:pt idx="6">
                  <c:v>6478.04695492771</c:v>
                </c:pt>
                <c:pt idx="7">
                  <c:v>6587.67500935612</c:v>
                </c:pt>
                <c:pt idx="8">
                  <c:v>6695.58302231091</c:v>
                </c:pt>
                <c:pt idx="9">
                  <c:v>6819.18044265142</c:v>
                </c:pt>
                <c:pt idx="10">
                  <c:v>6959.13082246455</c:v>
                </c:pt>
                <c:pt idx="11">
                  <c:v>7067.54686578066</c:v>
                </c:pt>
                <c:pt idx="12">
                  <c:v>7184.98823280064</c:v>
                </c:pt>
                <c:pt idx="13">
                  <c:v>7294.30050602172</c:v>
                </c:pt>
                <c:pt idx="14">
                  <c:v>7411.17564943453</c:v>
                </c:pt>
                <c:pt idx="15">
                  <c:v>7539.77439338766</c:v>
                </c:pt>
                <c:pt idx="16">
                  <c:v>7678.87287477147</c:v>
                </c:pt>
                <c:pt idx="17">
                  <c:v>7806.7752484512</c:v>
                </c:pt>
                <c:pt idx="18">
                  <c:v>7934.2337017768</c:v>
                </c:pt>
                <c:pt idx="19">
                  <c:v>8075.43393733223</c:v>
                </c:pt>
                <c:pt idx="20">
                  <c:v>8218.55568151785</c:v>
                </c:pt>
                <c:pt idx="21">
                  <c:v>8321.36182226828</c:v>
                </c:pt>
                <c:pt idx="22">
                  <c:v>8455.06031588543</c:v>
                </c:pt>
                <c:pt idx="23">
                  <c:v>8584.2084313612</c:v>
                </c:pt>
                <c:pt idx="24">
                  <c:v>8719.23138441844</c:v>
                </c:pt>
                <c:pt idx="25">
                  <c:v>8887.14438987828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2888691"/>
        <c:axId val="18417501"/>
      </c:lineChart>
      <c:catAx>
        <c:axId val="928886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417501"/>
        <c:crosses val="autoZero"/>
        <c:auto val="1"/>
        <c:lblAlgn val="ctr"/>
        <c:lblOffset val="100"/>
      </c:catAx>
      <c:valAx>
        <c:axId val="1841750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888691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 2015 mor'!$AG$2:$AG$3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2015 mor'!$AD$4:$AD$29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2015 mor'!$AG$4:$AG$29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2166.11173297133</c:v>
                </c:pt>
                <c:pt idx="5">
                  <c:v>2056.29478638525</c:v>
                </c:pt>
                <c:pt idx="6">
                  <c:v>2082.22351531067</c:v>
                </c:pt>
                <c:pt idx="7">
                  <c:v>2173.5150562112</c:v>
                </c:pt>
                <c:pt idx="8">
                  <c:v>2266.76901657319</c:v>
                </c:pt>
                <c:pt idx="9">
                  <c:v>2442.51190936594</c:v>
                </c:pt>
                <c:pt idx="10">
                  <c:v>2583.70616086391</c:v>
                </c:pt>
                <c:pt idx="11">
                  <c:v>2609.64094622704</c:v>
                </c:pt>
                <c:pt idx="12">
                  <c:v>2674.66781051349</c:v>
                </c:pt>
                <c:pt idx="13">
                  <c:v>2755.61904797549</c:v>
                </c:pt>
                <c:pt idx="14">
                  <c:v>2777.00287688442</c:v>
                </c:pt>
                <c:pt idx="15">
                  <c:v>2874.91881052726</c:v>
                </c:pt>
                <c:pt idx="16">
                  <c:v>2924.36349162551</c:v>
                </c:pt>
                <c:pt idx="17">
                  <c:v>2994.76577150591</c:v>
                </c:pt>
                <c:pt idx="18">
                  <c:v>2994.81978146825</c:v>
                </c:pt>
                <c:pt idx="19">
                  <c:v>3095.9347526643</c:v>
                </c:pt>
                <c:pt idx="20">
                  <c:v>3116.22095154122</c:v>
                </c:pt>
                <c:pt idx="21">
                  <c:v>3174.51031360401</c:v>
                </c:pt>
                <c:pt idx="22">
                  <c:v>3169.4838268565</c:v>
                </c:pt>
                <c:pt idx="23">
                  <c:v>3201.22194619175</c:v>
                </c:pt>
                <c:pt idx="24">
                  <c:v>3218.88617524492</c:v>
                </c:pt>
                <c:pt idx="25">
                  <c:v>3230.71646292881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 2015 mor'!$AH$2:$AH$3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2015 mor'!$AD$4:$AD$29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2015 mor'!$AH$4:$AH$29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3250.44313396963</c:v>
                </c:pt>
                <c:pt idx="5">
                  <c:v>3080.42314982073</c:v>
                </c:pt>
                <c:pt idx="6">
                  <c:v>3192.97811900307</c:v>
                </c:pt>
                <c:pt idx="7">
                  <c:v>3258.25762568132</c:v>
                </c:pt>
                <c:pt idx="8">
                  <c:v>3511.95167490549</c:v>
                </c:pt>
                <c:pt idx="9">
                  <c:v>3752.26832763654</c:v>
                </c:pt>
                <c:pt idx="10">
                  <c:v>3785.25149068834</c:v>
                </c:pt>
                <c:pt idx="11">
                  <c:v>3841.87224243256</c:v>
                </c:pt>
                <c:pt idx="12">
                  <c:v>4069.80699929698</c:v>
                </c:pt>
                <c:pt idx="13">
                  <c:v>4112.80348898513</c:v>
                </c:pt>
                <c:pt idx="14">
                  <c:v>4322.80097742788</c:v>
                </c:pt>
                <c:pt idx="15">
                  <c:v>4234.96731055539</c:v>
                </c:pt>
                <c:pt idx="16">
                  <c:v>4485.68346006369</c:v>
                </c:pt>
                <c:pt idx="17">
                  <c:v>4479.58374968346</c:v>
                </c:pt>
                <c:pt idx="18">
                  <c:v>4516.44278802662</c:v>
                </c:pt>
                <c:pt idx="19">
                  <c:v>4581.32458960229</c:v>
                </c:pt>
                <c:pt idx="20">
                  <c:v>4554.04993548409</c:v>
                </c:pt>
                <c:pt idx="21">
                  <c:v>4672.09034796675</c:v>
                </c:pt>
                <c:pt idx="22">
                  <c:v>4854.0755681484</c:v>
                </c:pt>
                <c:pt idx="23">
                  <c:v>4896.65163689107</c:v>
                </c:pt>
                <c:pt idx="24">
                  <c:v>4937.91668558416</c:v>
                </c:pt>
                <c:pt idx="25">
                  <c:v>4938.11914248159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 2015 mor'!$AI$2:$AI$3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 2015 mor'!$AD$4:$AD$29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 2015 mor'!$AI$4:$AI$29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2463.02872747996</c:v>
                </c:pt>
                <c:pt idx="5">
                  <c:v>2359.02508075737</c:v>
                </c:pt>
                <c:pt idx="6">
                  <c:v>2387.5231275097</c:v>
                </c:pt>
                <c:pt idx="7">
                  <c:v>2470.04777220006</c:v>
                </c:pt>
                <c:pt idx="8">
                  <c:v>2595.42002032983</c:v>
                </c:pt>
                <c:pt idx="9">
                  <c:v>2762.22753544384</c:v>
                </c:pt>
                <c:pt idx="10">
                  <c:v>2870.47331573892</c:v>
                </c:pt>
                <c:pt idx="11">
                  <c:v>2913.64528689877</c:v>
                </c:pt>
                <c:pt idx="12">
                  <c:v>2987.27077903994</c:v>
                </c:pt>
                <c:pt idx="13">
                  <c:v>3037.78487369539</c:v>
                </c:pt>
                <c:pt idx="14">
                  <c:v>3054.03647098881</c:v>
                </c:pt>
                <c:pt idx="15">
                  <c:v>3123.06369281684</c:v>
                </c:pt>
                <c:pt idx="16">
                  <c:v>3200.58703746338</c:v>
                </c:pt>
                <c:pt idx="17">
                  <c:v>3227.24423470409</c:v>
                </c:pt>
                <c:pt idx="18">
                  <c:v>3236.88952624165</c:v>
                </c:pt>
                <c:pt idx="19">
                  <c:v>3309.80314229321</c:v>
                </c:pt>
                <c:pt idx="20">
                  <c:v>3339.00001616568</c:v>
                </c:pt>
                <c:pt idx="21">
                  <c:v>3389.34006371478</c:v>
                </c:pt>
                <c:pt idx="22">
                  <c:v>3406.00065440557</c:v>
                </c:pt>
                <c:pt idx="23">
                  <c:v>3426.40173493418</c:v>
                </c:pt>
                <c:pt idx="24">
                  <c:v>3455.87149541604</c:v>
                </c:pt>
                <c:pt idx="25">
                  <c:v>3450.53331984406</c:v>
                </c:pt>
              </c:numCache>
            </c:numRef>
          </c:yVal>
          <c:smooth val="0"/>
        </c:ser>
        <c:axId val="64458969"/>
        <c:axId val="22012254"/>
      </c:scatterChart>
      <c:valAx>
        <c:axId val="64458969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12254"/>
        <c:crosses val="autoZero"/>
      </c:valAx>
      <c:valAx>
        <c:axId val="2201225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45896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values 2015 mor'!$N$2:$N$3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mor'!$N$4:$N$29</c:f>
              <c:numCache>
                <c:formatCode>General</c:formatCode>
                <c:ptCount val="26"/>
                <c:pt idx="0">
                  <c:v>2284.66572461536</c:v>
                </c:pt>
                <c:pt idx="1">
                  <c:v>2433.98580969057</c:v>
                </c:pt>
                <c:pt idx="2">
                  <c:v>2627.13842637487</c:v>
                </c:pt>
                <c:pt idx="3">
                  <c:v>2605.88663503554</c:v>
                </c:pt>
                <c:pt idx="4">
                  <c:v>2469.18494891276</c:v>
                </c:pt>
                <c:pt idx="5">
                  <c:v>2359.78112760649</c:v>
                </c:pt>
                <c:pt idx="6">
                  <c:v>2399.97779487979</c:v>
                </c:pt>
                <c:pt idx="7">
                  <c:v>2477.85966886192</c:v>
                </c:pt>
                <c:pt idx="8">
                  <c:v>2582.24372768859</c:v>
                </c:pt>
                <c:pt idx="9">
                  <c:v>2673.70810763784</c:v>
                </c:pt>
                <c:pt idx="10">
                  <c:v>2770.48452401489</c:v>
                </c:pt>
                <c:pt idx="11">
                  <c:v>2828.63686016704</c:v>
                </c:pt>
                <c:pt idx="12">
                  <c:v>2911.05685776114</c:v>
                </c:pt>
                <c:pt idx="13">
                  <c:v>2965.41727908349</c:v>
                </c:pt>
                <c:pt idx="14">
                  <c:v>2972.41722077217</c:v>
                </c:pt>
                <c:pt idx="15">
                  <c:v>3066.11312524918</c:v>
                </c:pt>
                <c:pt idx="16">
                  <c:v>3088.08517907704</c:v>
                </c:pt>
                <c:pt idx="17">
                  <c:v>3168.46943360768</c:v>
                </c:pt>
                <c:pt idx="18">
                  <c:v>3195.43123677627</c:v>
                </c:pt>
                <c:pt idx="19">
                  <c:v>3159.36240230368</c:v>
                </c:pt>
                <c:pt idx="20">
                  <c:v>3181.38944881896</c:v>
                </c:pt>
                <c:pt idx="21">
                  <c:v>3229.35687526542</c:v>
                </c:pt>
                <c:pt idx="22">
                  <c:v>3260.19088172885</c:v>
                </c:pt>
                <c:pt idx="23">
                  <c:v>3309.43348737738</c:v>
                </c:pt>
                <c:pt idx="24">
                  <c:v>3373.67482760787</c:v>
                </c:pt>
                <c:pt idx="25">
                  <c:v>3351.24691782385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values 2015 mor'!$O$2:$O$3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mor'!$O$4:$O$29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2166.11173297133</c:v>
                </c:pt>
                <c:pt idx="5">
                  <c:v>2057.87894637062</c:v>
                </c:pt>
                <c:pt idx="6">
                  <c:v>2085.95851550152</c:v>
                </c:pt>
                <c:pt idx="7">
                  <c:v>2154.45889067074</c:v>
                </c:pt>
                <c:pt idx="8">
                  <c:v>2246.25087334203</c:v>
                </c:pt>
                <c:pt idx="9">
                  <c:v>2319.31850372865</c:v>
                </c:pt>
                <c:pt idx="10">
                  <c:v>2426.72136225758</c:v>
                </c:pt>
                <c:pt idx="11">
                  <c:v>2462.49365051993</c:v>
                </c:pt>
                <c:pt idx="12">
                  <c:v>2540.64299960791</c:v>
                </c:pt>
                <c:pt idx="13">
                  <c:v>2616.48656727336</c:v>
                </c:pt>
                <c:pt idx="14">
                  <c:v>2636.48457331054</c:v>
                </c:pt>
                <c:pt idx="15">
                  <c:v>2720.22636366679</c:v>
                </c:pt>
                <c:pt idx="16">
                  <c:v>2734.22276227589</c:v>
                </c:pt>
                <c:pt idx="17">
                  <c:v>2792.73786711168</c:v>
                </c:pt>
                <c:pt idx="18">
                  <c:v>2836.74107892571</c:v>
                </c:pt>
                <c:pt idx="19">
                  <c:v>2824.42714139462</c:v>
                </c:pt>
                <c:pt idx="20">
                  <c:v>2823.90339352579</c:v>
                </c:pt>
                <c:pt idx="21">
                  <c:v>2816.76112623297</c:v>
                </c:pt>
                <c:pt idx="22">
                  <c:v>2859.01022979647</c:v>
                </c:pt>
                <c:pt idx="23">
                  <c:v>2918.24609512353</c:v>
                </c:pt>
                <c:pt idx="24">
                  <c:v>2974.80012846153</c:v>
                </c:pt>
                <c:pt idx="25">
                  <c:v>2944.45401854006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2015 mor'!$P$2:$P$3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mor'!$P$4:$P$29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3250.44313396963</c:v>
                </c:pt>
                <c:pt idx="5">
                  <c:v>3078.18445642337</c:v>
                </c:pt>
                <c:pt idx="6">
                  <c:v>3162.0765065366</c:v>
                </c:pt>
                <c:pt idx="7">
                  <c:v>3206.01909859943</c:v>
                </c:pt>
                <c:pt idx="8">
                  <c:v>3393.03651066395</c:v>
                </c:pt>
                <c:pt idx="9">
                  <c:v>3430.90865394672</c:v>
                </c:pt>
                <c:pt idx="10">
                  <c:v>3650.69632766159</c:v>
                </c:pt>
                <c:pt idx="11">
                  <c:v>3673.60494884448</c:v>
                </c:pt>
                <c:pt idx="12">
                  <c:v>3850.3210785318</c:v>
                </c:pt>
                <c:pt idx="13">
                  <c:v>3930.76547185385</c:v>
                </c:pt>
                <c:pt idx="14">
                  <c:v>3958.30303661334</c:v>
                </c:pt>
                <c:pt idx="15">
                  <c:v>4139.69331670513</c:v>
                </c:pt>
                <c:pt idx="16">
                  <c:v>4076.08139084513</c:v>
                </c:pt>
                <c:pt idx="17">
                  <c:v>4048.62371729055</c:v>
                </c:pt>
                <c:pt idx="18">
                  <c:v>4108.3900914551</c:v>
                </c:pt>
                <c:pt idx="19">
                  <c:v>4076.32432966752</c:v>
                </c:pt>
                <c:pt idx="20">
                  <c:v>4090.37345855056</c:v>
                </c:pt>
                <c:pt idx="21">
                  <c:v>4074.82926453287</c:v>
                </c:pt>
                <c:pt idx="22">
                  <c:v>4397.72444093229</c:v>
                </c:pt>
                <c:pt idx="23">
                  <c:v>4273.34557549012</c:v>
                </c:pt>
                <c:pt idx="24">
                  <c:v>4313.70430248286</c:v>
                </c:pt>
                <c:pt idx="25">
                  <c:v>4368.17912525593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2015 mor'!$Q$2:$Q$3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mor'!$Q$4:$Q$29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2463.02872747996</c:v>
                </c:pt>
                <c:pt idx="5">
                  <c:v>2359.30202381716</c:v>
                </c:pt>
                <c:pt idx="6">
                  <c:v>2387.99683700132</c:v>
                </c:pt>
                <c:pt idx="7">
                  <c:v>2456.64871320234</c:v>
                </c:pt>
                <c:pt idx="8">
                  <c:v>2541.8487549303</c:v>
                </c:pt>
                <c:pt idx="9">
                  <c:v>2617.77873076879</c:v>
                </c:pt>
                <c:pt idx="10">
                  <c:v>2728.19798035082</c:v>
                </c:pt>
                <c:pt idx="11">
                  <c:v>2772.58512872328</c:v>
                </c:pt>
                <c:pt idx="12">
                  <c:v>2839.19690787387</c:v>
                </c:pt>
                <c:pt idx="13">
                  <c:v>2911.01319629303</c:v>
                </c:pt>
                <c:pt idx="14">
                  <c:v>2925.11358492412</c:v>
                </c:pt>
                <c:pt idx="15">
                  <c:v>3009.43447152267</c:v>
                </c:pt>
                <c:pt idx="16">
                  <c:v>2996.25145961586</c:v>
                </c:pt>
                <c:pt idx="17">
                  <c:v>3050.73532251896</c:v>
                </c:pt>
                <c:pt idx="18">
                  <c:v>3092.20251789123</c:v>
                </c:pt>
                <c:pt idx="19">
                  <c:v>3075.19593126589</c:v>
                </c:pt>
                <c:pt idx="20">
                  <c:v>3080.43320631733</c:v>
                </c:pt>
                <c:pt idx="21">
                  <c:v>3079.96109174884</c:v>
                </c:pt>
                <c:pt idx="22">
                  <c:v>3126.48119654764</c:v>
                </c:pt>
                <c:pt idx="23">
                  <c:v>3186.14396340511</c:v>
                </c:pt>
                <c:pt idx="24">
                  <c:v>3235.05642394357</c:v>
                </c:pt>
                <c:pt idx="25">
                  <c:v>3219.88512887116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2015 mor'!$M$2:$M$3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mor'!$M$4:$M$29</c:f>
              <c:numCache>
                <c:formatCode>General</c:formatCode>
                <c:ptCount val="26"/>
                <c:pt idx="0">
                  <c:v>31815.715618218</c:v>
                </c:pt>
                <c:pt idx="1">
                  <c:v>29969.7816818848</c:v>
                </c:pt>
                <c:pt idx="2">
                  <c:v>30901.2012202376</c:v>
                </c:pt>
                <c:pt idx="3">
                  <c:v>29333.2223456884</c:v>
                </c:pt>
                <c:pt idx="4">
                  <c:v>26863.1933240567</c:v>
                </c:pt>
                <c:pt idx="5">
                  <c:v>26757.0482227393</c:v>
                </c:pt>
                <c:pt idx="6">
                  <c:v>27145.4952156295</c:v>
                </c:pt>
                <c:pt idx="7">
                  <c:v>27656.6456452422</c:v>
                </c:pt>
                <c:pt idx="8">
                  <c:v>28189.2314515068</c:v>
                </c:pt>
                <c:pt idx="9">
                  <c:v>28709.5043254826</c:v>
                </c:pt>
                <c:pt idx="10">
                  <c:v>29163.4273861843</c:v>
                </c:pt>
                <c:pt idx="11">
                  <c:v>29724.5169005297</c:v>
                </c:pt>
                <c:pt idx="12">
                  <c:v>30105.4271061888</c:v>
                </c:pt>
                <c:pt idx="13">
                  <c:v>30659.3516907731</c:v>
                </c:pt>
                <c:pt idx="14">
                  <c:v>30961.8025757783</c:v>
                </c:pt>
                <c:pt idx="15">
                  <c:v>31347.1976573032</c:v>
                </c:pt>
                <c:pt idx="16">
                  <c:v>31699.0463578562</c:v>
                </c:pt>
                <c:pt idx="17">
                  <c:v>31960.2373991504</c:v>
                </c:pt>
                <c:pt idx="18">
                  <c:v>32140.1987798087</c:v>
                </c:pt>
                <c:pt idx="19">
                  <c:v>32173.7830218176</c:v>
                </c:pt>
                <c:pt idx="20">
                  <c:v>32580.2487529899</c:v>
                </c:pt>
                <c:pt idx="21">
                  <c:v>33000.4397183192</c:v>
                </c:pt>
                <c:pt idx="22">
                  <c:v>33262.6142552361</c:v>
                </c:pt>
                <c:pt idx="23">
                  <c:v>33510.1302017302</c:v>
                </c:pt>
                <c:pt idx="24">
                  <c:v>33739.0713459507</c:v>
                </c:pt>
                <c:pt idx="25">
                  <c:v>33720.8051199144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9364773"/>
        <c:axId val="83011058"/>
      </c:lineChart>
      <c:catAx>
        <c:axId val="893647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011058"/>
        <c:crosses val="autoZero"/>
        <c:auto val="1"/>
        <c:lblAlgn val="ctr"/>
        <c:lblOffset val="100"/>
      </c:catAx>
      <c:valAx>
        <c:axId val="8301105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364773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values 2015 mor'!$AX$2:$AX$3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mor'!$AX$4:$AX$29</c:f>
              <c:numCache>
                <c:formatCode>General</c:formatCode>
                <c:ptCount val="26"/>
                <c:pt idx="0">
                  <c:v>2284.66572461536</c:v>
                </c:pt>
                <c:pt idx="1">
                  <c:v>2433.98580969057</c:v>
                </c:pt>
                <c:pt idx="2">
                  <c:v>2627.13842637487</c:v>
                </c:pt>
                <c:pt idx="3">
                  <c:v>2605.88663503554</c:v>
                </c:pt>
                <c:pt idx="4">
                  <c:v>2469.15434047913</c:v>
                </c:pt>
                <c:pt idx="5">
                  <c:v>2354.65792709707</c:v>
                </c:pt>
                <c:pt idx="6">
                  <c:v>2404.18260619673</c:v>
                </c:pt>
                <c:pt idx="7">
                  <c:v>2553.14146818071</c:v>
                </c:pt>
                <c:pt idx="8">
                  <c:v>2710.16300705586</c:v>
                </c:pt>
                <c:pt idx="9">
                  <c:v>2817.09267925318</c:v>
                </c:pt>
                <c:pt idx="10">
                  <c:v>2985.52289395537</c:v>
                </c:pt>
                <c:pt idx="11">
                  <c:v>3070.41848796178</c:v>
                </c:pt>
                <c:pt idx="12">
                  <c:v>3140.28774092456</c:v>
                </c:pt>
                <c:pt idx="13">
                  <c:v>3229.54863481471</c:v>
                </c:pt>
                <c:pt idx="14">
                  <c:v>3289.86583405838</c:v>
                </c:pt>
                <c:pt idx="15">
                  <c:v>3337.62739283237</c:v>
                </c:pt>
                <c:pt idx="16">
                  <c:v>3360.12248652227</c:v>
                </c:pt>
                <c:pt idx="17">
                  <c:v>3511.10740955041</c:v>
                </c:pt>
                <c:pt idx="18">
                  <c:v>3579.67517645524</c:v>
                </c:pt>
                <c:pt idx="19">
                  <c:v>3603.48553733414</c:v>
                </c:pt>
                <c:pt idx="20">
                  <c:v>3655.97025423482</c:v>
                </c:pt>
                <c:pt idx="21">
                  <c:v>3701.92127448532</c:v>
                </c:pt>
                <c:pt idx="22">
                  <c:v>3721.22911125341</c:v>
                </c:pt>
                <c:pt idx="23">
                  <c:v>3787.39840348829</c:v>
                </c:pt>
                <c:pt idx="24">
                  <c:v>3774.04596790857</c:v>
                </c:pt>
                <c:pt idx="25">
                  <c:v>3825.87391947621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values 2015 mor'!$AY$2:$AY$3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mor'!$AY$4:$AY$29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2166.05726467921</c:v>
                </c:pt>
                <c:pt idx="5">
                  <c:v>2046.76503643641</c:v>
                </c:pt>
                <c:pt idx="6">
                  <c:v>2074.58336338289</c:v>
                </c:pt>
                <c:pt idx="7">
                  <c:v>2247.07953406441</c:v>
                </c:pt>
                <c:pt idx="8">
                  <c:v>2384.70681942807</c:v>
                </c:pt>
                <c:pt idx="9">
                  <c:v>2480.03672372409</c:v>
                </c:pt>
                <c:pt idx="10">
                  <c:v>2606.38434657898</c:v>
                </c:pt>
                <c:pt idx="11">
                  <c:v>2702.38694119355</c:v>
                </c:pt>
                <c:pt idx="12">
                  <c:v>2758.99605584427</c:v>
                </c:pt>
                <c:pt idx="13">
                  <c:v>2866.11704683257</c:v>
                </c:pt>
                <c:pt idx="14">
                  <c:v>2893.22652960606</c:v>
                </c:pt>
                <c:pt idx="15">
                  <c:v>2981.81028275452</c:v>
                </c:pt>
                <c:pt idx="16">
                  <c:v>2983.29147652969</c:v>
                </c:pt>
                <c:pt idx="17">
                  <c:v>3104.81927991558</c:v>
                </c:pt>
                <c:pt idx="18">
                  <c:v>3180.36789637448</c:v>
                </c:pt>
                <c:pt idx="19">
                  <c:v>3212.02450623744</c:v>
                </c:pt>
                <c:pt idx="20">
                  <c:v>3267.12227809856</c:v>
                </c:pt>
                <c:pt idx="21">
                  <c:v>3288.55175802958</c:v>
                </c:pt>
                <c:pt idx="22">
                  <c:v>3293.61827715123</c:v>
                </c:pt>
                <c:pt idx="23">
                  <c:v>3392.92868998481</c:v>
                </c:pt>
                <c:pt idx="24">
                  <c:v>3381.68203174498</c:v>
                </c:pt>
                <c:pt idx="25">
                  <c:v>3345.97156241675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2015 mor'!$AZ$2:$AZ$3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mor'!$AZ$4:$AZ$29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3250.41925115312</c:v>
                </c:pt>
                <c:pt idx="5">
                  <c:v>3087.03881172885</c:v>
                </c:pt>
                <c:pt idx="6">
                  <c:v>3238.27814119775</c:v>
                </c:pt>
                <c:pt idx="7">
                  <c:v>3367.99005160534</c:v>
                </c:pt>
                <c:pt idx="8">
                  <c:v>3626.9969643907</c:v>
                </c:pt>
                <c:pt idx="9">
                  <c:v>3856.7617981478</c:v>
                </c:pt>
                <c:pt idx="10">
                  <c:v>4045.30060713028</c:v>
                </c:pt>
                <c:pt idx="11">
                  <c:v>4111.68234180045</c:v>
                </c:pt>
                <c:pt idx="12">
                  <c:v>4274.2395070353</c:v>
                </c:pt>
                <c:pt idx="13">
                  <c:v>4450.67268704066</c:v>
                </c:pt>
                <c:pt idx="14">
                  <c:v>4638.29478461275</c:v>
                </c:pt>
                <c:pt idx="15">
                  <c:v>4726.34542428585</c:v>
                </c:pt>
                <c:pt idx="16">
                  <c:v>4718.04576290994</c:v>
                </c:pt>
                <c:pt idx="17">
                  <c:v>4899.60392387634</c:v>
                </c:pt>
                <c:pt idx="18">
                  <c:v>4902.16334570908</c:v>
                </c:pt>
                <c:pt idx="19">
                  <c:v>5100.77636078564</c:v>
                </c:pt>
                <c:pt idx="20">
                  <c:v>5068.2022921863</c:v>
                </c:pt>
                <c:pt idx="21">
                  <c:v>5163.62617382623</c:v>
                </c:pt>
                <c:pt idx="22">
                  <c:v>5131.67584828849</c:v>
                </c:pt>
                <c:pt idx="23">
                  <c:v>5250.27177817756</c:v>
                </c:pt>
                <c:pt idx="24">
                  <c:v>5362.74449606001</c:v>
                </c:pt>
                <c:pt idx="25">
                  <c:v>5710.58127801782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2015 mor'!$BA$2:$BA$3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mor'!$BA$4:$BA$29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2463.01522769429</c:v>
                </c:pt>
                <c:pt idx="5">
                  <c:v>2358.2841474359</c:v>
                </c:pt>
                <c:pt idx="6">
                  <c:v>2403.39140867196</c:v>
                </c:pt>
                <c:pt idx="7">
                  <c:v>2558.90219196227</c:v>
                </c:pt>
                <c:pt idx="8">
                  <c:v>2693.93258008625</c:v>
                </c:pt>
                <c:pt idx="9">
                  <c:v>2792.70522310446</c:v>
                </c:pt>
                <c:pt idx="10">
                  <c:v>2910.34009860758</c:v>
                </c:pt>
                <c:pt idx="11">
                  <c:v>2990.90767508542</c:v>
                </c:pt>
                <c:pt idx="12">
                  <c:v>3059.29834827558</c:v>
                </c:pt>
                <c:pt idx="13">
                  <c:v>3154.42733380115</c:v>
                </c:pt>
                <c:pt idx="14">
                  <c:v>3196.70407258804</c:v>
                </c:pt>
                <c:pt idx="15">
                  <c:v>3257.4926610529</c:v>
                </c:pt>
                <c:pt idx="16">
                  <c:v>3263.9152103228</c:v>
                </c:pt>
                <c:pt idx="17">
                  <c:v>3355.33110595179</c:v>
                </c:pt>
                <c:pt idx="18">
                  <c:v>3418.4449418631</c:v>
                </c:pt>
                <c:pt idx="19">
                  <c:v>3454.93780665837</c:v>
                </c:pt>
                <c:pt idx="20">
                  <c:v>3494.5838571256</c:v>
                </c:pt>
                <c:pt idx="21">
                  <c:v>3514.95101218699</c:v>
                </c:pt>
                <c:pt idx="22">
                  <c:v>3517.16147448066</c:v>
                </c:pt>
                <c:pt idx="23">
                  <c:v>3607.30601531248</c:v>
                </c:pt>
                <c:pt idx="24">
                  <c:v>3595.30887186768</c:v>
                </c:pt>
                <c:pt idx="25">
                  <c:v>3572.1009681124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2015 mor'!$AW$2:$AW$3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values 2015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values 2015 mor'!$AW$4:$AW$29</c:f>
              <c:numCache>
                <c:formatCode>General</c:formatCode>
                <c:ptCount val="26"/>
                <c:pt idx="0">
                  <c:v>31815.715618218</c:v>
                </c:pt>
                <c:pt idx="1">
                  <c:v>29969.7816818848</c:v>
                </c:pt>
                <c:pt idx="2">
                  <c:v>30901.2012202376</c:v>
                </c:pt>
                <c:pt idx="3">
                  <c:v>29336.9739271587</c:v>
                </c:pt>
                <c:pt idx="4">
                  <c:v>26869.677741076</c:v>
                </c:pt>
                <c:pt idx="5">
                  <c:v>27829.8161270734</c:v>
                </c:pt>
                <c:pt idx="6">
                  <c:v>30017.3342166067</c:v>
                </c:pt>
                <c:pt idx="7">
                  <c:v>31422.2041760414</c:v>
                </c:pt>
                <c:pt idx="8">
                  <c:v>32404.6100985987</c:v>
                </c:pt>
                <c:pt idx="9">
                  <c:v>33482.4702693227</c:v>
                </c:pt>
                <c:pt idx="10">
                  <c:v>34372.0795804249</c:v>
                </c:pt>
                <c:pt idx="11">
                  <c:v>35137.561420341</c:v>
                </c:pt>
                <c:pt idx="12">
                  <c:v>36096.6559531027</c:v>
                </c:pt>
                <c:pt idx="13">
                  <c:v>37118.1238722002</c:v>
                </c:pt>
                <c:pt idx="14">
                  <c:v>38038.5961864332</c:v>
                </c:pt>
                <c:pt idx="15">
                  <c:v>39004.8743643107</c:v>
                </c:pt>
                <c:pt idx="16">
                  <c:v>39908.188489329</c:v>
                </c:pt>
                <c:pt idx="17">
                  <c:v>40987.5233534337</c:v>
                </c:pt>
                <c:pt idx="18">
                  <c:v>42051.8377521412</c:v>
                </c:pt>
                <c:pt idx="19">
                  <c:v>43092.5143748961</c:v>
                </c:pt>
                <c:pt idx="20">
                  <c:v>43863.7202053385</c:v>
                </c:pt>
                <c:pt idx="21">
                  <c:v>44876.6061275261</c:v>
                </c:pt>
                <c:pt idx="22">
                  <c:v>45688.1696150955</c:v>
                </c:pt>
                <c:pt idx="23">
                  <c:v>46657.4557614382</c:v>
                </c:pt>
                <c:pt idx="24">
                  <c:v>47606.0826393091</c:v>
                </c:pt>
                <c:pt idx="25">
                  <c:v>48574.0532183751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2027979"/>
        <c:axId val="35008711"/>
      </c:lineChart>
      <c:catAx>
        <c:axId val="320279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008711"/>
        <c:crosses val="autoZero"/>
        <c:auto val="1"/>
        <c:lblAlgn val="ctr"/>
        <c:lblOffset val="100"/>
      </c:catAx>
      <c:valAx>
        <c:axId val="3500871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027979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2015 no mor'!$AG$2:$AG$3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2015 no mor'!$AD$4:$AD$29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2015 no mor'!$AG$4:$AG$29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367.075171920782</c:v>
                </c:pt>
                <c:pt idx="2">
                  <c:v>471.898233073207</c:v>
                </c:pt>
                <c:pt idx="3">
                  <c:v>432.444047528382</c:v>
                </c:pt>
                <c:pt idx="4">
                  <c:v>399.452616684731</c:v>
                </c:pt>
                <c:pt idx="5">
                  <c:v>401.345337807937</c:v>
                </c:pt>
                <c:pt idx="6">
                  <c:v>395.690468414786</c:v>
                </c:pt>
                <c:pt idx="7">
                  <c:v>395.01133626354</c:v>
                </c:pt>
                <c:pt idx="8">
                  <c:v>393.906433666286</c:v>
                </c:pt>
                <c:pt idx="9">
                  <c:v>397.531564396798</c:v>
                </c:pt>
                <c:pt idx="10">
                  <c:v>388.22449947924</c:v>
                </c:pt>
                <c:pt idx="11">
                  <c:v>391.506934186717</c:v>
                </c:pt>
                <c:pt idx="12">
                  <c:v>398.175817923687</c:v>
                </c:pt>
                <c:pt idx="13">
                  <c:v>403.926672776903</c:v>
                </c:pt>
                <c:pt idx="14">
                  <c:v>401.641626621224</c:v>
                </c:pt>
                <c:pt idx="15">
                  <c:v>395.047069252137</c:v>
                </c:pt>
                <c:pt idx="16">
                  <c:v>407.053533002176</c:v>
                </c:pt>
                <c:pt idx="17">
                  <c:v>399.218492326966</c:v>
                </c:pt>
                <c:pt idx="18">
                  <c:v>395.80662446411</c:v>
                </c:pt>
                <c:pt idx="19">
                  <c:v>401.673273833079</c:v>
                </c:pt>
                <c:pt idx="20">
                  <c:v>388.722629170922</c:v>
                </c:pt>
                <c:pt idx="21">
                  <c:v>383.368287860892</c:v>
                </c:pt>
                <c:pt idx="22">
                  <c:v>390.508732236725</c:v>
                </c:pt>
                <c:pt idx="23">
                  <c:v>384.637041280012</c:v>
                </c:pt>
                <c:pt idx="24">
                  <c:v>384.99143576684</c:v>
                </c:pt>
                <c:pt idx="25">
                  <c:v>393.415385994255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2015 no mor'!$AH$2:$AH$3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2015 no mor'!$AD$4:$AD$29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2015 no mor'!$AH$4:$AH$29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691.009624226524</c:v>
                </c:pt>
                <c:pt idx="2">
                  <c:v>723.361890659698</c:v>
                </c:pt>
                <c:pt idx="3">
                  <c:v>668.165951066362</c:v>
                </c:pt>
                <c:pt idx="4">
                  <c:v>637.851099122023</c:v>
                </c:pt>
                <c:pt idx="5">
                  <c:v>629.309774036766</c:v>
                </c:pt>
                <c:pt idx="6">
                  <c:v>664.13766466099</c:v>
                </c:pt>
                <c:pt idx="7">
                  <c:v>660.191268651721</c:v>
                </c:pt>
                <c:pt idx="8">
                  <c:v>674.561795732923</c:v>
                </c:pt>
                <c:pt idx="9">
                  <c:v>658.274102203712</c:v>
                </c:pt>
                <c:pt idx="10">
                  <c:v>670.864773874147</c:v>
                </c:pt>
                <c:pt idx="11">
                  <c:v>664.369766921518</c:v>
                </c:pt>
                <c:pt idx="12">
                  <c:v>685.594059262789</c:v>
                </c:pt>
                <c:pt idx="13">
                  <c:v>681.387803146695</c:v>
                </c:pt>
                <c:pt idx="14">
                  <c:v>698.40786376313</c:v>
                </c:pt>
                <c:pt idx="15">
                  <c:v>708.09443454718</c:v>
                </c:pt>
                <c:pt idx="16">
                  <c:v>705.90772537947</c:v>
                </c:pt>
                <c:pt idx="17">
                  <c:v>702.92543209574</c:v>
                </c:pt>
                <c:pt idx="18">
                  <c:v>709.073193248436</c:v>
                </c:pt>
                <c:pt idx="19">
                  <c:v>705.93803687566</c:v>
                </c:pt>
                <c:pt idx="20">
                  <c:v>705.590439678388</c:v>
                </c:pt>
                <c:pt idx="21">
                  <c:v>729.801711748464</c:v>
                </c:pt>
                <c:pt idx="22">
                  <c:v>748.711165133024</c:v>
                </c:pt>
                <c:pt idx="23">
                  <c:v>759.430036017168</c:v>
                </c:pt>
                <c:pt idx="24">
                  <c:v>750.046107273345</c:v>
                </c:pt>
                <c:pt idx="25">
                  <c:v>754.441395036816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2015 no mor'!$AI$2:$AI$3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2015 no mor'!$AD$4:$AD$29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2015 no mor'!$AI$4:$AI$29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502.353825138209</c:v>
                </c:pt>
                <c:pt idx="4">
                  <c:v>471.900482751841</c:v>
                </c:pt>
                <c:pt idx="5">
                  <c:v>470.901873901174</c:v>
                </c:pt>
                <c:pt idx="6">
                  <c:v>469.584861279681</c:v>
                </c:pt>
                <c:pt idx="7">
                  <c:v>470.490612531999</c:v>
                </c:pt>
                <c:pt idx="8">
                  <c:v>471.16158982069</c:v>
                </c:pt>
                <c:pt idx="9">
                  <c:v>472.054583052306</c:v>
                </c:pt>
                <c:pt idx="10">
                  <c:v>468.394730214469</c:v>
                </c:pt>
                <c:pt idx="11">
                  <c:v>471.738230498485</c:v>
                </c:pt>
                <c:pt idx="12">
                  <c:v>475.140507662956</c:v>
                </c:pt>
                <c:pt idx="13">
                  <c:v>481.051585410138</c:v>
                </c:pt>
                <c:pt idx="14">
                  <c:v>479.240777872626</c:v>
                </c:pt>
                <c:pt idx="15">
                  <c:v>475.350670915393</c:v>
                </c:pt>
                <c:pt idx="16">
                  <c:v>482.219664199906</c:v>
                </c:pt>
                <c:pt idx="17">
                  <c:v>476.730060099811</c:v>
                </c:pt>
                <c:pt idx="18">
                  <c:v>468.580266019575</c:v>
                </c:pt>
                <c:pt idx="19">
                  <c:v>472.392063925446</c:v>
                </c:pt>
                <c:pt idx="20">
                  <c:v>464.235681364656</c:v>
                </c:pt>
                <c:pt idx="21">
                  <c:v>460.712256960905</c:v>
                </c:pt>
                <c:pt idx="22">
                  <c:v>466.316303638814</c:v>
                </c:pt>
                <c:pt idx="23">
                  <c:v>461.297131943345</c:v>
                </c:pt>
                <c:pt idx="24">
                  <c:v>463.03650920108</c:v>
                </c:pt>
                <c:pt idx="25">
                  <c:v>464.392475709395</c:v>
                </c:pt>
              </c:numCache>
            </c:numRef>
          </c:yVal>
          <c:smooth val="0"/>
        </c:ser>
        <c:axId val="21305880"/>
        <c:axId val="67377159"/>
      </c:scatterChart>
      <c:valAx>
        <c:axId val="21305880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377159"/>
        <c:crosses val="autoZero"/>
      </c:valAx>
      <c:valAx>
        <c:axId val="67377159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058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2015 no mor'!$N$2:$N$3</c:f>
              <c:strCache>
                <c:ptCount val="1"/>
                <c:pt idx="0">
                  <c:v>Mean family benefit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mor'!$N$4:$N$29</c:f>
              <c:numCache>
                <c:formatCode>General</c:formatCode>
                <c:ptCount val="26"/>
                <c:pt idx="0">
                  <c:v>450.921524738574</c:v>
                </c:pt>
                <c:pt idx="1">
                  <c:v>479.281535133215</c:v>
                </c:pt>
                <c:pt idx="2">
                  <c:v>533.911175145222</c:v>
                </c:pt>
                <c:pt idx="3">
                  <c:v>494.298384203906</c:v>
                </c:pt>
                <c:pt idx="4">
                  <c:v>468.011340962095</c:v>
                </c:pt>
                <c:pt idx="5">
                  <c:v>465.037901374213</c:v>
                </c:pt>
                <c:pt idx="6">
                  <c:v>464.009557824818</c:v>
                </c:pt>
                <c:pt idx="7">
                  <c:v>461.302791684167</c:v>
                </c:pt>
                <c:pt idx="8">
                  <c:v>461.664616489065</c:v>
                </c:pt>
                <c:pt idx="9">
                  <c:v>464.318538089749</c:v>
                </c:pt>
                <c:pt idx="10">
                  <c:v>465.213604852486</c:v>
                </c:pt>
                <c:pt idx="11">
                  <c:v>459.352427122137</c:v>
                </c:pt>
                <c:pt idx="12">
                  <c:v>458.180395800601</c:v>
                </c:pt>
                <c:pt idx="13">
                  <c:v>455.735874892409</c:v>
                </c:pt>
                <c:pt idx="14">
                  <c:v>453.178058827621</c:v>
                </c:pt>
                <c:pt idx="15">
                  <c:v>456.080153334965</c:v>
                </c:pt>
                <c:pt idx="16">
                  <c:v>457.295510957812</c:v>
                </c:pt>
                <c:pt idx="17">
                  <c:v>458.309587323498</c:v>
                </c:pt>
                <c:pt idx="18">
                  <c:v>452.833251068192</c:v>
                </c:pt>
                <c:pt idx="19">
                  <c:v>452.629846382166</c:v>
                </c:pt>
                <c:pt idx="20">
                  <c:v>460.1107004147</c:v>
                </c:pt>
                <c:pt idx="21">
                  <c:v>454.979874580934</c:v>
                </c:pt>
                <c:pt idx="22">
                  <c:v>453.847656867605</c:v>
                </c:pt>
                <c:pt idx="23">
                  <c:v>454.784539681404</c:v>
                </c:pt>
                <c:pt idx="24">
                  <c:v>451.499026313096</c:v>
                </c:pt>
                <c:pt idx="25">
                  <c:v>447.6935524371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2015 no mor'!$O$2:$O$3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mor'!$O$4:$O$29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367.075171920782</c:v>
                </c:pt>
                <c:pt idx="2">
                  <c:v>471.898233073207</c:v>
                </c:pt>
                <c:pt idx="3">
                  <c:v>432.573823742024</c:v>
                </c:pt>
                <c:pt idx="4">
                  <c:v>400.062909823659</c:v>
                </c:pt>
                <c:pt idx="5">
                  <c:v>399.754498082006</c:v>
                </c:pt>
                <c:pt idx="6">
                  <c:v>391.983544034281</c:v>
                </c:pt>
                <c:pt idx="7">
                  <c:v>383.855742493485</c:v>
                </c:pt>
                <c:pt idx="8">
                  <c:v>385.087449519261</c:v>
                </c:pt>
                <c:pt idx="9">
                  <c:v>391.322173459561</c:v>
                </c:pt>
                <c:pt idx="10">
                  <c:v>388.275848730203</c:v>
                </c:pt>
                <c:pt idx="11">
                  <c:v>382.909033701278</c:v>
                </c:pt>
                <c:pt idx="12">
                  <c:v>372.858865383737</c:v>
                </c:pt>
                <c:pt idx="13">
                  <c:v>370.086305937103</c:v>
                </c:pt>
                <c:pt idx="14">
                  <c:v>362.456752086317</c:v>
                </c:pt>
                <c:pt idx="15">
                  <c:v>364.098654056017</c:v>
                </c:pt>
                <c:pt idx="16">
                  <c:v>362.427802051298</c:v>
                </c:pt>
                <c:pt idx="17">
                  <c:v>372.123292012086</c:v>
                </c:pt>
                <c:pt idx="18">
                  <c:v>370.539459680338</c:v>
                </c:pt>
                <c:pt idx="19">
                  <c:v>364.886167116278</c:v>
                </c:pt>
                <c:pt idx="20">
                  <c:v>379.21252785722</c:v>
                </c:pt>
                <c:pt idx="21">
                  <c:v>373.369786035362</c:v>
                </c:pt>
                <c:pt idx="22">
                  <c:v>367.217912631007</c:v>
                </c:pt>
                <c:pt idx="23">
                  <c:v>364.725922473296</c:v>
                </c:pt>
                <c:pt idx="24">
                  <c:v>357.558447109634</c:v>
                </c:pt>
                <c:pt idx="25">
                  <c:v>347.319722977864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2015 no mor'!$P$2:$P$3</c:f>
              <c:strCache>
                <c:ptCount val="1"/>
                <c:pt idx="0">
                  <c:v>Mean 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691.009624226524</c:v>
                </c:pt>
                <c:pt idx="2">
                  <c:v>723.361890659698</c:v>
                </c:pt>
                <c:pt idx="3">
                  <c:v>668.165951066362</c:v>
                </c:pt>
                <c:pt idx="4">
                  <c:v>636.857483836155</c:v>
                </c:pt>
                <c:pt idx="5">
                  <c:v>624.584759376164</c:v>
                </c:pt>
                <c:pt idx="6">
                  <c:v>638.819132682432</c:v>
                </c:pt>
                <c:pt idx="7">
                  <c:v>636.416061032192</c:v>
                </c:pt>
                <c:pt idx="8">
                  <c:v>650.264381958547</c:v>
                </c:pt>
                <c:pt idx="9">
                  <c:v>636.616864729627</c:v>
                </c:pt>
                <c:pt idx="10">
                  <c:v>638.735937391738</c:v>
                </c:pt>
                <c:pt idx="11">
                  <c:v>640.77330853765</c:v>
                </c:pt>
                <c:pt idx="12">
                  <c:v>649.399420944916</c:v>
                </c:pt>
                <c:pt idx="13">
                  <c:v>646.055243028795</c:v>
                </c:pt>
                <c:pt idx="14">
                  <c:v>640.861542549662</c:v>
                </c:pt>
                <c:pt idx="15">
                  <c:v>632.443186254696</c:v>
                </c:pt>
                <c:pt idx="16">
                  <c:v>656.313497623696</c:v>
                </c:pt>
                <c:pt idx="17">
                  <c:v>651.652199129878</c:v>
                </c:pt>
                <c:pt idx="18">
                  <c:v>649.831708190821</c:v>
                </c:pt>
                <c:pt idx="19">
                  <c:v>645.220305727339</c:v>
                </c:pt>
                <c:pt idx="20">
                  <c:v>642.877205925088</c:v>
                </c:pt>
                <c:pt idx="21">
                  <c:v>646.039369146068</c:v>
                </c:pt>
                <c:pt idx="22">
                  <c:v>639.606687692622</c:v>
                </c:pt>
                <c:pt idx="23">
                  <c:v>651.206382192133</c:v>
                </c:pt>
                <c:pt idx="24">
                  <c:v>647.946578394871</c:v>
                </c:pt>
                <c:pt idx="25">
                  <c:v>659.402756082481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2015 no mor'!$Q$2:$Q$3</c:f>
              <c:strCache>
                <c:ptCount val="1"/>
                <c:pt idx="0">
                  <c:v>Mean 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502.427760145741</c:v>
                </c:pt>
                <c:pt idx="4">
                  <c:v>472.080486696257</c:v>
                </c:pt>
                <c:pt idx="5">
                  <c:v>469.334436066275</c:v>
                </c:pt>
                <c:pt idx="6">
                  <c:v>465.566852465533</c:v>
                </c:pt>
                <c:pt idx="7">
                  <c:v>457.662923030033</c:v>
                </c:pt>
                <c:pt idx="8">
                  <c:v>460.342627249869</c:v>
                </c:pt>
                <c:pt idx="9">
                  <c:v>464.868560524528</c:v>
                </c:pt>
                <c:pt idx="10">
                  <c:v>465.433373092175</c:v>
                </c:pt>
                <c:pt idx="11">
                  <c:v>458.935298648513</c:v>
                </c:pt>
                <c:pt idx="12">
                  <c:v>451.636382570962</c:v>
                </c:pt>
                <c:pt idx="13">
                  <c:v>447.433522233637</c:v>
                </c:pt>
                <c:pt idx="14">
                  <c:v>444.333270354553</c:v>
                </c:pt>
                <c:pt idx="15">
                  <c:v>442.131257242349</c:v>
                </c:pt>
                <c:pt idx="16">
                  <c:v>444.021994729501</c:v>
                </c:pt>
                <c:pt idx="17">
                  <c:v>449.363219567463</c:v>
                </c:pt>
                <c:pt idx="18">
                  <c:v>448.075395577405</c:v>
                </c:pt>
                <c:pt idx="19">
                  <c:v>448.8151402483</c:v>
                </c:pt>
                <c:pt idx="20">
                  <c:v>448.507574549963</c:v>
                </c:pt>
                <c:pt idx="21">
                  <c:v>442.778763102141</c:v>
                </c:pt>
                <c:pt idx="22">
                  <c:v>438.438212864989</c:v>
                </c:pt>
                <c:pt idx="23">
                  <c:v>438.681966933002</c:v>
                </c:pt>
                <c:pt idx="24">
                  <c:v>434.469347716745</c:v>
                </c:pt>
                <c:pt idx="25">
                  <c:v>430.535336527801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2015 no mor'!$M$2:$M$3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mor'!$L$4:$L$29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mor'!$M$4:$M$29</c:f>
              <c:numCache>
                <c:formatCode>General</c:formatCode>
                <c:ptCount val="26"/>
                <c:pt idx="0">
                  <c:v>6417.63821809933</c:v>
                </c:pt>
                <c:pt idx="1">
                  <c:v>5983.611423093</c:v>
                </c:pt>
                <c:pt idx="2">
                  <c:v>6164.55033529941</c:v>
                </c:pt>
                <c:pt idx="3">
                  <c:v>6166.48290789412</c:v>
                </c:pt>
                <c:pt idx="4">
                  <c:v>6203.06749871376</c:v>
                </c:pt>
                <c:pt idx="5">
                  <c:v>6139.31505032642</c:v>
                </c:pt>
                <c:pt idx="6">
                  <c:v>6118.07853413851</c:v>
                </c:pt>
                <c:pt idx="7">
                  <c:v>6103.29886900254</c:v>
                </c:pt>
                <c:pt idx="8">
                  <c:v>6083.45020767002</c:v>
                </c:pt>
                <c:pt idx="9">
                  <c:v>6038.25666151764</c:v>
                </c:pt>
                <c:pt idx="10">
                  <c:v>6021.46262109317</c:v>
                </c:pt>
                <c:pt idx="11">
                  <c:v>5998.02714542514</c:v>
                </c:pt>
                <c:pt idx="12">
                  <c:v>6009.09461922172</c:v>
                </c:pt>
                <c:pt idx="13">
                  <c:v>5984.8023801576</c:v>
                </c:pt>
                <c:pt idx="14">
                  <c:v>5968.51960239985</c:v>
                </c:pt>
                <c:pt idx="15">
                  <c:v>5978.45853689952</c:v>
                </c:pt>
                <c:pt idx="16">
                  <c:v>5954.15151075263</c:v>
                </c:pt>
                <c:pt idx="17">
                  <c:v>5926.90311275476</c:v>
                </c:pt>
                <c:pt idx="18">
                  <c:v>5907.82121992435</c:v>
                </c:pt>
                <c:pt idx="19">
                  <c:v>5890.13401577829</c:v>
                </c:pt>
                <c:pt idx="20">
                  <c:v>5867.71818868384</c:v>
                </c:pt>
                <c:pt idx="21">
                  <c:v>5848.13258704211</c:v>
                </c:pt>
                <c:pt idx="22">
                  <c:v>5818.44044535777</c:v>
                </c:pt>
                <c:pt idx="23">
                  <c:v>5796.28593497703</c:v>
                </c:pt>
                <c:pt idx="24">
                  <c:v>5749.22800874042</c:v>
                </c:pt>
                <c:pt idx="25">
                  <c:v>5731.56175202057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3814181"/>
        <c:axId val="50455043"/>
      </c:lineChart>
      <c:catAx>
        <c:axId val="938141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455043"/>
        <c:crosses val="autoZero"/>
        <c:auto val="1"/>
        <c:lblAlgn val="ctr"/>
        <c:lblOffset val="100"/>
      </c:catAx>
      <c:valAx>
        <c:axId val="5045504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814181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benefits 2015 no mor'!$AX$2:$AX$3</c:f>
              <c:strCache>
                <c:ptCount val="1"/>
                <c:pt idx="0">
                  <c:v>Mean family benefit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mor'!$AX$4:$AX$29</c:f>
              <c:numCache>
                <c:formatCode>General</c:formatCode>
                <c:ptCount val="26"/>
                <c:pt idx="0">
                  <c:v>450.921524738574</c:v>
                </c:pt>
                <c:pt idx="1">
                  <c:v>479.281535133215</c:v>
                </c:pt>
                <c:pt idx="2">
                  <c:v>533.911175145222</c:v>
                </c:pt>
                <c:pt idx="3">
                  <c:v>494.037232123814</c:v>
                </c:pt>
                <c:pt idx="4">
                  <c:v>468.193519308143</c:v>
                </c:pt>
                <c:pt idx="5">
                  <c:v>468.145091695045</c:v>
                </c:pt>
                <c:pt idx="6">
                  <c:v>473.787650956379</c:v>
                </c:pt>
                <c:pt idx="7">
                  <c:v>478.221536881373</c:v>
                </c:pt>
                <c:pt idx="8">
                  <c:v>480.618727483305</c:v>
                </c:pt>
                <c:pt idx="9">
                  <c:v>483.019130299583</c:v>
                </c:pt>
                <c:pt idx="10">
                  <c:v>493.056230718357</c:v>
                </c:pt>
                <c:pt idx="11">
                  <c:v>499.011005540195</c:v>
                </c:pt>
                <c:pt idx="12">
                  <c:v>497.746148501406</c:v>
                </c:pt>
                <c:pt idx="13">
                  <c:v>503.437719885511</c:v>
                </c:pt>
                <c:pt idx="14">
                  <c:v>509.766648998948</c:v>
                </c:pt>
                <c:pt idx="15">
                  <c:v>508.270325877354</c:v>
                </c:pt>
                <c:pt idx="16">
                  <c:v>516.577762177365</c:v>
                </c:pt>
                <c:pt idx="17">
                  <c:v>513.523616965447</c:v>
                </c:pt>
                <c:pt idx="18">
                  <c:v>524.90502215674</c:v>
                </c:pt>
                <c:pt idx="19">
                  <c:v>520.125033097339</c:v>
                </c:pt>
                <c:pt idx="20">
                  <c:v>515.732289179766</c:v>
                </c:pt>
                <c:pt idx="21">
                  <c:v>521.631747530675</c:v>
                </c:pt>
                <c:pt idx="22">
                  <c:v>520.97157345214</c:v>
                </c:pt>
                <c:pt idx="23">
                  <c:v>526.101548345913</c:v>
                </c:pt>
                <c:pt idx="24">
                  <c:v>532.221136631121</c:v>
                </c:pt>
                <c:pt idx="25">
                  <c:v>531.312096689321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benefits 2015 no mor'!$AY$2:$AY$3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mor'!$AY$4:$AY$29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367.075171920782</c:v>
                </c:pt>
                <c:pt idx="2">
                  <c:v>471.898233073207</c:v>
                </c:pt>
                <c:pt idx="3">
                  <c:v>432.223041059169</c:v>
                </c:pt>
                <c:pt idx="4">
                  <c:v>400.210613863656</c:v>
                </c:pt>
                <c:pt idx="5">
                  <c:v>402.8382611057</c:v>
                </c:pt>
                <c:pt idx="6">
                  <c:v>402.018425505819</c:v>
                </c:pt>
                <c:pt idx="7">
                  <c:v>404.775912519838</c:v>
                </c:pt>
                <c:pt idx="8">
                  <c:v>407.025469268715</c:v>
                </c:pt>
                <c:pt idx="9">
                  <c:v>405.316032469358</c:v>
                </c:pt>
                <c:pt idx="10">
                  <c:v>408.025939653668</c:v>
                </c:pt>
                <c:pt idx="11">
                  <c:v>410.267400336486</c:v>
                </c:pt>
                <c:pt idx="12">
                  <c:v>403.772967727857</c:v>
                </c:pt>
                <c:pt idx="13">
                  <c:v>412.472568402867</c:v>
                </c:pt>
                <c:pt idx="14">
                  <c:v>423.849824476349</c:v>
                </c:pt>
                <c:pt idx="15">
                  <c:v>432.379477541245</c:v>
                </c:pt>
                <c:pt idx="16">
                  <c:v>424.345686950283</c:v>
                </c:pt>
                <c:pt idx="17">
                  <c:v>424.219295323956</c:v>
                </c:pt>
                <c:pt idx="18">
                  <c:v>427.88444859356</c:v>
                </c:pt>
                <c:pt idx="19">
                  <c:v>427.695365107496</c:v>
                </c:pt>
                <c:pt idx="20">
                  <c:v>418.216359476833</c:v>
                </c:pt>
                <c:pt idx="21">
                  <c:v>435.341736907467</c:v>
                </c:pt>
                <c:pt idx="22">
                  <c:v>433.244749567549</c:v>
                </c:pt>
                <c:pt idx="23">
                  <c:v>442.391734358093</c:v>
                </c:pt>
                <c:pt idx="24">
                  <c:v>437.546022687302</c:v>
                </c:pt>
                <c:pt idx="25">
                  <c:v>437.280666021003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2015 no mor'!$AZ$2:$AZ$3</c:f>
              <c:strCache>
                <c:ptCount val="1"/>
                <c:pt idx="0">
                  <c:v>Mean AUH benefits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691.009624226524</c:v>
                </c:pt>
                <c:pt idx="2">
                  <c:v>723.361890659698</c:v>
                </c:pt>
                <c:pt idx="3">
                  <c:v>668.165951066362</c:v>
                </c:pt>
                <c:pt idx="4">
                  <c:v>638.768712393704</c:v>
                </c:pt>
                <c:pt idx="5">
                  <c:v>636.267742671484</c:v>
                </c:pt>
                <c:pt idx="6">
                  <c:v>670.540274799211</c:v>
                </c:pt>
                <c:pt idx="7">
                  <c:v>673.646023514012</c:v>
                </c:pt>
                <c:pt idx="8">
                  <c:v>681.663898148141</c:v>
                </c:pt>
                <c:pt idx="9">
                  <c:v>692.697915710251</c:v>
                </c:pt>
                <c:pt idx="10">
                  <c:v>704.080710523451</c:v>
                </c:pt>
                <c:pt idx="11">
                  <c:v>717.521017172358</c:v>
                </c:pt>
                <c:pt idx="12">
                  <c:v>735.057670488776</c:v>
                </c:pt>
                <c:pt idx="13">
                  <c:v>735.910342115831</c:v>
                </c:pt>
                <c:pt idx="14">
                  <c:v>752.791699400887</c:v>
                </c:pt>
                <c:pt idx="15">
                  <c:v>759.479848417491</c:v>
                </c:pt>
                <c:pt idx="16">
                  <c:v>787.19545788717</c:v>
                </c:pt>
                <c:pt idx="17">
                  <c:v>770.860630290808</c:v>
                </c:pt>
                <c:pt idx="18">
                  <c:v>790.879634054089</c:v>
                </c:pt>
                <c:pt idx="19">
                  <c:v>804.971703464612</c:v>
                </c:pt>
                <c:pt idx="20">
                  <c:v>821.772891926604</c:v>
                </c:pt>
                <c:pt idx="21">
                  <c:v>842.241483006452</c:v>
                </c:pt>
                <c:pt idx="22">
                  <c:v>839.257417576503</c:v>
                </c:pt>
                <c:pt idx="23">
                  <c:v>840.460786014126</c:v>
                </c:pt>
                <c:pt idx="24">
                  <c:v>863.699734547307</c:v>
                </c:pt>
                <c:pt idx="25">
                  <c:v>911.720150080049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2015 no mor'!$BA$2:$BA$3</c:f>
              <c:strCache>
                <c:ptCount val="1"/>
                <c:pt idx="0">
                  <c:v>Mean child benefits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502.224016967494</c:v>
                </c:pt>
                <c:pt idx="4">
                  <c:v>472.451989324421</c:v>
                </c:pt>
                <c:pt idx="5">
                  <c:v>472.862543677026</c:v>
                </c:pt>
                <c:pt idx="6">
                  <c:v>475.433442608338</c:v>
                </c:pt>
                <c:pt idx="7">
                  <c:v>477.315770872671</c:v>
                </c:pt>
                <c:pt idx="8">
                  <c:v>479.876047665838</c:v>
                </c:pt>
                <c:pt idx="9">
                  <c:v>478.78509617175</c:v>
                </c:pt>
                <c:pt idx="10">
                  <c:v>483.390101077981</c:v>
                </c:pt>
                <c:pt idx="11">
                  <c:v>487.650654636391</c:v>
                </c:pt>
                <c:pt idx="12">
                  <c:v>487.784429134837</c:v>
                </c:pt>
                <c:pt idx="13">
                  <c:v>493.787419905496</c:v>
                </c:pt>
                <c:pt idx="14">
                  <c:v>500.639865884431</c:v>
                </c:pt>
                <c:pt idx="15">
                  <c:v>499.081236269981</c:v>
                </c:pt>
                <c:pt idx="16">
                  <c:v>500.963805136173</c:v>
                </c:pt>
                <c:pt idx="17">
                  <c:v>496.049427757519</c:v>
                </c:pt>
                <c:pt idx="18">
                  <c:v>501.999474883763</c:v>
                </c:pt>
                <c:pt idx="19">
                  <c:v>496.853715259982</c:v>
                </c:pt>
                <c:pt idx="20">
                  <c:v>486.729214985915</c:v>
                </c:pt>
                <c:pt idx="21">
                  <c:v>499.276360920978</c:v>
                </c:pt>
                <c:pt idx="22">
                  <c:v>500.0089656614</c:v>
                </c:pt>
                <c:pt idx="23">
                  <c:v>500.115009102291</c:v>
                </c:pt>
                <c:pt idx="24">
                  <c:v>504.330297184735</c:v>
                </c:pt>
                <c:pt idx="25">
                  <c:v>505.622578454685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2015 no mor'!$AW$2:$AW$3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2015 no mor'!$AV$4:$AV$29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benefits 2015 no mor'!$AW$4:$AW$29</c:f>
              <c:numCache>
                <c:formatCode>General</c:formatCode>
                <c:ptCount val="26"/>
                <c:pt idx="0">
                  <c:v>6417.63821809933</c:v>
                </c:pt>
                <c:pt idx="1">
                  <c:v>5983.611423093</c:v>
                </c:pt>
                <c:pt idx="2">
                  <c:v>6164.55033529941</c:v>
                </c:pt>
                <c:pt idx="3">
                  <c:v>6172.25614949862</c:v>
                </c:pt>
                <c:pt idx="4">
                  <c:v>6292.1005518045</c:v>
                </c:pt>
                <c:pt idx="5">
                  <c:v>6347.46379061119</c:v>
                </c:pt>
                <c:pt idx="6">
                  <c:v>6464.09323920289</c:v>
                </c:pt>
                <c:pt idx="7">
                  <c:v>6573.49015504555</c:v>
                </c:pt>
                <c:pt idx="8">
                  <c:v>6681.85420365535</c:v>
                </c:pt>
                <c:pt idx="9">
                  <c:v>6793.25519905674</c:v>
                </c:pt>
                <c:pt idx="10">
                  <c:v>6919.96152298802</c:v>
                </c:pt>
                <c:pt idx="11">
                  <c:v>7036.51647644106</c:v>
                </c:pt>
                <c:pt idx="12">
                  <c:v>7154.1475674145</c:v>
                </c:pt>
                <c:pt idx="13">
                  <c:v>7315.79990275355</c:v>
                </c:pt>
                <c:pt idx="14">
                  <c:v>7432.76283877648</c:v>
                </c:pt>
                <c:pt idx="15">
                  <c:v>7563.82109404858</c:v>
                </c:pt>
                <c:pt idx="16">
                  <c:v>7671.90167571047</c:v>
                </c:pt>
                <c:pt idx="17">
                  <c:v>7816.46196447408</c:v>
                </c:pt>
                <c:pt idx="18">
                  <c:v>7959.69869328274</c:v>
                </c:pt>
                <c:pt idx="19">
                  <c:v>8045.22943950263</c:v>
                </c:pt>
                <c:pt idx="20">
                  <c:v>8203.2619593676</c:v>
                </c:pt>
                <c:pt idx="21">
                  <c:v>8363.65126543084</c:v>
                </c:pt>
                <c:pt idx="22">
                  <c:v>8468.94205629996</c:v>
                </c:pt>
                <c:pt idx="23">
                  <c:v>8603.3468652015</c:v>
                </c:pt>
                <c:pt idx="24">
                  <c:v>8726.68533176853</c:v>
                </c:pt>
                <c:pt idx="25">
                  <c:v>8851.58736322227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7287267"/>
        <c:axId val="7142249"/>
      </c:lineChart>
      <c:catAx>
        <c:axId val="172872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42249"/>
        <c:crosses val="autoZero"/>
        <c:auto val="1"/>
        <c:lblAlgn val="ctr"/>
        <c:lblOffset val="100"/>
      </c:catAx>
      <c:valAx>
        <c:axId val="714224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287267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 compare all'!$B$3:$B$4</c:f>
              <c:strCache>
                <c:ptCount val="1"/>
                <c:pt idx="0">
                  <c:v>Contributory child benefits, 2019 legislation</c:v>
                </c:pt>
              </c:strCache>
            </c:strRef>
          </c:tx>
          <c:spPr>
            <a:solidFill>
              <a:srgbClr val="c0504d"/>
            </a:solidFill>
            <a:ln w="763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all'!$B$5:$B$30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2252.22299345299</c:v>
                </c:pt>
                <c:pt idx="4">
                  <c:v>1881.54366369364</c:v>
                </c:pt>
                <c:pt idx="5">
                  <c:v>1779.89285036087</c:v>
                </c:pt>
                <c:pt idx="6">
                  <c:v>1878.45445562438</c:v>
                </c:pt>
                <c:pt idx="7">
                  <c:v>1968.59183306929</c:v>
                </c:pt>
                <c:pt idx="8">
                  <c:v>1998.42090621001</c:v>
                </c:pt>
                <c:pt idx="9">
                  <c:v>2063.71083322299</c:v>
                </c:pt>
                <c:pt idx="10">
                  <c:v>2112.63296274602</c:v>
                </c:pt>
                <c:pt idx="11">
                  <c:v>2149.76288844686</c:v>
                </c:pt>
                <c:pt idx="12">
                  <c:v>2122.08274248165</c:v>
                </c:pt>
                <c:pt idx="13">
                  <c:v>2161.51547785801</c:v>
                </c:pt>
                <c:pt idx="14">
                  <c:v>2172.61062668188</c:v>
                </c:pt>
                <c:pt idx="15">
                  <c:v>2151.20533863579</c:v>
                </c:pt>
                <c:pt idx="16">
                  <c:v>2147.51245202243</c:v>
                </c:pt>
                <c:pt idx="17">
                  <c:v>2101.90531291416</c:v>
                </c:pt>
                <c:pt idx="18">
                  <c:v>2082.59850686854</c:v>
                </c:pt>
                <c:pt idx="19">
                  <c:v>2132.821683445</c:v>
                </c:pt>
                <c:pt idx="20">
                  <c:v>2165.71437342339</c:v>
                </c:pt>
                <c:pt idx="21">
                  <c:v>2142.6535043263</c:v>
                </c:pt>
                <c:pt idx="22">
                  <c:v>2149.87059334986</c:v>
                </c:pt>
                <c:pt idx="23">
                  <c:v>2171.79512222444</c:v>
                </c:pt>
                <c:pt idx="24">
                  <c:v>2150.22437404104</c:v>
                </c:pt>
                <c:pt idx="25">
                  <c:v>2167.85540310873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 compare all'!$D$3:$D$4</c:f>
              <c:strCache>
                <c:ptCount val="1"/>
                <c:pt idx="0">
                  <c:v>Contributory child benefits, 2015 legislation with moratoriums</c:v>
                </c:pt>
              </c:strCache>
            </c:strRef>
          </c:tx>
          <c:spPr>
            <a:solidFill>
              <a:srgbClr val="c0504d"/>
            </a:solidFill>
            <a:ln w="3600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all'!$D$5:$D$30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2166.11173297133</c:v>
                </c:pt>
                <c:pt idx="5">
                  <c:v>2056.29478638525</c:v>
                </c:pt>
                <c:pt idx="6">
                  <c:v>2082.22351531067</c:v>
                </c:pt>
                <c:pt idx="7">
                  <c:v>2173.5150562112</c:v>
                </c:pt>
                <c:pt idx="8">
                  <c:v>2266.76901657319</c:v>
                </c:pt>
                <c:pt idx="9">
                  <c:v>2442.51190936594</c:v>
                </c:pt>
                <c:pt idx="10">
                  <c:v>2583.70616086391</c:v>
                </c:pt>
                <c:pt idx="11">
                  <c:v>2609.64094622704</c:v>
                </c:pt>
                <c:pt idx="12">
                  <c:v>2674.66781051349</c:v>
                </c:pt>
                <c:pt idx="13">
                  <c:v>2755.61904797549</c:v>
                </c:pt>
                <c:pt idx="14">
                  <c:v>2777.00287688442</c:v>
                </c:pt>
                <c:pt idx="15">
                  <c:v>2874.91881052726</c:v>
                </c:pt>
                <c:pt idx="16">
                  <c:v>2924.36349162551</c:v>
                </c:pt>
                <c:pt idx="17">
                  <c:v>2994.76577150591</c:v>
                </c:pt>
                <c:pt idx="18">
                  <c:v>2994.81978146825</c:v>
                </c:pt>
                <c:pt idx="19">
                  <c:v>3095.9347526643</c:v>
                </c:pt>
                <c:pt idx="20">
                  <c:v>3116.22095154122</c:v>
                </c:pt>
                <c:pt idx="21">
                  <c:v>3174.51031360401</c:v>
                </c:pt>
                <c:pt idx="22">
                  <c:v>3169.4838268565</c:v>
                </c:pt>
                <c:pt idx="23">
                  <c:v>3201.22194619175</c:v>
                </c:pt>
                <c:pt idx="24">
                  <c:v>3218.88617524492</c:v>
                </c:pt>
                <c:pt idx="25">
                  <c:v>3230.71646292881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 compare all'!$F$3:$F$4</c:f>
              <c:strCache>
                <c:ptCount val="1"/>
                <c:pt idx="0">
                  <c:v>AUH benefits, 2019 legislation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all'!$F$5:$F$30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3193.88488219808</c:v>
                </c:pt>
                <c:pt idx="5">
                  <c:v>2677.377965863</c:v>
                </c:pt>
                <c:pt idx="6">
                  <c:v>2824.64832928567</c:v>
                </c:pt>
                <c:pt idx="7">
                  <c:v>2899.06517911425</c:v>
                </c:pt>
                <c:pt idx="8">
                  <c:v>2976.62029916451</c:v>
                </c:pt>
                <c:pt idx="9">
                  <c:v>3047.92537198161</c:v>
                </c:pt>
                <c:pt idx="10">
                  <c:v>3114.70476881488</c:v>
                </c:pt>
                <c:pt idx="11">
                  <c:v>3163.6486575374</c:v>
                </c:pt>
                <c:pt idx="12">
                  <c:v>3162.2546129127</c:v>
                </c:pt>
                <c:pt idx="13">
                  <c:v>3201.35712735484</c:v>
                </c:pt>
                <c:pt idx="14">
                  <c:v>3248.03404028102</c:v>
                </c:pt>
                <c:pt idx="15">
                  <c:v>3240.43366474543</c:v>
                </c:pt>
                <c:pt idx="16">
                  <c:v>3237.00771181584</c:v>
                </c:pt>
                <c:pt idx="17">
                  <c:v>3207.48401989667</c:v>
                </c:pt>
                <c:pt idx="18">
                  <c:v>3327.28303911291</c:v>
                </c:pt>
                <c:pt idx="19">
                  <c:v>3301.15220336746</c:v>
                </c:pt>
                <c:pt idx="20">
                  <c:v>3269.80603695781</c:v>
                </c:pt>
                <c:pt idx="21">
                  <c:v>3365.3090311564</c:v>
                </c:pt>
                <c:pt idx="22">
                  <c:v>3382.93836579409</c:v>
                </c:pt>
                <c:pt idx="23">
                  <c:v>3344.17227645758</c:v>
                </c:pt>
                <c:pt idx="24">
                  <c:v>3390.22515224179</c:v>
                </c:pt>
                <c:pt idx="25">
                  <c:v>3422.896231108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 compare all'!$H$3:$H$4</c:f>
              <c:strCache>
                <c:ptCount val="1"/>
                <c:pt idx="0">
                  <c:v>AUH benefits, 2015 legislation with moratoriums</c:v>
                </c:pt>
              </c:strCache>
            </c:strRef>
          </c:tx>
          <c:spPr>
            <a:solidFill>
              <a:srgbClr val="4f81bd"/>
            </a:solidFill>
            <a:ln w="3600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all'!$H$5:$H$30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3250.44313396963</c:v>
                </c:pt>
                <c:pt idx="5">
                  <c:v>3080.42314982073</c:v>
                </c:pt>
                <c:pt idx="6">
                  <c:v>3192.97811900307</c:v>
                </c:pt>
                <c:pt idx="7">
                  <c:v>3258.25762568132</c:v>
                </c:pt>
                <c:pt idx="8">
                  <c:v>3511.95167490549</c:v>
                </c:pt>
                <c:pt idx="9">
                  <c:v>3752.26832763654</c:v>
                </c:pt>
                <c:pt idx="10">
                  <c:v>3785.25149068834</c:v>
                </c:pt>
                <c:pt idx="11">
                  <c:v>3841.87224243256</c:v>
                </c:pt>
                <c:pt idx="12">
                  <c:v>4069.80699929698</c:v>
                </c:pt>
                <c:pt idx="13">
                  <c:v>4112.80348898513</c:v>
                </c:pt>
                <c:pt idx="14">
                  <c:v>4322.80097742788</c:v>
                </c:pt>
                <c:pt idx="15">
                  <c:v>4234.96731055539</c:v>
                </c:pt>
                <c:pt idx="16">
                  <c:v>4485.68346006369</c:v>
                </c:pt>
                <c:pt idx="17">
                  <c:v>4479.58374968346</c:v>
                </c:pt>
                <c:pt idx="18">
                  <c:v>4516.44278802662</c:v>
                </c:pt>
                <c:pt idx="19">
                  <c:v>4581.32458960229</c:v>
                </c:pt>
                <c:pt idx="20">
                  <c:v>4554.04993548409</c:v>
                </c:pt>
                <c:pt idx="21">
                  <c:v>4672.09034796675</c:v>
                </c:pt>
                <c:pt idx="22">
                  <c:v>4854.0755681484</c:v>
                </c:pt>
                <c:pt idx="23">
                  <c:v>4896.65163689107</c:v>
                </c:pt>
                <c:pt idx="24">
                  <c:v>4937.91668558416</c:v>
                </c:pt>
                <c:pt idx="25">
                  <c:v>4938.11914248159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 compare all'!$J$3:$J$4</c:f>
              <c:strCache>
                <c:ptCount val="1"/>
                <c:pt idx="0">
                  <c:v>Child benefits values, 2019 legislation</c:v>
                </c:pt>
              </c:strCache>
            </c:strRef>
          </c:tx>
          <c:spPr>
            <a:solidFill>
              <a:srgbClr val="9bbb59"/>
            </a:solidFill>
            <a:ln w="763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all'!$J$5:$J$30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2515.37149058918</c:v>
                </c:pt>
                <c:pt idx="4">
                  <c:v>2264.3173204628</c:v>
                </c:pt>
                <c:pt idx="5">
                  <c:v>2024.20854614857</c:v>
                </c:pt>
                <c:pt idx="6">
                  <c:v>2123.38081384108</c:v>
                </c:pt>
                <c:pt idx="7">
                  <c:v>2215.99594708714</c:v>
                </c:pt>
                <c:pt idx="8">
                  <c:v>2251.29569892301</c:v>
                </c:pt>
                <c:pt idx="9">
                  <c:v>2309.0042326218</c:v>
                </c:pt>
                <c:pt idx="10">
                  <c:v>2360.74335434248</c:v>
                </c:pt>
                <c:pt idx="11">
                  <c:v>2398.11179059832</c:v>
                </c:pt>
                <c:pt idx="12">
                  <c:v>2371.3518793181</c:v>
                </c:pt>
                <c:pt idx="13">
                  <c:v>2393.17864182804</c:v>
                </c:pt>
                <c:pt idx="14">
                  <c:v>2404.64075750734</c:v>
                </c:pt>
                <c:pt idx="15">
                  <c:v>2396.8470088461</c:v>
                </c:pt>
                <c:pt idx="16">
                  <c:v>2385.51731179492</c:v>
                </c:pt>
                <c:pt idx="17">
                  <c:v>2351.82501786388</c:v>
                </c:pt>
                <c:pt idx="18">
                  <c:v>2351.31889297456</c:v>
                </c:pt>
                <c:pt idx="19">
                  <c:v>2363.38201121437</c:v>
                </c:pt>
                <c:pt idx="20">
                  <c:v>2375.52808974885</c:v>
                </c:pt>
                <c:pt idx="21">
                  <c:v>2347.58035162072</c:v>
                </c:pt>
                <c:pt idx="22">
                  <c:v>2339.49851225055</c:v>
                </c:pt>
                <c:pt idx="23">
                  <c:v>2363.9682285031</c:v>
                </c:pt>
                <c:pt idx="24">
                  <c:v>2373.81377822549</c:v>
                </c:pt>
                <c:pt idx="25">
                  <c:v>2394.7560790983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'Child ben compare all'!$L$3:$L$4</c:f>
              <c:strCache>
                <c:ptCount val="1"/>
                <c:pt idx="0">
                  <c:v>Child benefits values, 2015 legislation with moratoriums</c:v>
                </c:pt>
              </c:strCache>
            </c:strRef>
          </c:tx>
          <c:spPr>
            <a:solidFill>
              <a:srgbClr val="669966"/>
            </a:solidFill>
            <a:ln w="36000">
              <a:solidFill>
                <a:srgbClr val="66996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all'!$L$5:$L$30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2463.02872747996</c:v>
                </c:pt>
                <c:pt idx="5">
                  <c:v>2359.02508075737</c:v>
                </c:pt>
                <c:pt idx="6">
                  <c:v>2387.5231275097</c:v>
                </c:pt>
                <c:pt idx="7">
                  <c:v>2470.04777220006</c:v>
                </c:pt>
                <c:pt idx="8">
                  <c:v>2595.42002032983</c:v>
                </c:pt>
                <c:pt idx="9">
                  <c:v>2762.22753544384</c:v>
                </c:pt>
                <c:pt idx="10">
                  <c:v>2870.47331573892</c:v>
                </c:pt>
                <c:pt idx="11">
                  <c:v>2913.64528689877</c:v>
                </c:pt>
                <c:pt idx="12">
                  <c:v>2987.27077903994</c:v>
                </c:pt>
                <c:pt idx="13">
                  <c:v>3037.78487369539</c:v>
                </c:pt>
                <c:pt idx="14">
                  <c:v>3054.03647098881</c:v>
                </c:pt>
                <c:pt idx="15">
                  <c:v>3123.06369281684</c:v>
                </c:pt>
                <c:pt idx="16">
                  <c:v>3200.58703746338</c:v>
                </c:pt>
                <c:pt idx="17">
                  <c:v>3227.24423470409</c:v>
                </c:pt>
                <c:pt idx="18">
                  <c:v>3236.88952624165</c:v>
                </c:pt>
                <c:pt idx="19">
                  <c:v>3309.80314229321</c:v>
                </c:pt>
                <c:pt idx="20">
                  <c:v>3339.00001616568</c:v>
                </c:pt>
                <c:pt idx="21">
                  <c:v>3389.34006371478</c:v>
                </c:pt>
                <c:pt idx="22">
                  <c:v>3406.00065440557</c:v>
                </c:pt>
                <c:pt idx="23">
                  <c:v>3426.40173493418</c:v>
                </c:pt>
                <c:pt idx="24">
                  <c:v>3455.87149541604</c:v>
                </c:pt>
                <c:pt idx="25">
                  <c:v>3450.53331984406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1246348"/>
        <c:axId val="9428412"/>
      </c:lineChart>
      <c:catAx>
        <c:axId val="712463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28412"/>
        <c:crossesAt val="0"/>
        <c:auto val="1"/>
        <c:lblAlgn val="ctr"/>
        <c:lblOffset val="100"/>
      </c:catAx>
      <c:valAx>
        <c:axId val="9428412"/>
        <c:scaling>
          <c:orientation val="minMax"/>
          <c:min val="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246348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'Child ben compare all'!$B$3:$B$4</c:f>
              <c:strCache>
                <c:ptCount val="1"/>
                <c:pt idx="0">
                  <c:v>Contributory child benefits, 2019 legislation</c:v>
                </c:pt>
              </c:strCache>
            </c:strRef>
          </c:tx>
          <c:spPr>
            <a:solidFill>
              <a:srgbClr val="c0504d"/>
            </a:solidFill>
            <a:ln w="763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all'!$B$5:$B$30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2252.22299345299</c:v>
                </c:pt>
                <c:pt idx="4">
                  <c:v>1881.54366369364</c:v>
                </c:pt>
                <c:pt idx="5">
                  <c:v>1779.89285036087</c:v>
                </c:pt>
                <c:pt idx="6">
                  <c:v>1878.45445562438</c:v>
                </c:pt>
                <c:pt idx="7">
                  <c:v>1968.59183306929</c:v>
                </c:pt>
                <c:pt idx="8">
                  <c:v>1998.42090621001</c:v>
                </c:pt>
                <c:pt idx="9">
                  <c:v>2063.71083322299</c:v>
                </c:pt>
                <c:pt idx="10">
                  <c:v>2112.63296274602</c:v>
                </c:pt>
                <c:pt idx="11">
                  <c:v>2149.76288844686</c:v>
                </c:pt>
                <c:pt idx="12">
                  <c:v>2122.08274248165</c:v>
                </c:pt>
                <c:pt idx="13">
                  <c:v>2161.51547785801</c:v>
                </c:pt>
                <c:pt idx="14">
                  <c:v>2172.61062668188</c:v>
                </c:pt>
                <c:pt idx="15">
                  <c:v>2151.20533863579</c:v>
                </c:pt>
                <c:pt idx="16">
                  <c:v>2147.51245202243</c:v>
                </c:pt>
                <c:pt idx="17">
                  <c:v>2101.90531291416</c:v>
                </c:pt>
                <c:pt idx="18">
                  <c:v>2082.59850686854</c:v>
                </c:pt>
                <c:pt idx="19">
                  <c:v>2132.821683445</c:v>
                </c:pt>
                <c:pt idx="20">
                  <c:v>2165.71437342339</c:v>
                </c:pt>
                <c:pt idx="21">
                  <c:v>2142.6535043263</c:v>
                </c:pt>
                <c:pt idx="22">
                  <c:v>2149.87059334986</c:v>
                </c:pt>
                <c:pt idx="23">
                  <c:v>2171.79512222444</c:v>
                </c:pt>
                <c:pt idx="24">
                  <c:v>2150.22437404104</c:v>
                </c:pt>
                <c:pt idx="25">
                  <c:v>2167.85540310873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 compare all'!$C$3:$C$4</c:f>
              <c:strCache>
                <c:ptCount val="1"/>
                <c:pt idx="0">
                  <c:v>Contributory child benefits, 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all'!$C$5:$C$30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407.506574300343</c:v>
                </c:pt>
                <c:pt idx="2">
                  <c:v>500.873436381271</c:v>
                </c:pt>
                <c:pt idx="3">
                  <c:v>460.672182295368</c:v>
                </c:pt>
                <c:pt idx="4">
                  <c:v>427.086091410837</c:v>
                </c:pt>
                <c:pt idx="5">
                  <c:v>432.238637950472</c:v>
                </c:pt>
                <c:pt idx="6">
                  <c:v>436.722236110415</c:v>
                </c:pt>
                <c:pt idx="7">
                  <c:v>437.456048433013</c:v>
                </c:pt>
                <c:pt idx="8">
                  <c:v>429.316812105206</c:v>
                </c:pt>
                <c:pt idx="9">
                  <c:v>423.10335306284</c:v>
                </c:pt>
                <c:pt idx="10">
                  <c:v>430.476164084222</c:v>
                </c:pt>
                <c:pt idx="11">
                  <c:v>428.324289687843</c:v>
                </c:pt>
                <c:pt idx="12">
                  <c:v>433.418014243828</c:v>
                </c:pt>
                <c:pt idx="13">
                  <c:v>434.682883665898</c:v>
                </c:pt>
                <c:pt idx="14">
                  <c:v>435.733129782987</c:v>
                </c:pt>
                <c:pt idx="15">
                  <c:v>431.559732782804</c:v>
                </c:pt>
                <c:pt idx="16">
                  <c:v>436.135731096551</c:v>
                </c:pt>
                <c:pt idx="17">
                  <c:v>439.615666683555</c:v>
                </c:pt>
                <c:pt idx="18">
                  <c:v>443.978141821092</c:v>
                </c:pt>
                <c:pt idx="19">
                  <c:v>439.97977209614</c:v>
                </c:pt>
                <c:pt idx="20">
                  <c:v>443.353272152251</c:v>
                </c:pt>
                <c:pt idx="21">
                  <c:v>435.722814122183</c:v>
                </c:pt>
                <c:pt idx="22">
                  <c:v>426.054141428771</c:v>
                </c:pt>
                <c:pt idx="23">
                  <c:v>443.870599513396</c:v>
                </c:pt>
                <c:pt idx="24">
                  <c:v>438.494611641435</c:v>
                </c:pt>
                <c:pt idx="25">
                  <c:v>432.088085419673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 compare all'!$D$3:$D$4</c:f>
              <c:strCache>
                <c:ptCount val="1"/>
                <c:pt idx="0">
                  <c:v>Contributory child benefits, 2015 legislation with moratoriums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all'!$D$5:$D$30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2166.11173297133</c:v>
                </c:pt>
                <c:pt idx="5">
                  <c:v>2056.29478638525</c:v>
                </c:pt>
                <c:pt idx="6">
                  <c:v>2082.22351531067</c:v>
                </c:pt>
                <c:pt idx="7">
                  <c:v>2173.5150562112</c:v>
                </c:pt>
                <c:pt idx="8">
                  <c:v>2266.76901657319</c:v>
                </c:pt>
                <c:pt idx="9">
                  <c:v>2442.51190936594</c:v>
                </c:pt>
                <c:pt idx="10">
                  <c:v>2583.70616086391</c:v>
                </c:pt>
                <c:pt idx="11">
                  <c:v>2609.64094622704</c:v>
                </c:pt>
                <c:pt idx="12">
                  <c:v>2674.66781051349</c:v>
                </c:pt>
                <c:pt idx="13">
                  <c:v>2755.61904797549</c:v>
                </c:pt>
                <c:pt idx="14">
                  <c:v>2777.00287688442</c:v>
                </c:pt>
                <c:pt idx="15">
                  <c:v>2874.91881052726</c:v>
                </c:pt>
                <c:pt idx="16">
                  <c:v>2924.36349162551</c:v>
                </c:pt>
                <c:pt idx="17">
                  <c:v>2994.76577150591</c:v>
                </c:pt>
                <c:pt idx="18">
                  <c:v>2994.81978146825</c:v>
                </c:pt>
                <c:pt idx="19">
                  <c:v>3095.9347526643</c:v>
                </c:pt>
                <c:pt idx="20">
                  <c:v>3116.22095154122</c:v>
                </c:pt>
                <c:pt idx="21">
                  <c:v>3174.51031360401</c:v>
                </c:pt>
                <c:pt idx="22">
                  <c:v>3169.4838268565</c:v>
                </c:pt>
                <c:pt idx="23">
                  <c:v>3201.22194619175</c:v>
                </c:pt>
                <c:pt idx="24">
                  <c:v>3218.88617524492</c:v>
                </c:pt>
                <c:pt idx="25">
                  <c:v>3230.71646292881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 compare all'!$E$3:$E$4</c:f>
              <c:strCache>
                <c:ptCount val="1"/>
                <c:pt idx="0">
                  <c:v>Contributory child benefits, 2015 legislation without moratoriums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all'!$E$5:$E$30</c:f>
              <c:numCache>
                <c:formatCode>General</c:formatCode>
                <c:ptCount val="26"/>
                <c:pt idx="0">
                  <c:v>324.944233560672</c:v>
                </c:pt>
                <c:pt idx="1">
                  <c:v>367.075171920782</c:v>
                </c:pt>
                <c:pt idx="2">
                  <c:v>471.898233073207</c:v>
                </c:pt>
                <c:pt idx="3">
                  <c:v>432.444047528382</c:v>
                </c:pt>
                <c:pt idx="4">
                  <c:v>399.452616684731</c:v>
                </c:pt>
                <c:pt idx="5">
                  <c:v>401.345337807937</c:v>
                </c:pt>
                <c:pt idx="6">
                  <c:v>395.690468414786</c:v>
                </c:pt>
                <c:pt idx="7">
                  <c:v>395.01133626354</c:v>
                </c:pt>
                <c:pt idx="8">
                  <c:v>393.906433666286</c:v>
                </c:pt>
                <c:pt idx="9">
                  <c:v>397.531564396798</c:v>
                </c:pt>
                <c:pt idx="10">
                  <c:v>388.22449947924</c:v>
                </c:pt>
                <c:pt idx="11">
                  <c:v>391.506934186717</c:v>
                </c:pt>
                <c:pt idx="12">
                  <c:v>398.175817923687</c:v>
                </c:pt>
                <c:pt idx="13">
                  <c:v>403.926672776903</c:v>
                </c:pt>
                <c:pt idx="14">
                  <c:v>401.641626621224</c:v>
                </c:pt>
                <c:pt idx="15">
                  <c:v>395.047069252137</c:v>
                </c:pt>
                <c:pt idx="16">
                  <c:v>407.053533002176</c:v>
                </c:pt>
                <c:pt idx="17">
                  <c:v>399.218492326966</c:v>
                </c:pt>
                <c:pt idx="18">
                  <c:v>395.80662446411</c:v>
                </c:pt>
                <c:pt idx="19">
                  <c:v>401.673273833079</c:v>
                </c:pt>
                <c:pt idx="20">
                  <c:v>388.722629170922</c:v>
                </c:pt>
                <c:pt idx="21">
                  <c:v>383.368287860892</c:v>
                </c:pt>
                <c:pt idx="22">
                  <c:v>390.508732236725</c:v>
                </c:pt>
                <c:pt idx="23">
                  <c:v>384.637041280012</c:v>
                </c:pt>
                <c:pt idx="24">
                  <c:v>384.99143576684</c:v>
                </c:pt>
                <c:pt idx="25">
                  <c:v>393.415385994255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 compare all'!$F$3:$F$4</c:f>
              <c:strCache>
                <c:ptCount val="1"/>
                <c:pt idx="0">
                  <c:v>AUH benefits, 2019 legislation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all'!$F$5:$F$30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3193.88488219808</c:v>
                </c:pt>
                <c:pt idx="5">
                  <c:v>2677.377965863</c:v>
                </c:pt>
                <c:pt idx="6">
                  <c:v>2824.64832928567</c:v>
                </c:pt>
                <c:pt idx="7">
                  <c:v>2899.06517911425</c:v>
                </c:pt>
                <c:pt idx="8">
                  <c:v>2976.62029916451</c:v>
                </c:pt>
                <c:pt idx="9">
                  <c:v>3047.92537198161</c:v>
                </c:pt>
                <c:pt idx="10">
                  <c:v>3114.70476881488</c:v>
                </c:pt>
                <c:pt idx="11">
                  <c:v>3163.6486575374</c:v>
                </c:pt>
                <c:pt idx="12">
                  <c:v>3162.2546129127</c:v>
                </c:pt>
                <c:pt idx="13">
                  <c:v>3201.35712735484</c:v>
                </c:pt>
                <c:pt idx="14">
                  <c:v>3248.03404028102</c:v>
                </c:pt>
                <c:pt idx="15">
                  <c:v>3240.43366474543</c:v>
                </c:pt>
                <c:pt idx="16">
                  <c:v>3237.00771181584</c:v>
                </c:pt>
                <c:pt idx="17">
                  <c:v>3207.48401989667</c:v>
                </c:pt>
                <c:pt idx="18">
                  <c:v>3327.28303911291</c:v>
                </c:pt>
                <c:pt idx="19">
                  <c:v>3301.15220336746</c:v>
                </c:pt>
                <c:pt idx="20">
                  <c:v>3269.80603695781</c:v>
                </c:pt>
                <c:pt idx="21">
                  <c:v>3365.3090311564</c:v>
                </c:pt>
                <c:pt idx="22">
                  <c:v>3382.93836579409</c:v>
                </c:pt>
                <c:pt idx="23">
                  <c:v>3344.17227645758</c:v>
                </c:pt>
                <c:pt idx="24">
                  <c:v>3390.22515224179</c:v>
                </c:pt>
                <c:pt idx="25">
                  <c:v>3422.896231108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'Child ben compare all'!$G$3:$G$4</c:f>
              <c:strCache>
                <c:ptCount val="1"/>
                <c:pt idx="0">
                  <c:v>AUH benefits, 2017 legislation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all'!$G$5:$G$30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</c:v>
                </c:pt>
                <c:pt idx="2">
                  <c:v>724.505669913243</c:v>
                </c:pt>
                <c:pt idx="3">
                  <c:v>670.913606709629</c:v>
                </c:pt>
                <c:pt idx="4">
                  <c:v>625.825716526643</c:v>
                </c:pt>
                <c:pt idx="5">
                  <c:v>650.354003003481</c:v>
                </c:pt>
                <c:pt idx="6">
                  <c:v>658.867096305019</c:v>
                </c:pt>
                <c:pt idx="7">
                  <c:v>666.432163791995</c:v>
                </c:pt>
                <c:pt idx="8">
                  <c:v>654.832577028072</c:v>
                </c:pt>
                <c:pt idx="9">
                  <c:v>669.486896752713</c:v>
                </c:pt>
                <c:pt idx="10">
                  <c:v>672.912531720274</c:v>
                </c:pt>
                <c:pt idx="11">
                  <c:v>676.213270882201</c:v>
                </c:pt>
                <c:pt idx="12">
                  <c:v>687.95686034339</c:v>
                </c:pt>
                <c:pt idx="13">
                  <c:v>685.216627882299</c:v>
                </c:pt>
                <c:pt idx="14">
                  <c:v>702.632443861702</c:v>
                </c:pt>
                <c:pt idx="15">
                  <c:v>706.058494558025</c:v>
                </c:pt>
                <c:pt idx="16">
                  <c:v>702.37028321761</c:v>
                </c:pt>
                <c:pt idx="17">
                  <c:v>703.925538003608</c:v>
                </c:pt>
                <c:pt idx="18">
                  <c:v>721.415170412284</c:v>
                </c:pt>
                <c:pt idx="19">
                  <c:v>712.484074801582</c:v>
                </c:pt>
                <c:pt idx="20">
                  <c:v>720.145345519936</c:v>
                </c:pt>
                <c:pt idx="21">
                  <c:v>743.953878425223</c:v>
                </c:pt>
                <c:pt idx="22">
                  <c:v>755.183607062415</c:v>
                </c:pt>
                <c:pt idx="23">
                  <c:v>736.988167651006</c:v>
                </c:pt>
                <c:pt idx="24">
                  <c:v>745.259038512748</c:v>
                </c:pt>
                <c:pt idx="25">
                  <c:v>761.828150150442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'Child ben compare all'!$H$3:$H$4</c:f>
              <c:strCache>
                <c:ptCount val="1"/>
                <c:pt idx="0">
                  <c:v>AUH benefits, 2015 legislation with moratoriums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all'!$H$5:$H$30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3250.44313396963</c:v>
                </c:pt>
                <c:pt idx="5">
                  <c:v>3080.42314982073</c:v>
                </c:pt>
                <c:pt idx="6">
                  <c:v>3192.97811900307</c:v>
                </c:pt>
                <c:pt idx="7">
                  <c:v>3258.25762568132</c:v>
                </c:pt>
                <c:pt idx="8">
                  <c:v>3511.95167490549</c:v>
                </c:pt>
                <c:pt idx="9">
                  <c:v>3752.26832763654</c:v>
                </c:pt>
                <c:pt idx="10">
                  <c:v>3785.25149068834</c:v>
                </c:pt>
                <c:pt idx="11">
                  <c:v>3841.87224243256</c:v>
                </c:pt>
                <c:pt idx="12">
                  <c:v>4069.80699929698</c:v>
                </c:pt>
                <c:pt idx="13">
                  <c:v>4112.80348898513</c:v>
                </c:pt>
                <c:pt idx="14">
                  <c:v>4322.80097742788</c:v>
                </c:pt>
                <c:pt idx="15">
                  <c:v>4234.96731055539</c:v>
                </c:pt>
                <c:pt idx="16">
                  <c:v>4485.68346006369</c:v>
                </c:pt>
                <c:pt idx="17">
                  <c:v>4479.58374968346</c:v>
                </c:pt>
                <c:pt idx="18">
                  <c:v>4516.44278802662</c:v>
                </c:pt>
                <c:pt idx="19">
                  <c:v>4581.32458960229</c:v>
                </c:pt>
                <c:pt idx="20">
                  <c:v>4554.04993548409</c:v>
                </c:pt>
                <c:pt idx="21">
                  <c:v>4672.09034796675</c:v>
                </c:pt>
                <c:pt idx="22">
                  <c:v>4854.0755681484</c:v>
                </c:pt>
                <c:pt idx="23">
                  <c:v>4896.65163689107</c:v>
                </c:pt>
                <c:pt idx="24">
                  <c:v>4937.91668558416</c:v>
                </c:pt>
                <c:pt idx="25">
                  <c:v>4938.11914248159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'Child ben compare all'!$I$3:$I$4</c:f>
              <c:strCache>
                <c:ptCount val="1"/>
                <c:pt idx="0">
                  <c:v>AUH benefits, 2015 legislation without moratoriums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all'!$I$5:$I$30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691.009624226524</c:v>
                </c:pt>
                <c:pt idx="2">
                  <c:v>723.361890659698</c:v>
                </c:pt>
                <c:pt idx="3">
                  <c:v>668.165951066362</c:v>
                </c:pt>
                <c:pt idx="4">
                  <c:v>637.851099122023</c:v>
                </c:pt>
                <c:pt idx="5">
                  <c:v>629.309774036766</c:v>
                </c:pt>
                <c:pt idx="6">
                  <c:v>664.13766466099</c:v>
                </c:pt>
                <c:pt idx="7">
                  <c:v>660.191268651721</c:v>
                </c:pt>
                <c:pt idx="8">
                  <c:v>674.561795732923</c:v>
                </c:pt>
                <c:pt idx="9">
                  <c:v>658.274102203712</c:v>
                </c:pt>
                <c:pt idx="10">
                  <c:v>670.864773874147</c:v>
                </c:pt>
                <c:pt idx="11">
                  <c:v>664.369766921518</c:v>
                </c:pt>
                <c:pt idx="12">
                  <c:v>685.594059262789</c:v>
                </c:pt>
                <c:pt idx="13">
                  <c:v>681.387803146695</c:v>
                </c:pt>
                <c:pt idx="14">
                  <c:v>698.40786376313</c:v>
                </c:pt>
                <c:pt idx="15">
                  <c:v>708.09443454718</c:v>
                </c:pt>
                <c:pt idx="16">
                  <c:v>705.90772537947</c:v>
                </c:pt>
                <c:pt idx="17">
                  <c:v>702.92543209574</c:v>
                </c:pt>
                <c:pt idx="18">
                  <c:v>709.073193248436</c:v>
                </c:pt>
                <c:pt idx="19">
                  <c:v>705.93803687566</c:v>
                </c:pt>
                <c:pt idx="20">
                  <c:v>705.590439678388</c:v>
                </c:pt>
                <c:pt idx="21">
                  <c:v>729.801711748464</c:v>
                </c:pt>
                <c:pt idx="22">
                  <c:v>748.711165133024</c:v>
                </c:pt>
                <c:pt idx="23">
                  <c:v>759.430036017168</c:v>
                </c:pt>
                <c:pt idx="24">
                  <c:v>750.046107273345</c:v>
                </c:pt>
                <c:pt idx="25">
                  <c:v>754.441395036816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'Child ben compare all'!$J$3:$J$4</c:f>
              <c:strCache>
                <c:ptCount val="1"/>
                <c:pt idx="0">
                  <c:v>Child benefits values, 2019 legislation</c:v>
                </c:pt>
              </c:strCache>
            </c:strRef>
          </c:tx>
          <c:spPr>
            <a:solidFill>
              <a:srgbClr val="9bbb59"/>
            </a:solidFill>
            <a:ln w="763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all'!$J$5:$J$30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2515.37149058918</c:v>
                </c:pt>
                <c:pt idx="4">
                  <c:v>2264.3173204628</c:v>
                </c:pt>
                <c:pt idx="5">
                  <c:v>2024.20854614857</c:v>
                </c:pt>
                <c:pt idx="6">
                  <c:v>2123.38081384108</c:v>
                </c:pt>
                <c:pt idx="7">
                  <c:v>2215.99594708714</c:v>
                </c:pt>
                <c:pt idx="8">
                  <c:v>2251.29569892301</c:v>
                </c:pt>
                <c:pt idx="9">
                  <c:v>2309.0042326218</c:v>
                </c:pt>
                <c:pt idx="10">
                  <c:v>2360.74335434248</c:v>
                </c:pt>
                <c:pt idx="11">
                  <c:v>2398.11179059832</c:v>
                </c:pt>
                <c:pt idx="12">
                  <c:v>2371.3518793181</c:v>
                </c:pt>
                <c:pt idx="13">
                  <c:v>2393.17864182804</c:v>
                </c:pt>
                <c:pt idx="14">
                  <c:v>2404.64075750734</c:v>
                </c:pt>
                <c:pt idx="15">
                  <c:v>2396.8470088461</c:v>
                </c:pt>
                <c:pt idx="16">
                  <c:v>2385.51731179492</c:v>
                </c:pt>
                <c:pt idx="17">
                  <c:v>2351.82501786388</c:v>
                </c:pt>
                <c:pt idx="18">
                  <c:v>2351.31889297456</c:v>
                </c:pt>
                <c:pt idx="19">
                  <c:v>2363.38201121437</c:v>
                </c:pt>
                <c:pt idx="20">
                  <c:v>2375.52808974885</c:v>
                </c:pt>
                <c:pt idx="21">
                  <c:v>2347.58035162072</c:v>
                </c:pt>
                <c:pt idx="22">
                  <c:v>2339.49851225055</c:v>
                </c:pt>
                <c:pt idx="23">
                  <c:v>2363.9682285031</c:v>
                </c:pt>
                <c:pt idx="24">
                  <c:v>2373.81377822549</c:v>
                </c:pt>
                <c:pt idx="25">
                  <c:v>2394.7560790983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'Child ben compare all'!$K$3:$K$4</c:f>
              <c:strCache>
                <c:ptCount val="1"/>
                <c:pt idx="0">
                  <c:v>Child benefits values, 2017 legislation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all'!$K$5:$K$30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</c:v>
                </c:pt>
                <c:pt idx="2">
                  <c:v>557.338649051489</c:v>
                </c:pt>
                <c:pt idx="3">
                  <c:v>514.516129925359</c:v>
                </c:pt>
                <c:pt idx="4">
                  <c:v>481.294283257222</c:v>
                </c:pt>
                <c:pt idx="5">
                  <c:v>487.717413740714</c:v>
                </c:pt>
                <c:pt idx="6">
                  <c:v>492.799789373055</c:v>
                </c:pt>
                <c:pt idx="7">
                  <c:v>492.790059504595</c:v>
                </c:pt>
                <c:pt idx="8">
                  <c:v>486.600712299987</c:v>
                </c:pt>
                <c:pt idx="9">
                  <c:v>483.44921356512</c:v>
                </c:pt>
                <c:pt idx="10">
                  <c:v>490.278171833869</c:v>
                </c:pt>
                <c:pt idx="11">
                  <c:v>488.927448451065</c:v>
                </c:pt>
                <c:pt idx="12">
                  <c:v>495.803497927919</c:v>
                </c:pt>
                <c:pt idx="13">
                  <c:v>495.181170355666</c:v>
                </c:pt>
                <c:pt idx="14">
                  <c:v>497.965523865766</c:v>
                </c:pt>
                <c:pt idx="15">
                  <c:v>495.065725120538</c:v>
                </c:pt>
                <c:pt idx="16">
                  <c:v>494.455003341064</c:v>
                </c:pt>
                <c:pt idx="17">
                  <c:v>498.346712266989</c:v>
                </c:pt>
                <c:pt idx="18">
                  <c:v>502.761050593706</c:v>
                </c:pt>
                <c:pt idx="19">
                  <c:v>498.086810483481</c:v>
                </c:pt>
                <c:pt idx="20">
                  <c:v>499.897623509941</c:v>
                </c:pt>
                <c:pt idx="21">
                  <c:v>493.503484148407</c:v>
                </c:pt>
                <c:pt idx="22">
                  <c:v>492.229428702938</c:v>
                </c:pt>
                <c:pt idx="23">
                  <c:v>500.00204379332</c:v>
                </c:pt>
                <c:pt idx="24">
                  <c:v>500.585316550831</c:v>
                </c:pt>
                <c:pt idx="25">
                  <c:v>490.392184735911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'Child ben compare all'!$L$3:$L$4</c:f>
              <c:strCache>
                <c:ptCount val="1"/>
                <c:pt idx="0">
                  <c:v>Child benefits values, 2015 legislation with moratoriums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all'!$L$5:$L$30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2463.02872747996</c:v>
                </c:pt>
                <c:pt idx="5">
                  <c:v>2359.02508075737</c:v>
                </c:pt>
                <c:pt idx="6">
                  <c:v>2387.5231275097</c:v>
                </c:pt>
                <c:pt idx="7">
                  <c:v>2470.04777220006</c:v>
                </c:pt>
                <c:pt idx="8">
                  <c:v>2595.42002032983</c:v>
                </c:pt>
                <c:pt idx="9">
                  <c:v>2762.22753544384</c:v>
                </c:pt>
                <c:pt idx="10">
                  <c:v>2870.47331573892</c:v>
                </c:pt>
                <c:pt idx="11">
                  <c:v>2913.64528689877</c:v>
                </c:pt>
                <c:pt idx="12">
                  <c:v>2987.27077903994</c:v>
                </c:pt>
                <c:pt idx="13">
                  <c:v>3037.78487369539</c:v>
                </c:pt>
                <c:pt idx="14">
                  <c:v>3054.03647098881</c:v>
                </c:pt>
                <c:pt idx="15">
                  <c:v>3123.06369281684</c:v>
                </c:pt>
                <c:pt idx="16">
                  <c:v>3200.58703746338</c:v>
                </c:pt>
                <c:pt idx="17">
                  <c:v>3227.24423470409</c:v>
                </c:pt>
                <c:pt idx="18">
                  <c:v>3236.88952624165</c:v>
                </c:pt>
                <c:pt idx="19">
                  <c:v>3309.80314229321</c:v>
                </c:pt>
                <c:pt idx="20">
                  <c:v>3339.00001616568</c:v>
                </c:pt>
                <c:pt idx="21">
                  <c:v>3389.34006371478</c:v>
                </c:pt>
                <c:pt idx="22">
                  <c:v>3406.00065440557</c:v>
                </c:pt>
                <c:pt idx="23">
                  <c:v>3426.40173493418</c:v>
                </c:pt>
                <c:pt idx="24">
                  <c:v>3455.87149541604</c:v>
                </c:pt>
                <c:pt idx="25">
                  <c:v>3450.53331984406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'Child ben compare all'!$M$3:$M$4</c:f>
              <c:strCache>
                <c:ptCount val="1"/>
                <c:pt idx="0">
                  <c:v>Child benefits values, 2015 legislation without moratoriums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'Child ben compare all'!$A$5:$A$30</c:f>
              <c:strCach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strCache>
            </c:strRef>
          </c:cat>
          <c:val>
            <c:numRef>
              <c:f>'Child ben compare all'!$M$5:$M$30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502.353825138209</c:v>
                </c:pt>
                <c:pt idx="4">
                  <c:v>471.900482751841</c:v>
                </c:pt>
                <c:pt idx="5">
                  <c:v>470.901873901174</c:v>
                </c:pt>
                <c:pt idx="6">
                  <c:v>469.584861279681</c:v>
                </c:pt>
                <c:pt idx="7">
                  <c:v>470.490612531999</c:v>
                </c:pt>
                <c:pt idx="8">
                  <c:v>471.16158982069</c:v>
                </c:pt>
                <c:pt idx="9">
                  <c:v>472.054583052306</c:v>
                </c:pt>
                <c:pt idx="10">
                  <c:v>468.394730214469</c:v>
                </c:pt>
                <c:pt idx="11">
                  <c:v>471.738230498485</c:v>
                </c:pt>
                <c:pt idx="12">
                  <c:v>475.140507662956</c:v>
                </c:pt>
                <c:pt idx="13">
                  <c:v>481.051585410138</c:v>
                </c:pt>
                <c:pt idx="14">
                  <c:v>479.240777872626</c:v>
                </c:pt>
                <c:pt idx="15">
                  <c:v>475.350670915393</c:v>
                </c:pt>
                <c:pt idx="16">
                  <c:v>482.219664199906</c:v>
                </c:pt>
                <c:pt idx="17">
                  <c:v>476.730060099811</c:v>
                </c:pt>
                <c:pt idx="18">
                  <c:v>468.580266019575</c:v>
                </c:pt>
                <c:pt idx="19">
                  <c:v>472.392063925446</c:v>
                </c:pt>
                <c:pt idx="20">
                  <c:v>464.235681364656</c:v>
                </c:pt>
                <c:pt idx="21">
                  <c:v>460.712256960905</c:v>
                </c:pt>
                <c:pt idx="22">
                  <c:v>466.316303638814</c:v>
                </c:pt>
                <c:pt idx="23">
                  <c:v>461.297131943345</c:v>
                </c:pt>
                <c:pt idx="24">
                  <c:v>463.03650920108</c:v>
                </c:pt>
                <c:pt idx="25">
                  <c:v>464.392475709395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3106183"/>
        <c:axId val="27335179"/>
      </c:lineChart>
      <c:catAx>
        <c:axId val="43106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335179"/>
        <c:crosses val="autoZero"/>
        <c:auto val="1"/>
        <c:lblAlgn val="ctr"/>
        <c:lblOffset val="100"/>
      </c:catAx>
      <c:valAx>
        <c:axId val="27335179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1061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689040</xdr:colOff>
      <xdr:row>33</xdr:row>
      <xdr:rowOff>63720</xdr:rowOff>
    </xdr:from>
    <xdr:to>
      <xdr:col>34</xdr:col>
      <xdr:colOff>739080</xdr:colOff>
      <xdr:row>62</xdr:row>
      <xdr:rowOff>88560</xdr:rowOff>
    </xdr:to>
    <xdr:graphicFrame>
      <xdr:nvGraphicFramePr>
        <xdr:cNvPr id="0" name="Chart 1"/>
        <xdr:cNvGraphicFramePr/>
      </xdr:nvGraphicFramePr>
      <xdr:xfrm>
        <a:off x="21198600" y="6560280"/>
        <a:ext cx="8355960" cy="55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181080</xdr:colOff>
      <xdr:row>36</xdr:row>
      <xdr:rowOff>77040</xdr:rowOff>
    </xdr:from>
    <xdr:to>
      <xdr:col>16</xdr:col>
      <xdr:colOff>447120</xdr:colOff>
      <xdr:row>63</xdr:row>
      <xdr:rowOff>164880</xdr:rowOff>
    </xdr:to>
    <xdr:graphicFrame>
      <xdr:nvGraphicFramePr>
        <xdr:cNvPr id="1" name="Chart 2"/>
        <xdr:cNvGraphicFramePr/>
      </xdr:nvGraphicFramePr>
      <xdr:xfrm>
        <a:off x="7158240" y="7144920"/>
        <a:ext cx="7153920" cy="523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752400</xdr:colOff>
      <xdr:row>5</xdr:row>
      <xdr:rowOff>51120</xdr:rowOff>
    </xdr:from>
    <xdr:to>
      <xdr:col>54</xdr:col>
      <xdr:colOff>484920</xdr:colOff>
      <xdr:row>28</xdr:row>
      <xdr:rowOff>75960</xdr:rowOff>
    </xdr:to>
    <xdr:graphicFrame>
      <xdr:nvGraphicFramePr>
        <xdr:cNvPr id="2" name="Chart 3"/>
        <xdr:cNvGraphicFramePr/>
      </xdr:nvGraphicFramePr>
      <xdr:xfrm>
        <a:off x="37043280" y="1213560"/>
        <a:ext cx="886860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689040</xdr:colOff>
      <xdr:row>31</xdr:row>
      <xdr:rowOff>185040</xdr:rowOff>
    </xdr:from>
    <xdr:to>
      <xdr:col>34</xdr:col>
      <xdr:colOff>739080</xdr:colOff>
      <xdr:row>61</xdr:row>
      <xdr:rowOff>19440</xdr:rowOff>
    </xdr:to>
    <xdr:graphicFrame>
      <xdr:nvGraphicFramePr>
        <xdr:cNvPr id="3" name="Chart 1"/>
        <xdr:cNvGraphicFramePr/>
      </xdr:nvGraphicFramePr>
      <xdr:xfrm>
        <a:off x="21198600" y="6560280"/>
        <a:ext cx="8355960" cy="55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181080</xdr:colOff>
      <xdr:row>35</xdr:row>
      <xdr:rowOff>7560</xdr:rowOff>
    </xdr:from>
    <xdr:to>
      <xdr:col>16</xdr:col>
      <xdr:colOff>447120</xdr:colOff>
      <xdr:row>62</xdr:row>
      <xdr:rowOff>95760</xdr:rowOff>
    </xdr:to>
    <xdr:graphicFrame>
      <xdr:nvGraphicFramePr>
        <xdr:cNvPr id="4" name="Chart 2"/>
        <xdr:cNvGraphicFramePr/>
      </xdr:nvGraphicFramePr>
      <xdr:xfrm>
        <a:off x="7158240" y="7144920"/>
        <a:ext cx="7153920" cy="523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752400</xdr:colOff>
      <xdr:row>3</xdr:row>
      <xdr:rowOff>172440</xdr:rowOff>
    </xdr:from>
    <xdr:to>
      <xdr:col>54</xdr:col>
      <xdr:colOff>484920</xdr:colOff>
      <xdr:row>27</xdr:row>
      <xdr:rowOff>6840</xdr:rowOff>
    </xdr:to>
    <xdr:graphicFrame>
      <xdr:nvGraphicFramePr>
        <xdr:cNvPr id="5" name="Chart 3"/>
        <xdr:cNvGraphicFramePr/>
      </xdr:nvGraphicFramePr>
      <xdr:xfrm>
        <a:off x="37043280" y="1213560"/>
        <a:ext cx="886860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689040</xdr:colOff>
      <xdr:row>33</xdr:row>
      <xdr:rowOff>63720</xdr:rowOff>
    </xdr:from>
    <xdr:to>
      <xdr:col>34</xdr:col>
      <xdr:colOff>739080</xdr:colOff>
      <xdr:row>62</xdr:row>
      <xdr:rowOff>88560</xdr:rowOff>
    </xdr:to>
    <xdr:graphicFrame>
      <xdr:nvGraphicFramePr>
        <xdr:cNvPr id="6" name="Chart 1"/>
        <xdr:cNvGraphicFramePr/>
      </xdr:nvGraphicFramePr>
      <xdr:xfrm>
        <a:off x="21198600" y="6560280"/>
        <a:ext cx="8355960" cy="55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181080</xdr:colOff>
      <xdr:row>36</xdr:row>
      <xdr:rowOff>77040</xdr:rowOff>
    </xdr:from>
    <xdr:to>
      <xdr:col>16</xdr:col>
      <xdr:colOff>447120</xdr:colOff>
      <xdr:row>63</xdr:row>
      <xdr:rowOff>164880</xdr:rowOff>
    </xdr:to>
    <xdr:graphicFrame>
      <xdr:nvGraphicFramePr>
        <xdr:cNvPr id="7" name="Chart 2"/>
        <xdr:cNvGraphicFramePr/>
      </xdr:nvGraphicFramePr>
      <xdr:xfrm>
        <a:off x="7158240" y="7144920"/>
        <a:ext cx="7153920" cy="523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752400</xdr:colOff>
      <xdr:row>5</xdr:row>
      <xdr:rowOff>51120</xdr:rowOff>
    </xdr:from>
    <xdr:to>
      <xdr:col>54</xdr:col>
      <xdr:colOff>484920</xdr:colOff>
      <xdr:row>28</xdr:row>
      <xdr:rowOff>75960</xdr:rowOff>
    </xdr:to>
    <xdr:graphicFrame>
      <xdr:nvGraphicFramePr>
        <xdr:cNvPr id="8" name="Chart 3"/>
        <xdr:cNvGraphicFramePr/>
      </xdr:nvGraphicFramePr>
      <xdr:xfrm>
        <a:off x="37043280" y="1213560"/>
        <a:ext cx="886860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23760</xdr:colOff>
      <xdr:row>35</xdr:row>
      <xdr:rowOff>32760</xdr:rowOff>
    </xdr:from>
    <xdr:to>
      <xdr:col>36</xdr:col>
      <xdr:colOff>78840</xdr:colOff>
      <xdr:row>64</xdr:row>
      <xdr:rowOff>57600</xdr:rowOff>
    </xdr:to>
    <xdr:graphicFrame>
      <xdr:nvGraphicFramePr>
        <xdr:cNvPr id="9" name="Chart 1"/>
        <xdr:cNvGraphicFramePr/>
      </xdr:nvGraphicFramePr>
      <xdr:xfrm>
        <a:off x="22194720" y="7170120"/>
        <a:ext cx="8360640" cy="55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181080</xdr:colOff>
      <xdr:row>35</xdr:row>
      <xdr:rowOff>7560</xdr:rowOff>
    </xdr:from>
    <xdr:to>
      <xdr:col>16</xdr:col>
      <xdr:colOff>447120</xdr:colOff>
      <xdr:row>62</xdr:row>
      <xdr:rowOff>95760</xdr:rowOff>
    </xdr:to>
    <xdr:graphicFrame>
      <xdr:nvGraphicFramePr>
        <xdr:cNvPr id="10" name="Chart 2"/>
        <xdr:cNvGraphicFramePr/>
      </xdr:nvGraphicFramePr>
      <xdr:xfrm>
        <a:off x="7158240" y="7144920"/>
        <a:ext cx="7153920" cy="523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752400</xdr:colOff>
      <xdr:row>3</xdr:row>
      <xdr:rowOff>172440</xdr:rowOff>
    </xdr:from>
    <xdr:to>
      <xdr:col>54</xdr:col>
      <xdr:colOff>484920</xdr:colOff>
      <xdr:row>27</xdr:row>
      <xdr:rowOff>6840</xdr:rowOff>
    </xdr:to>
    <xdr:graphicFrame>
      <xdr:nvGraphicFramePr>
        <xdr:cNvPr id="11" name="Chart 3"/>
        <xdr:cNvGraphicFramePr/>
      </xdr:nvGraphicFramePr>
      <xdr:xfrm>
        <a:off x="37043280" y="1213560"/>
        <a:ext cx="886860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485640</xdr:colOff>
      <xdr:row>30</xdr:row>
      <xdr:rowOff>147240</xdr:rowOff>
    </xdr:from>
    <xdr:to>
      <xdr:col>12</xdr:col>
      <xdr:colOff>548280</xdr:colOff>
      <xdr:row>69</xdr:row>
      <xdr:rowOff>6840</xdr:rowOff>
    </xdr:to>
    <xdr:graphicFrame>
      <xdr:nvGraphicFramePr>
        <xdr:cNvPr id="12" name="Chart 3"/>
        <xdr:cNvGraphicFramePr/>
      </xdr:nvGraphicFramePr>
      <xdr:xfrm>
        <a:off x="485640" y="5862240"/>
        <a:ext cx="11136240" cy="72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28440</xdr:colOff>
      <xdr:row>71</xdr:row>
      <xdr:rowOff>181800</xdr:rowOff>
    </xdr:from>
    <xdr:to>
      <xdr:col>19</xdr:col>
      <xdr:colOff>523800</xdr:colOff>
      <xdr:row>110</xdr:row>
      <xdr:rowOff>41040</xdr:rowOff>
    </xdr:to>
    <xdr:graphicFrame>
      <xdr:nvGraphicFramePr>
        <xdr:cNvPr id="13" name="Chart 3"/>
        <xdr:cNvGraphicFramePr/>
      </xdr:nvGraphicFramePr>
      <xdr:xfrm>
        <a:off x="6190920" y="13707000"/>
        <a:ext cx="11136240" cy="72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ropbox/Th&#232;se_nouvelle_version/LIAM2/R&#233;sultats%20agr&#233;g&#233;s%20prospectifs/Projections%20finales%20d&#233;part%202014_t4/L&#233;gislation%202015%20sans%20moratoires/Leg_2015%20Graphics%20adequacy%20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2">
        <row r="4">
          <cell r="B4">
            <v>6695.92</v>
          </cell>
        </row>
        <row r="5">
          <cell r="B5">
            <v>6368.9065332604</v>
          </cell>
        </row>
        <row r="6">
          <cell r="B6">
            <v>6691.6267211456</v>
          </cell>
        </row>
        <row r="7">
          <cell r="B7">
            <v>6984.1911310188</v>
          </cell>
        </row>
        <row r="8">
          <cell r="B8">
            <v>6967.8308273951</v>
          </cell>
        </row>
        <row r="9">
          <cell r="B9">
            <v>6546.8359095505</v>
          </cell>
        </row>
        <row r="10">
          <cell r="B10">
            <v>6356.2046503346</v>
          </cell>
        </row>
        <row r="11">
          <cell r="B11">
            <v>6421.7509021331</v>
          </cell>
        </row>
        <row r="12">
          <cell r="B12">
            <v>6485.7556979743</v>
          </cell>
        </row>
        <row r="13">
          <cell r="B13">
            <v>6584.0500436289</v>
          </cell>
        </row>
        <row r="14">
          <cell r="B14">
            <v>6551.3566988075</v>
          </cell>
        </row>
        <row r="15">
          <cell r="B15">
            <v>6734.1800242166</v>
          </cell>
        </row>
        <row r="16">
          <cell r="B16">
            <v>6721.2591396848</v>
          </cell>
        </row>
        <row r="17">
          <cell r="B17">
            <v>6646.2195162112</v>
          </cell>
        </row>
        <row r="18">
          <cell r="B18">
            <v>6604.9089002573</v>
          </cell>
        </row>
        <row r="19">
          <cell r="B19">
            <v>6668.6554362916</v>
          </cell>
        </row>
        <row r="20">
          <cell r="B20">
            <v>6677.558526221</v>
          </cell>
        </row>
        <row r="21">
          <cell r="B21">
            <v>6687.2842362844</v>
          </cell>
        </row>
        <row r="22">
          <cell r="B22">
            <v>6674.4514108639</v>
          </cell>
        </row>
        <row r="23">
          <cell r="B23">
            <v>6712.9186434715</v>
          </cell>
        </row>
        <row r="24">
          <cell r="B24">
            <v>6680.4851506996</v>
          </cell>
        </row>
        <row r="25">
          <cell r="B25">
            <v>6656.014178707</v>
          </cell>
        </row>
        <row r="26">
          <cell r="B26">
            <v>6607.1735022933</v>
          </cell>
        </row>
        <row r="27">
          <cell r="B27">
            <v>6598.4085769675</v>
          </cell>
        </row>
        <row r="28">
          <cell r="B28">
            <v>6618.5654168381</v>
          </cell>
        </row>
        <row r="29">
          <cell r="B29">
            <v>6607.400223165</v>
          </cell>
        </row>
        <row r="30">
          <cell r="B30">
            <v>6604.4275891779</v>
          </cell>
        </row>
        <row r="31">
          <cell r="B31">
            <v>6593.6024432471</v>
          </cell>
        </row>
        <row r="32">
          <cell r="B32">
            <v>6583.1338423762</v>
          </cell>
        </row>
        <row r="33">
          <cell r="B33">
            <v>6595.7292128006</v>
          </cell>
        </row>
        <row r="34">
          <cell r="B34">
            <v>6599.600031138</v>
          </cell>
        </row>
        <row r="35">
          <cell r="B35">
            <v>6571.287946041</v>
          </cell>
        </row>
        <row r="36">
          <cell r="B36">
            <v>6558.1990926209</v>
          </cell>
        </row>
        <row r="37">
          <cell r="B37">
            <v>6574.6837304042</v>
          </cell>
        </row>
        <row r="38">
          <cell r="B38">
            <v>6566.7158093975</v>
          </cell>
        </row>
        <row r="39">
          <cell r="B39">
            <v>6552.9239366691</v>
          </cell>
        </row>
        <row r="40">
          <cell r="B40">
            <v>6544.8813402243</v>
          </cell>
        </row>
        <row r="41">
          <cell r="B41">
            <v>6518.0081140917</v>
          </cell>
        </row>
        <row r="42">
          <cell r="B42">
            <v>6528.7743989791</v>
          </cell>
        </row>
        <row r="43">
          <cell r="B43">
            <v>6509.5204656061</v>
          </cell>
        </row>
        <row r="44">
          <cell r="B44">
            <v>6487.972534185</v>
          </cell>
        </row>
        <row r="45">
          <cell r="B45">
            <v>6518.9707104236</v>
          </cell>
        </row>
        <row r="46">
          <cell r="B46">
            <v>6483.3635909832</v>
          </cell>
        </row>
        <row r="47">
          <cell r="B47">
            <v>6472.5455039631</v>
          </cell>
        </row>
        <row r="48">
          <cell r="B48">
            <v>6496.9594663205</v>
          </cell>
        </row>
        <row r="49">
          <cell r="B49">
            <v>6466.9111667332</v>
          </cell>
        </row>
        <row r="50">
          <cell r="B50">
            <v>6479.1712296273</v>
          </cell>
        </row>
        <row r="51">
          <cell r="B51">
            <v>6444.1344922581</v>
          </cell>
        </row>
        <row r="52">
          <cell r="B52">
            <v>6480.5402298465</v>
          </cell>
        </row>
        <row r="53">
          <cell r="B53">
            <v>6472.0276452772</v>
          </cell>
        </row>
        <row r="54">
          <cell r="B54">
            <v>6504.6825148529</v>
          </cell>
        </row>
        <row r="55">
          <cell r="B55">
            <v>6477.811618648</v>
          </cell>
        </row>
        <row r="56">
          <cell r="B56">
            <v>6463.971690251</v>
          </cell>
        </row>
        <row r="57">
          <cell r="B57">
            <v>6470.8213987691</v>
          </cell>
        </row>
        <row r="58">
          <cell r="B58">
            <v>6444.0477094199</v>
          </cell>
        </row>
        <row r="59">
          <cell r="B59">
            <v>6435.112936811</v>
          </cell>
        </row>
        <row r="60">
          <cell r="B60">
            <v>6463.7338694342</v>
          </cell>
        </row>
        <row r="61">
          <cell r="B61">
            <v>6455.974634168</v>
          </cell>
        </row>
        <row r="62">
          <cell r="B62">
            <v>6430.8727678634</v>
          </cell>
        </row>
        <row r="63">
          <cell r="B63">
            <v>6424.4667416436</v>
          </cell>
        </row>
        <row r="64">
          <cell r="B64">
            <v>6432.1707133846</v>
          </cell>
        </row>
        <row r="65">
          <cell r="B65">
            <v>6462.8025504257</v>
          </cell>
        </row>
        <row r="66">
          <cell r="B66">
            <v>6447.4799580294</v>
          </cell>
        </row>
        <row r="67">
          <cell r="B67">
            <v>6432.9290314062</v>
          </cell>
        </row>
        <row r="68">
          <cell r="B68">
            <v>6443.142039567</v>
          </cell>
        </row>
        <row r="69">
          <cell r="B69">
            <v>6430.2180644486</v>
          </cell>
        </row>
        <row r="70">
          <cell r="B70">
            <v>6425.9272901964</v>
          </cell>
        </row>
        <row r="71">
          <cell r="B71">
            <v>6419.7112028384</v>
          </cell>
        </row>
        <row r="72">
          <cell r="B72">
            <v>6405.6556875408</v>
          </cell>
        </row>
        <row r="73">
          <cell r="B73">
            <v>6414.8313033084</v>
          </cell>
        </row>
        <row r="74">
          <cell r="B74">
            <v>6403.7490069561</v>
          </cell>
        </row>
        <row r="75">
          <cell r="B75">
            <v>6370.0765338924</v>
          </cell>
        </row>
        <row r="76">
          <cell r="B76">
            <v>6375.3273088166</v>
          </cell>
        </row>
        <row r="77">
          <cell r="B77">
            <v>6374.1351212852</v>
          </cell>
        </row>
        <row r="78">
          <cell r="B78">
            <v>6387.0505184766</v>
          </cell>
        </row>
        <row r="79">
          <cell r="B79">
            <v>6358.6919368263</v>
          </cell>
        </row>
        <row r="80">
          <cell r="B80">
            <v>6361.8023448761</v>
          </cell>
        </row>
        <row r="81">
          <cell r="B81">
            <v>6359.3039512181</v>
          </cell>
        </row>
        <row r="82">
          <cell r="B82">
            <v>6360.8821184861</v>
          </cell>
        </row>
        <row r="83">
          <cell r="B83">
            <v>6334.0527303264</v>
          </cell>
        </row>
        <row r="84">
          <cell r="B84">
            <v>6351.1524766054</v>
          </cell>
        </row>
        <row r="85">
          <cell r="B85">
            <v>6350.4567659241</v>
          </cell>
        </row>
        <row r="86">
          <cell r="B86">
            <v>6321.3684427366</v>
          </cell>
        </row>
        <row r="87">
          <cell r="B87">
            <v>6319.0288890967</v>
          </cell>
        </row>
        <row r="88">
          <cell r="B88">
            <v>6317.8529851746</v>
          </cell>
        </row>
        <row r="89">
          <cell r="B89">
            <v>6323.0278303572</v>
          </cell>
        </row>
        <row r="90">
          <cell r="B90">
            <v>6313.7384856946</v>
          </cell>
        </row>
        <row r="91">
          <cell r="B91">
            <v>6302.9258834184</v>
          </cell>
        </row>
        <row r="92">
          <cell r="B92">
            <v>6284.5380495284</v>
          </cell>
        </row>
        <row r="93">
          <cell r="B93">
            <v>6277.4408022133</v>
          </cell>
        </row>
        <row r="94">
          <cell r="B94">
            <v>6275.016636591</v>
          </cell>
        </row>
        <row r="95">
          <cell r="B95">
            <v>6277.7481638456</v>
          </cell>
        </row>
        <row r="96">
          <cell r="B96">
            <v>6265.9561719623</v>
          </cell>
        </row>
        <row r="97">
          <cell r="B97">
            <v>6275.0777681034</v>
          </cell>
        </row>
        <row r="98">
          <cell r="B98">
            <v>6251.7384678839</v>
          </cell>
        </row>
        <row r="99">
          <cell r="B99">
            <v>6241.4634431387</v>
          </cell>
        </row>
        <row r="100">
          <cell r="B100">
            <v>6232.3250159262</v>
          </cell>
        </row>
        <row r="101">
          <cell r="B101">
            <v>6202.638099496</v>
          </cell>
        </row>
        <row r="102">
          <cell r="B102">
            <v>6217.1364735456</v>
          </cell>
        </row>
        <row r="103">
          <cell r="B103">
            <v>6190.9755357154</v>
          </cell>
        </row>
        <row r="104">
          <cell r="B104">
            <v>6186.8838176326</v>
          </cell>
        </row>
        <row r="105">
          <cell r="B105">
            <v>6186.3782769906</v>
          </cell>
        </row>
        <row r="106">
          <cell r="B106">
            <v>6177.0431707541</v>
          </cell>
        </row>
        <row r="107">
          <cell r="B107">
            <v>6189.8872760167</v>
          </cell>
        </row>
        <row r="108">
          <cell r="B108">
            <v>6168.1269084707</v>
          </cell>
        </row>
      </sheetData>
      <sheetData sheetId="5">
        <row r="96">
          <cell r="I96">
            <v>1</v>
          </cell>
        </row>
        <row r="97">
          <cell r="I97">
            <v>0.981071945184621</v>
          </cell>
        </row>
        <row r="98">
          <cell r="I98">
            <v>0.956229797527325</v>
          </cell>
        </row>
        <row r="99">
          <cell r="I99">
            <v>0.939574708733736</v>
          </cell>
        </row>
        <row r="100">
          <cell r="I100">
            <v>0.927303675822856</v>
          </cell>
        </row>
        <row r="101">
          <cell r="I101">
            <v>0.927291301272984</v>
          </cell>
        </row>
        <row r="102">
          <cell r="I102">
            <v>0.927345064932149</v>
          </cell>
        </row>
        <row r="103">
          <cell r="I103">
            <v>0.92730741693648</v>
          </cell>
        </row>
        <row r="104">
          <cell r="I104">
            <v>0.927307429881999</v>
          </cell>
        </row>
        <row r="105">
          <cell r="I105">
            <v>0.92724472453849</v>
          </cell>
        </row>
        <row r="106">
          <cell r="I106">
            <v>0.927288408770917</v>
          </cell>
        </row>
        <row r="107">
          <cell r="I107">
            <v>0.92735787923544</v>
          </cell>
        </row>
        <row r="108">
          <cell r="I108">
            <v>0.927383323337026</v>
          </cell>
        </row>
        <row r="109">
          <cell r="I109">
            <v>0.927383318232165</v>
          </cell>
        </row>
        <row r="110">
          <cell r="I110">
            <v>0.927383318232165</v>
          </cell>
        </row>
        <row r="111">
          <cell r="I111">
            <v>0.927383318232165</v>
          </cell>
        </row>
        <row r="112">
          <cell r="I112">
            <v>0.927383318232165</v>
          </cell>
        </row>
        <row r="113">
          <cell r="I113">
            <v>0.927383318232165</v>
          </cell>
        </row>
        <row r="114">
          <cell r="I114">
            <v>0.927383318232165</v>
          </cell>
        </row>
        <row r="115">
          <cell r="I115">
            <v>0.927383318232165</v>
          </cell>
        </row>
        <row r="116">
          <cell r="I116">
            <v>0.927383318232165</v>
          </cell>
        </row>
        <row r="117">
          <cell r="I117">
            <v>0.927383318232165</v>
          </cell>
        </row>
        <row r="118">
          <cell r="I118">
            <v>0.927383318232165</v>
          </cell>
        </row>
        <row r="119">
          <cell r="I119">
            <v>0.927383318232165</v>
          </cell>
        </row>
        <row r="120">
          <cell r="I120">
            <v>0.927383318232165</v>
          </cell>
        </row>
        <row r="121">
          <cell r="I121">
            <v>0.927383318232165</v>
          </cell>
        </row>
        <row r="122">
          <cell r="I122">
            <v>0.927383318232165</v>
          </cell>
        </row>
        <row r="123">
          <cell r="I123">
            <v>0.927383318232165</v>
          </cell>
        </row>
        <row r="124">
          <cell r="I124">
            <v>0.927383318232165</v>
          </cell>
        </row>
        <row r="125">
          <cell r="I125">
            <v>0.927383318232165</v>
          </cell>
        </row>
        <row r="126">
          <cell r="I126">
            <v>0.927383318232165</v>
          </cell>
        </row>
        <row r="127">
          <cell r="I127">
            <v>0.927383318232165</v>
          </cell>
        </row>
        <row r="128">
          <cell r="I128">
            <v>0.927383318232165</v>
          </cell>
        </row>
        <row r="129">
          <cell r="I129">
            <v>0.927383318232165</v>
          </cell>
        </row>
        <row r="130">
          <cell r="I130">
            <v>0.927383318232165</v>
          </cell>
        </row>
        <row r="131">
          <cell r="I131">
            <v>0.927383318232165</v>
          </cell>
        </row>
        <row r="132">
          <cell r="I132">
            <v>0.927383318232165</v>
          </cell>
        </row>
        <row r="133">
          <cell r="I133">
            <v>0.927383318232165</v>
          </cell>
        </row>
        <row r="134">
          <cell r="I134">
            <v>0.927383318232165</v>
          </cell>
        </row>
        <row r="135">
          <cell r="I135">
            <v>0.927383318232165</v>
          </cell>
        </row>
        <row r="136">
          <cell r="I136">
            <v>0.927383318232165</v>
          </cell>
        </row>
        <row r="137">
          <cell r="I137">
            <v>0.927383318232165</v>
          </cell>
        </row>
        <row r="138">
          <cell r="I138">
            <v>0.927383318232165</v>
          </cell>
        </row>
        <row r="139">
          <cell r="I139">
            <v>0.927383318232165</v>
          </cell>
        </row>
        <row r="140">
          <cell r="I140">
            <v>0.927383318232165</v>
          </cell>
        </row>
        <row r="141">
          <cell r="I141">
            <v>0.927383318232165</v>
          </cell>
        </row>
        <row r="142">
          <cell r="I142">
            <v>0.927383318232165</v>
          </cell>
        </row>
        <row r="143">
          <cell r="I143">
            <v>0.927383318232165</v>
          </cell>
        </row>
        <row r="144">
          <cell r="I144">
            <v>0.927383318232165</v>
          </cell>
        </row>
        <row r="145">
          <cell r="I145">
            <v>0.927383318232165</v>
          </cell>
        </row>
        <row r="146">
          <cell r="I146">
            <v>0.927383318232165</v>
          </cell>
        </row>
        <row r="147">
          <cell r="I147">
            <v>0.927383318232165</v>
          </cell>
        </row>
        <row r="148">
          <cell r="I148">
            <v>0.927383318232165</v>
          </cell>
        </row>
        <row r="149">
          <cell r="I149">
            <v>0.927383318232165</v>
          </cell>
        </row>
        <row r="150">
          <cell r="I150">
            <v>0.927383318232165</v>
          </cell>
        </row>
        <row r="151">
          <cell r="I151">
            <v>0.927383318232165</v>
          </cell>
        </row>
        <row r="152">
          <cell r="I152">
            <v>0.927383318232165</v>
          </cell>
        </row>
        <row r="153">
          <cell r="I153">
            <v>0.927383318232165</v>
          </cell>
        </row>
        <row r="154">
          <cell r="I154">
            <v>0.927383318232165</v>
          </cell>
        </row>
        <row r="155">
          <cell r="I155">
            <v>0.927383318232165</v>
          </cell>
        </row>
        <row r="156">
          <cell r="I156">
            <v>0.927383318232165</v>
          </cell>
        </row>
        <row r="157">
          <cell r="I157">
            <v>0.927383318232165</v>
          </cell>
        </row>
        <row r="158">
          <cell r="I158">
            <v>0.927383318232165</v>
          </cell>
        </row>
        <row r="159">
          <cell r="I159">
            <v>0.927383318232165</v>
          </cell>
        </row>
        <row r="160">
          <cell r="I160">
            <v>0.927383318232165</v>
          </cell>
        </row>
        <row r="161">
          <cell r="I161">
            <v>0.927383318232165</v>
          </cell>
        </row>
        <row r="162">
          <cell r="I162">
            <v>0.927383318232165</v>
          </cell>
        </row>
        <row r="163">
          <cell r="I163">
            <v>0.927383318232165</v>
          </cell>
        </row>
        <row r="164">
          <cell r="I164">
            <v>0.927383318232165</v>
          </cell>
        </row>
        <row r="165">
          <cell r="I165">
            <v>0.927383318232165</v>
          </cell>
        </row>
        <row r="166">
          <cell r="I166">
            <v>0.927383318232165</v>
          </cell>
        </row>
        <row r="167">
          <cell r="I167">
            <v>0.927383318232165</v>
          </cell>
        </row>
        <row r="168">
          <cell r="I168">
            <v>0.927383318232165</v>
          </cell>
        </row>
        <row r="169">
          <cell r="I169">
            <v>0.927383318232165</v>
          </cell>
        </row>
        <row r="170">
          <cell r="I170">
            <v>0.927383318232165</v>
          </cell>
        </row>
        <row r="171">
          <cell r="I171">
            <v>0.927383318232165</v>
          </cell>
        </row>
        <row r="172">
          <cell r="I172">
            <v>0.927383318232165</v>
          </cell>
        </row>
        <row r="173">
          <cell r="I173">
            <v>0.927383318232165</v>
          </cell>
        </row>
        <row r="174">
          <cell r="I174">
            <v>0.927383318232165</v>
          </cell>
        </row>
        <row r="175">
          <cell r="I175">
            <v>0.927383318232165</v>
          </cell>
        </row>
        <row r="176">
          <cell r="I176">
            <v>0.927383318232165</v>
          </cell>
        </row>
        <row r="177">
          <cell r="I177">
            <v>0.927383318232165</v>
          </cell>
        </row>
        <row r="178">
          <cell r="I178">
            <v>0.927383318232165</v>
          </cell>
        </row>
        <row r="179">
          <cell r="I179">
            <v>0.927383318232165</v>
          </cell>
        </row>
        <row r="180">
          <cell r="I180">
            <v>0.927383318232165</v>
          </cell>
        </row>
        <row r="181">
          <cell r="I181">
            <v>0.927383318232165</v>
          </cell>
        </row>
        <row r="182">
          <cell r="I182">
            <v>0.927383318232165</v>
          </cell>
        </row>
        <row r="183">
          <cell r="I183">
            <v>0.927383318232165</v>
          </cell>
        </row>
        <row r="184">
          <cell r="I184">
            <v>0.927383318232165</v>
          </cell>
        </row>
        <row r="185">
          <cell r="I185">
            <v>0.927383318232165</v>
          </cell>
        </row>
        <row r="186">
          <cell r="I186">
            <v>0.927383318232165</v>
          </cell>
        </row>
        <row r="187">
          <cell r="I187">
            <v>0.927383318232165</v>
          </cell>
        </row>
        <row r="188">
          <cell r="I188">
            <v>0.927383318232165</v>
          </cell>
        </row>
        <row r="189">
          <cell r="I189">
            <v>0.927383318232165</v>
          </cell>
        </row>
        <row r="190">
          <cell r="I190">
            <v>0.927383318232165</v>
          </cell>
        </row>
        <row r="191">
          <cell r="I191">
            <v>0.927383318232165</v>
          </cell>
        </row>
        <row r="192">
          <cell r="I192">
            <v>0.927383318232165</v>
          </cell>
        </row>
        <row r="193">
          <cell r="I193">
            <v>0.927383318232165</v>
          </cell>
        </row>
        <row r="194">
          <cell r="I194">
            <v>0.927383318232165</v>
          </cell>
        </row>
        <row r="195">
          <cell r="I195">
            <v>0.927383318232165</v>
          </cell>
        </row>
        <row r="196">
          <cell r="I196">
            <v>0.927383318232165</v>
          </cell>
        </row>
        <row r="197">
          <cell r="I197">
            <v>0.927383318232165</v>
          </cell>
        </row>
        <row r="198">
          <cell r="I198">
            <v>0.927383318232165</v>
          </cell>
        </row>
        <row r="199">
          <cell r="I199">
            <v>0.927383318232165</v>
          </cell>
        </row>
        <row r="200">
          <cell r="I200">
            <v>0.927383318232165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windowProtection="true" showFormulas="false" showGridLines="true" showRowColHeaders="true" showZeros="true" rightToLeft="false" tabSelected="false" showOutlineSymbols="true" defaultGridColor="true" view="normal" topLeftCell="AK1" colorId="64" zoomScale="50" zoomScaleNormal="50" zoomScalePageLayoutView="100" workbookViewId="0">
      <pane xSplit="0" ySplit="2" topLeftCell="A4" activePane="bottomLeft" state="frozen"/>
      <selection pane="topLeft" activeCell="AK1" activeCellId="0" sqref="AK1"/>
      <selection pane="bottomLeft" activeCell="AJ1" activeCellId="0" sqref="AJ1"/>
    </sheetView>
  </sheetViews>
  <sheetFormatPr defaultRowHeight="15"/>
  <cols>
    <col collapsed="false" hidden="false" max="2" min="1" style="1" width="10.830985915493"/>
    <col collapsed="false" hidden="false" max="3" min="3" style="1" width="13"/>
    <col collapsed="false" hidden="false" max="7" min="4" style="1" width="10.830985915493"/>
    <col collapsed="false" hidden="false" max="8" min="8" style="1" width="13"/>
    <col collapsed="false" hidden="false" max="9" min="9" style="1" width="11.8356807511737"/>
    <col collapsed="false" hidden="false" max="10" min="10" style="1" width="13"/>
    <col collapsed="false" hidden="false" max="1025" min="11" style="1" width="10.830985915493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  <c r="D1" s="0"/>
      <c r="E1" s="0"/>
      <c r="F1" s="0"/>
      <c r="G1" s="0"/>
      <c r="H1" s="2" t="s">
        <v>2</v>
      </c>
      <c r="I1" s="0"/>
      <c r="J1" s="0"/>
      <c r="K1" s="0"/>
      <c r="L1" s="2"/>
      <c r="M1" s="2"/>
      <c r="N1" s="2"/>
      <c r="O1" s="2"/>
      <c r="P1" s="2"/>
      <c r="Q1" s="2"/>
      <c r="R1" s="3"/>
      <c r="S1" s="3"/>
      <c r="T1" s="3"/>
      <c r="U1" s="3" t="s">
        <v>1</v>
      </c>
      <c r="V1" s="3"/>
      <c r="W1" s="3" t="s">
        <v>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  <c r="AK1" s="2"/>
      <c r="AL1" s="2"/>
      <c r="AM1" s="2" t="s">
        <v>1</v>
      </c>
      <c r="AN1" s="2"/>
      <c r="AO1" s="2" t="s">
        <v>4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customFormat="false" ht="31.55" hidden="false" customHeight="false" outlineLevel="0" collapsed="false">
      <c r="A2" s="2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2" t="s">
        <v>5</v>
      </c>
      <c r="H2" s="4" t="s">
        <v>6</v>
      </c>
      <c r="I2" s="4" t="s">
        <v>8</v>
      </c>
      <c r="J2" s="4" t="s">
        <v>9</v>
      </c>
      <c r="K2" s="4" t="s">
        <v>7</v>
      </c>
      <c r="L2" s="4"/>
      <c r="M2" s="2" t="s">
        <v>5</v>
      </c>
      <c r="N2" s="4" t="s">
        <v>11</v>
      </c>
      <c r="O2" s="4" t="s">
        <v>12</v>
      </c>
      <c r="P2" s="4" t="s">
        <v>13</v>
      </c>
      <c r="Q2" s="4" t="s">
        <v>14</v>
      </c>
      <c r="R2" s="5" t="s">
        <v>10</v>
      </c>
      <c r="S2" s="3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3" t="s">
        <v>5</v>
      </c>
      <c r="Z2" s="5" t="s">
        <v>6</v>
      </c>
      <c r="AA2" s="5" t="s">
        <v>8</v>
      </c>
      <c r="AB2" s="5" t="s">
        <v>9</v>
      </c>
      <c r="AC2" s="5" t="s">
        <v>7</v>
      </c>
      <c r="AD2" s="5"/>
      <c r="AE2" s="3" t="s">
        <v>5</v>
      </c>
      <c r="AF2" s="5" t="s">
        <v>11</v>
      </c>
      <c r="AG2" s="5" t="s">
        <v>12</v>
      </c>
      <c r="AH2" s="5" t="s">
        <v>13</v>
      </c>
      <c r="AI2" s="5" t="s">
        <v>14</v>
      </c>
      <c r="AJ2" s="4" t="s">
        <v>10</v>
      </c>
      <c r="AK2" s="2" t="s">
        <v>5</v>
      </c>
      <c r="AL2" s="4" t="s">
        <v>6</v>
      </c>
      <c r="AM2" s="4" t="s">
        <v>7</v>
      </c>
      <c r="AN2" s="4" t="s">
        <v>8</v>
      </c>
      <c r="AO2" s="4" t="s">
        <v>9</v>
      </c>
      <c r="AP2" s="4" t="s">
        <v>10</v>
      </c>
      <c r="AQ2" s="2" t="s">
        <v>5</v>
      </c>
      <c r="AR2" s="4" t="s">
        <v>6</v>
      </c>
      <c r="AS2" s="4" t="s">
        <v>8</v>
      </c>
      <c r="AT2" s="4" t="s">
        <v>9</v>
      </c>
      <c r="AU2" s="4" t="s">
        <v>7</v>
      </c>
      <c r="AV2" s="4"/>
      <c r="AW2" s="2" t="s">
        <v>5</v>
      </c>
      <c r="AX2" s="4" t="s">
        <v>11</v>
      </c>
      <c r="AY2" s="4" t="s">
        <v>12</v>
      </c>
      <c r="AZ2" s="4" t="s">
        <v>13</v>
      </c>
      <c r="BA2" s="4" t="s">
        <v>14</v>
      </c>
    </row>
    <row r="3" customFormat="false" ht="15" hidden="false" customHeight="false" outlineLevel="0" collapsed="false">
      <c r="A3" s="2" t="n">
        <v>6695.92</v>
      </c>
      <c r="B3" s="4"/>
      <c r="C3" s="4"/>
      <c r="D3" s="4"/>
      <c r="E3" s="4"/>
      <c r="F3" s="4"/>
      <c r="G3" s="4" t="n">
        <v>32692.5752705917</v>
      </c>
      <c r="H3" s="4"/>
      <c r="I3" s="4"/>
      <c r="J3" s="0"/>
      <c r="K3" s="4"/>
      <c r="L3" s="2"/>
      <c r="M3" s="2"/>
      <c r="N3" s="2"/>
      <c r="O3" s="2"/>
      <c r="P3" s="2"/>
      <c r="Q3" s="2"/>
      <c r="R3" s="5"/>
      <c r="S3" s="3" t="n">
        <v>6695.92</v>
      </c>
      <c r="T3" s="5"/>
      <c r="U3" s="5"/>
      <c r="V3" s="5"/>
      <c r="W3" s="5"/>
      <c r="X3" s="5"/>
      <c r="Y3" s="3" t="n">
        <v>32692.5752705917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2" t="n">
        <v>6695.92</v>
      </c>
      <c r="AL3" s="4"/>
      <c r="AM3" s="4"/>
      <c r="AN3" s="4"/>
      <c r="AO3" s="4"/>
      <c r="AP3" s="4"/>
      <c r="AQ3" s="2" t="n">
        <v>32692.5752705917</v>
      </c>
      <c r="AR3" s="2"/>
      <c r="AS3" s="2"/>
      <c r="AT3" s="2"/>
      <c r="AU3" s="2"/>
      <c r="AV3" s="2"/>
      <c r="AW3" s="2"/>
      <c r="AX3" s="2"/>
      <c r="AY3" s="2"/>
      <c r="AZ3" s="2"/>
      <c r="BA3" s="2"/>
    </row>
    <row r="4" customFormat="false" ht="15" hidden="false" customHeight="false" outlineLevel="0" collapsed="false">
      <c r="A4" s="6" t="n">
        <v>6414.78904699531</v>
      </c>
      <c r="B4" s="7" t="n">
        <v>474.2857485397</v>
      </c>
      <c r="C4" s="7" t="n">
        <v>491.798668403862</v>
      </c>
      <c r="D4" s="7" t="n">
        <v>384.468261913275</v>
      </c>
      <c r="E4" s="7" t="n">
        <v>668.708483245716</v>
      </c>
      <c r="F4" s="7" t="n">
        <v>2015</v>
      </c>
      <c r="G4" s="4" t="n">
        <v>30749.3056337578</v>
      </c>
      <c r="H4" s="7" t="n">
        <v>2273.48979564869</v>
      </c>
      <c r="I4" s="7" t="n">
        <v>1842.94947276379</v>
      </c>
      <c r="J4" s="2" t="n">
        <v>3205.45560899474</v>
      </c>
      <c r="K4" s="7" t="n">
        <v>2357.43801615874</v>
      </c>
      <c r="L4" s="2" t="n">
        <v>2015</v>
      </c>
      <c r="M4" s="2" t="n">
        <v>31815.715618218</v>
      </c>
      <c r="N4" s="2" t="n">
        <v>2275.69945453833</v>
      </c>
      <c r="O4" s="2" t="n">
        <v>1615.33595671099</v>
      </c>
      <c r="P4" s="2" t="n">
        <v>3585.53070344312</v>
      </c>
      <c r="Q4" s="2" t="n">
        <v>2384.02957948845</v>
      </c>
      <c r="R4" s="8" t="n">
        <v>2015</v>
      </c>
      <c r="S4" s="9" t="n">
        <v>6414.78904699531</v>
      </c>
      <c r="T4" s="8" t="n">
        <v>474.2857485397</v>
      </c>
      <c r="U4" s="8" t="n">
        <v>491.798668403862</v>
      </c>
      <c r="V4" s="8" t="n">
        <v>384.468261913275</v>
      </c>
      <c r="W4" s="8" t="n">
        <v>668.708483245716</v>
      </c>
      <c r="X4" s="8" t="n">
        <v>2015</v>
      </c>
      <c r="Y4" s="3" t="n">
        <v>30749.3056337578</v>
      </c>
      <c r="Z4" s="3" t="n">
        <v>2273.48979564869</v>
      </c>
      <c r="AA4" s="3" t="n">
        <v>1842.94947276379</v>
      </c>
      <c r="AB4" s="3" t="n">
        <v>3205.45560899474</v>
      </c>
      <c r="AC4" s="3" t="n">
        <v>2357.43801615874</v>
      </c>
      <c r="AD4" s="3" t="n">
        <v>2015</v>
      </c>
      <c r="AE4" s="3" t="n">
        <v>31815.715618218</v>
      </c>
      <c r="AF4" s="3" t="n">
        <v>2275.69945453833</v>
      </c>
      <c r="AG4" s="3" t="n">
        <v>1615.33595671099</v>
      </c>
      <c r="AH4" s="3" t="n">
        <v>3585.53070344312</v>
      </c>
      <c r="AI4" s="3" t="n">
        <v>2384.02957948845</v>
      </c>
      <c r="AJ4" s="7" t="n">
        <v>2015</v>
      </c>
      <c r="AK4" s="6" t="n">
        <v>6414.78904699531</v>
      </c>
      <c r="AL4" s="7" t="n">
        <v>474.2857485397</v>
      </c>
      <c r="AM4" s="7" t="n">
        <v>491.798668403862</v>
      </c>
      <c r="AN4" s="7" t="n">
        <v>384.468261913275</v>
      </c>
      <c r="AO4" s="7" t="n">
        <v>668.708483245716</v>
      </c>
      <c r="AP4" s="7" t="n">
        <v>2015</v>
      </c>
      <c r="AQ4" s="2" t="n">
        <v>30749.3056337578</v>
      </c>
      <c r="AR4" s="2" t="n">
        <v>2273.48979564869</v>
      </c>
      <c r="AS4" s="2" t="n">
        <v>1842.94947276379</v>
      </c>
      <c r="AT4" s="2" t="n">
        <v>3205.45560899474</v>
      </c>
      <c r="AU4" s="2" t="n">
        <v>2357.43801615874</v>
      </c>
      <c r="AV4" s="2" t="n">
        <v>2015</v>
      </c>
      <c r="AW4" s="2" t="n">
        <v>31815.715618218</v>
      </c>
      <c r="AX4" s="2" t="n">
        <v>2275.69945453833</v>
      </c>
      <c r="AY4" s="2" t="n">
        <v>1615.33595671099</v>
      </c>
      <c r="AZ4" s="2" t="n">
        <v>3585.53070344312</v>
      </c>
      <c r="BA4" s="2" t="n">
        <v>2384.02957948845</v>
      </c>
    </row>
    <row r="5" customFormat="false" ht="15" hidden="false" customHeight="false" outlineLevel="0" collapsed="false">
      <c r="A5" s="6" t="n">
        <v>6778.90225184158</v>
      </c>
      <c r="B5" s="7" t="n">
        <v>414.845619864903</v>
      </c>
      <c r="C5" s="7" t="n">
        <v>448.336768066909</v>
      </c>
      <c r="D5" s="7" t="n">
        <v>246.411767438446</v>
      </c>
      <c r="E5" s="7" t="n">
        <v>760.072826111377</v>
      </c>
      <c r="F5" s="7" t="n">
        <v>2015</v>
      </c>
      <c r="G5" s="4" t="n">
        <v>31689.0687728035</v>
      </c>
      <c r="H5" s="7" t="n">
        <v>1939.26256635784</v>
      </c>
      <c r="I5" s="7" t="n">
        <v>1151.89143532254</v>
      </c>
      <c r="J5" s="2" t="n">
        <v>3553.0826620843</v>
      </c>
      <c r="K5" s="7" t="n">
        <v>2095.82232474131</v>
      </c>
      <c r="L5" s="2" t="n">
        <v>2016</v>
      </c>
      <c r="M5" s="2" t="n">
        <v>29969.7816818848</v>
      </c>
      <c r="N5" s="2" t="n">
        <v>2497.94574473008</v>
      </c>
      <c r="O5" s="2" t="n">
        <v>2097.66423933955</v>
      </c>
      <c r="P5" s="2" t="n">
        <v>3422.87452907375</v>
      </c>
      <c r="Q5" s="2" t="n">
        <v>2567.49192465147</v>
      </c>
      <c r="R5" s="8" t="n">
        <v>2015</v>
      </c>
      <c r="S5" s="9" t="n">
        <v>6778.90225184158</v>
      </c>
      <c r="T5" s="8" t="n">
        <v>414.845619864903</v>
      </c>
      <c r="U5" s="8" t="n">
        <v>448.336768066909</v>
      </c>
      <c r="V5" s="8" t="n">
        <v>246.411767438446</v>
      </c>
      <c r="W5" s="8" t="n">
        <v>760.072826111377</v>
      </c>
      <c r="X5" s="8" t="n">
        <v>2015</v>
      </c>
      <c r="Y5" s="3" t="n">
        <v>31689.0687728035</v>
      </c>
      <c r="Z5" s="3" t="n">
        <v>1939.26256635784</v>
      </c>
      <c r="AA5" s="3" t="n">
        <v>1151.89143532254</v>
      </c>
      <c r="AB5" s="3" t="n">
        <v>3553.0826620843</v>
      </c>
      <c r="AC5" s="3" t="n">
        <v>2095.82232474131</v>
      </c>
      <c r="AD5" s="3" t="n">
        <v>2016</v>
      </c>
      <c r="AE5" s="3" t="n">
        <v>29969.7816818848</v>
      </c>
      <c r="AF5" s="3" t="n">
        <v>2497.94574473008</v>
      </c>
      <c r="AG5" s="3" t="n">
        <v>2097.66423933955</v>
      </c>
      <c r="AH5" s="3" t="n">
        <v>3422.87452907375</v>
      </c>
      <c r="AI5" s="3" t="n">
        <v>2567.49192465147</v>
      </c>
      <c r="AJ5" s="7" t="n">
        <v>2015</v>
      </c>
      <c r="AK5" s="6" t="n">
        <v>6778.90225184158</v>
      </c>
      <c r="AL5" s="7" t="n">
        <v>414.845619864903</v>
      </c>
      <c r="AM5" s="7" t="n">
        <v>448.336768066909</v>
      </c>
      <c r="AN5" s="7" t="n">
        <v>246.411767438446</v>
      </c>
      <c r="AO5" s="7" t="n">
        <v>760.072826111377</v>
      </c>
      <c r="AP5" s="7" t="n">
        <v>2015</v>
      </c>
      <c r="AQ5" s="2" t="n">
        <v>31689.0687728035</v>
      </c>
      <c r="AR5" s="2" t="n">
        <v>1939.26256635784</v>
      </c>
      <c r="AS5" s="2" t="n">
        <v>1151.89143532254</v>
      </c>
      <c r="AT5" s="2" t="n">
        <v>3553.0826620843</v>
      </c>
      <c r="AU5" s="2" t="n">
        <v>2095.82232474131</v>
      </c>
      <c r="AV5" s="2" t="n">
        <v>2016</v>
      </c>
      <c r="AW5" s="2" t="n">
        <v>29969.7816818848</v>
      </c>
      <c r="AX5" s="2" t="n">
        <v>2497.94574473008</v>
      </c>
      <c r="AY5" s="2" t="n">
        <v>2097.66423933955</v>
      </c>
      <c r="AZ5" s="2" t="n">
        <v>3422.87452907375</v>
      </c>
      <c r="BA5" s="2" t="n">
        <v>2567.49192465147</v>
      </c>
    </row>
    <row r="6" customFormat="false" ht="15" hidden="false" customHeight="false" outlineLevel="0" collapsed="false">
      <c r="A6" s="6" t="n">
        <v>7092.02100217064</v>
      </c>
      <c r="B6" s="7" t="n">
        <v>550.517609871627</v>
      </c>
      <c r="C6" s="7" t="n">
        <v>570.37797530294</v>
      </c>
      <c r="D6" s="7" t="n">
        <v>385.15427788412</v>
      </c>
      <c r="E6" s="7" t="n">
        <v>857.427316933735</v>
      </c>
      <c r="F6" s="7" t="n">
        <v>2015</v>
      </c>
      <c r="G6" s="4" t="n">
        <v>32570.7765224842</v>
      </c>
      <c r="H6" s="7" t="n">
        <v>2528.30413747123</v>
      </c>
      <c r="I6" s="7" t="n">
        <v>1768.85741142093</v>
      </c>
      <c r="J6" s="2" t="n">
        <v>3937.81596466992</v>
      </c>
      <c r="K6" s="7" t="n">
        <v>2619.51474216631</v>
      </c>
      <c r="L6" s="2" t="n">
        <v>2017</v>
      </c>
      <c r="M6" s="2" t="n">
        <v>30901.2012202376</v>
      </c>
      <c r="N6" s="2" t="n">
        <v>2692.47897452934</v>
      </c>
      <c r="O6" s="2" t="n">
        <v>2490.28467034532</v>
      </c>
      <c r="P6" s="2" t="n">
        <v>3525.67398212635</v>
      </c>
      <c r="Q6" s="2" t="n">
        <v>2734.38783573162</v>
      </c>
      <c r="R6" s="8" t="n">
        <v>2015</v>
      </c>
      <c r="S6" s="9" t="n">
        <v>7092.02100217064</v>
      </c>
      <c r="T6" s="8" t="n">
        <v>550.517609871627</v>
      </c>
      <c r="U6" s="8" t="n">
        <v>570.37797530294</v>
      </c>
      <c r="V6" s="8" t="n">
        <v>385.15427788412</v>
      </c>
      <c r="W6" s="8" t="n">
        <v>857.427316933735</v>
      </c>
      <c r="X6" s="8" t="n">
        <v>2015</v>
      </c>
      <c r="Y6" s="3" t="n">
        <v>32570.7765224842</v>
      </c>
      <c r="Z6" s="3" t="n">
        <v>2528.30413747123</v>
      </c>
      <c r="AA6" s="3" t="n">
        <v>1768.85741142093</v>
      </c>
      <c r="AB6" s="3" t="n">
        <v>3937.81596466992</v>
      </c>
      <c r="AC6" s="3" t="n">
        <v>2619.51474216631</v>
      </c>
      <c r="AD6" s="3" t="n">
        <v>2017</v>
      </c>
      <c r="AE6" s="3" t="n">
        <v>30901.2012202376</v>
      </c>
      <c r="AF6" s="3" t="n">
        <v>2692.47897452934</v>
      </c>
      <c r="AG6" s="3" t="n">
        <v>2490.28467034532</v>
      </c>
      <c r="AH6" s="3" t="n">
        <v>3525.67398212635</v>
      </c>
      <c r="AI6" s="3" t="n">
        <v>2734.38783573162</v>
      </c>
      <c r="AJ6" s="7" t="n">
        <v>2015</v>
      </c>
      <c r="AK6" s="6" t="n">
        <v>7092.02100217064</v>
      </c>
      <c r="AL6" s="7" t="n">
        <v>550.517609871627</v>
      </c>
      <c r="AM6" s="7" t="n">
        <v>570.37797530294</v>
      </c>
      <c r="AN6" s="7" t="n">
        <v>385.15427788412</v>
      </c>
      <c r="AO6" s="7" t="n">
        <v>857.427316933735</v>
      </c>
      <c r="AP6" s="7" t="n">
        <v>2015</v>
      </c>
      <c r="AQ6" s="2" t="n">
        <v>32570.7765224842</v>
      </c>
      <c r="AR6" s="2" t="n">
        <v>2528.30413747123</v>
      </c>
      <c r="AS6" s="2" t="n">
        <v>1768.85741142093</v>
      </c>
      <c r="AT6" s="2" t="n">
        <v>3937.81596466992</v>
      </c>
      <c r="AU6" s="2" t="n">
        <v>2619.51474216631</v>
      </c>
      <c r="AV6" s="2" t="n">
        <v>2017</v>
      </c>
      <c r="AW6" s="2" t="n">
        <v>30901.2012202376</v>
      </c>
      <c r="AX6" s="2" t="n">
        <v>2692.47897452934</v>
      </c>
      <c r="AY6" s="2" t="n">
        <v>2490.28467034532</v>
      </c>
      <c r="AZ6" s="2" t="n">
        <v>3525.67398212635</v>
      </c>
      <c r="BA6" s="2" t="n">
        <v>2734.38783573162</v>
      </c>
    </row>
    <row r="7" customFormat="false" ht="15" hidden="false" customHeight="false" outlineLevel="0" collapsed="false">
      <c r="A7" s="6" t="n">
        <v>7113.98164433727</v>
      </c>
      <c r="B7" s="7" t="n">
        <v>520.913209225584</v>
      </c>
      <c r="C7" s="7" t="n">
        <v>543.322852406607</v>
      </c>
      <c r="D7" s="7" t="n">
        <v>374.438115792493</v>
      </c>
      <c r="E7" s="7" t="n">
        <v>804.122363043989</v>
      </c>
      <c r="F7" s="7" t="n">
        <v>2015</v>
      </c>
      <c r="G7" s="4" t="n">
        <v>32253.7115438263</v>
      </c>
      <c r="H7" s="7" t="n">
        <v>2361.74131867556</v>
      </c>
      <c r="I7" s="7" t="n">
        <v>1697.6455073367</v>
      </c>
      <c r="J7" s="2" t="n">
        <v>3645.7685780235</v>
      </c>
      <c r="K7" s="7" t="n">
        <v>2463.34323488743</v>
      </c>
      <c r="L7" s="2" t="n">
        <v>2018</v>
      </c>
      <c r="M7" s="2" t="n">
        <v>29333.2223456884</v>
      </c>
      <c r="N7" s="2" t="n">
        <v>2489.99767238057</v>
      </c>
      <c r="O7" s="2" t="n">
        <v>2252.22299345299</v>
      </c>
      <c r="P7" s="2" t="n">
        <v>3274.69659003115</v>
      </c>
      <c r="Q7" s="2" t="n">
        <v>2515.37149058918</v>
      </c>
      <c r="R7" s="8" t="n">
        <v>2015</v>
      </c>
      <c r="S7" s="9" t="n">
        <v>7113.98164433727</v>
      </c>
      <c r="T7" s="8" t="n">
        <v>520.913209225584</v>
      </c>
      <c r="U7" s="8" t="n">
        <v>543.322852406607</v>
      </c>
      <c r="V7" s="8" t="n">
        <v>374.438115792493</v>
      </c>
      <c r="W7" s="8" t="n">
        <v>804.122363043989</v>
      </c>
      <c r="X7" s="8" t="n">
        <v>2015</v>
      </c>
      <c r="Y7" s="3" t="n">
        <v>32253.7115438263</v>
      </c>
      <c r="Z7" s="3" t="n">
        <v>2361.74131867556</v>
      </c>
      <c r="AA7" s="3" t="n">
        <v>1697.6455073367</v>
      </c>
      <c r="AB7" s="3" t="n">
        <v>3645.7685780235</v>
      </c>
      <c r="AC7" s="3" t="n">
        <v>2463.34323488743</v>
      </c>
      <c r="AD7" s="3" t="n">
        <v>2018</v>
      </c>
      <c r="AE7" s="3" t="n">
        <v>29333.2223456884</v>
      </c>
      <c r="AF7" s="3" t="n">
        <v>2489.99767238057</v>
      </c>
      <c r="AG7" s="3" t="n">
        <v>2252.22299345299</v>
      </c>
      <c r="AH7" s="3" t="n">
        <v>3274.69659003115</v>
      </c>
      <c r="AI7" s="3" t="n">
        <v>2515.37149058918</v>
      </c>
      <c r="AJ7" s="7" t="n">
        <v>2015</v>
      </c>
      <c r="AK7" s="6" t="n">
        <v>7113.98164433727</v>
      </c>
      <c r="AL7" s="7" t="n">
        <v>520.913209225584</v>
      </c>
      <c r="AM7" s="7" t="n">
        <v>543.322852406607</v>
      </c>
      <c r="AN7" s="7" t="n">
        <v>374.438115792493</v>
      </c>
      <c r="AO7" s="7" t="n">
        <v>804.122363043989</v>
      </c>
      <c r="AP7" s="7" t="n">
        <v>2015</v>
      </c>
      <c r="AQ7" s="2" t="n">
        <v>32253.7115438263</v>
      </c>
      <c r="AR7" s="2" t="n">
        <v>2361.74131867556</v>
      </c>
      <c r="AS7" s="2" t="n">
        <v>1697.6455073367</v>
      </c>
      <c r="AT7" s="2" t="n">
        <v>3645.7685780235</v>
      </c>
      <c r="AU7" s="2" t="n">
        <v>2463.34323488743</v>
      </c>
      <c r="AV7" s="2" t="n">
        <v>2018</v>
      </c>
      <c r="AW7" s="2" t="n">
        <v>29336.9739271587</v>
      </c>
      <c r="AX7" s="2" t="n">
        <v>2489.76038927005</v>
      </c>
      <c r="AY7" s="2" t="n">
        <v>2251.57565790209</v>
      </c>
      <c r="AZ7" s="2" t="n">
        <v>3274.69659003115</v>
      </c>
      <c r="BA7" s="2" t="n">
        <v>2514.935853007</v>
      </c>
    </row>
    <row r="8" customFormat="false" ht="15" hidden="false" customHeight="false" outlineLevel="0" collapsed="false">
      <c r="A8" s="6" t="n">
        <v>6705.54599729676</v>
      </c>
      <c r="B8" s="7" t="n">
        <v>583.77885923771</v>
      </c>
      <c r="C8" s="7" t="n">
        <v>602.120154708326</v>
      </c>
      <c r="D8" s="7" t="n">
        <v>434.161889707348</v>
      </c>
      <c r="E8" s="7" t="n">
        <v>830.382417274912</v>
      </c>
      <c r="F8" s="7" t="n">
        <v>2016</v>
      </c>
      <c r="G8" s="4" t="n">
        <v>30401.9263969884</v>
      </c>
      <c r="H8" s="7" t="n">
        <v>2646.76462107897</v>
      </c>
      <c r="I8" s="7" t="n">
        <v>1968.4240210389</v>
      </c>
      <c r="J8" s="2" t="n">
        <v>3764.82767272381</v>
      </c>
      <c r="K8" s="7" t="n">
        <v>2729.92126710718</v>
      </c>
      <c r="L8" s="2" t="n">
        <v>2019</v>
      </c>
      <c r="M8" s="2" t="n">
        <v>26863.1933240567</v>
      </c>
      <c r="N8" s="2" t="n">
        <v>2222.45276756908</v>
      </c>
      <c r="O8" s="2" t="n">
        <v>1881.54366369364</v>
      </c>
      <c r="P8" s="2" t="n">
        <v>3193.88488219808</v>
      </c>
      <c r="Q8" s="2" t="n">
        <v>2264.3173204628</v>
      </c>
      <c r="R8" s="8" t="n">
        <v>2016</v>
      </c>
      <c r="S8" s="9" t="n">
        <v>6705.54599729676</v>
      </c>
      <c r="T8" s="8" t="n">
        <v>583.77885923771</v>
      </c>
      <c r="U8" s="8" t="n">
        <v>602.120154708326</v>
      </c>
      <c r="V8" s="8" t="n">
        <v>434.161889707348</v>
      </c>
      <c r="W8" s="8" t="n">
        <v>830.382417274912</v>
      </c>
      <c r="X8" s="8" t="n">
        <v>2016</v>
      </c>
      <c r="Y8" s="3" t="n">
        <v>30401.9263969884</v>
      </c>
      <c r="Z8" s="3" t="n">
        <v>2646.76462107897</v>
      </c>
      <c r="AA8" s="3" t="n">
        <v>1968.4240210389</v>
      </c>
      <c r="AB8" s="3" t="n">
        <v>3764.82767272381</v>
      </c>
      <c r="AC8" s="3" t="n">
        <v>2729.92126710718</v>
      </c>
      <c r="AD8" s="3" t="n">
        <v>2019</v>
      </c>
      <c r="AE8" s="3" t="n">
        <v>26863.1933240567</v>
      </c>
      <c r="AF8" s="3" t="n">
        <v>2222.45276756908</v>
      </c>
      <c r="AG8" s="3" t="n">
        <v>1881.54366369364</v>
      </c>
      <c r="AH8" s="3" t="n">
        <v>3193.88488219808</v>
      </c>
      <c r="AI8" s="3" t="n">
        <v>2264.3173204628</v>
      </c>
      <c r="AJ8" s="7" t="n">
        <v>2016</v>
      </c>
      <c r="AK8" s="6" t="n">
        <v>6705.54599729676</v>
      </c>
      <c r="AL8" s="7" t="n">
        <v>583.77885923771</v>
      </c>
      <c r="AM8" s="7" t="n">
        <v>602.120154708326</v>
      </c>
      <c r="AN8" s="7" t="n">
        <v>434.161889707348</v>
      </c>
      <c r="AO8" s="7" t="n">
        <v>830.382417274912</v>
      </c>
      <c r="AP8" s="7" t="n">
        <v>2016</v>
      </c>
      <c r="AQ8" s="2" t="n">
        <v>30401.9263969884</v>
      </c>
      <c r="AR8" s="2" t="n">
        <v>2646.76462107897</v>
      </c>
      <c r="AS8" s="2" t="n">
        <v>1968.4240210389</v>
      </c>
      <c r="AT8" s="2" t="n">
        <v>3764.82767272381</v>
      </c>
      <c r="AU8" s="2" t="n">
        <v>2729.92126710718</v>
      </c>
      <c r="AV8" s="2" t="n">
        <v>2019</v>
      </c>
      <c r="AW8" s="2" t="n">
        <v>26869.677741076</v>
      </c>
      <c r="AX8" s="2" t="n">
        <v>2225.27035633069</v>
      </c>
      <c r="AY8" s="2" t="n">
        <v>1881.47370595091</v>
      </c>
      <c r="AZ8" s="2" t="n">
        <v>3206.1950815083</v>
      </c>
      <c r="BA8" s="2" t="n">
        <v>2265.28762009921</v>
      </c>
    </row>
    <row r="9" customFormat="false" ht="15" hidden="false" customHeight="false" outlineLevel="0" collapsed="false">
      <c r="A9" s="6" t="n">
        <v>6521.17321865806</v>
      </c>
      <c r="B9" s="7" t="n">
        <v>525.569094216077</v>
      </c>
      <c r="C9" s="7" t="n">
        <v>545.656540631016</v>
      </c>
      <c r="D9" s="7" t="n">
        <v>451.937308863266</v>
      </c>
      <c r="E9" s="7" t="n">
        <v>716.634741102767</v>
      </c>
      <c r="F9" s="7" t="n">
        <v>2016</v>
      </c>
      <c r="G9" s="4" t="n">
        <v>29566.0082408768</v>
      </c>
      <c r="H9" s="7" t="n">
        <v>2382.8503935892</v>
      </c>
      <c r="I9" s="7" t="n">
        <v>2049.01506986202</v>
      </c>
      <c r="J9" s="2" t="n">
        <v>3249.1129971093</v>
      </c>
      <c r="K9" s="7" t="n">
        <v>2473.923822607</v>
      </c>
      <c r="L9" s="2" t="n">
        <v>2020</v>
      </c>
      <c r="M9" s="2" t="n">
        <v>26757.0482227393</v>
      </c>
      <c r="N9" s="2" t="n">
        <v>2031.15588222214</v>
      </c>
      <c r="O9" s="2" t="n">
        <v>1784.29065636383</v>
      </c>
      <c r="P9" s="2" t="n">
        <v>2676.60719299171</v>
      </c>
      <c r="Q9" s="2" t="n">
        <v>2025.94675908096</v>
      </c>
      <c r="R9" s="8" t="n">
        <v>2016</v>
      </c>
      <c r="S9" s="9" t="n">
        <v>6521.17321865806</v>
      </c>
      <c r="T9" s="8" t="n">
        <v>525.569094216077</v>
      </c>
      <c r="U9" s="8" t="n">
        <v>545.656540631016</v>
      </c>
      <c r="V9" s="8" t="n">
        <v>451.937308863266</v>
      </c>
      <c r="W9" s="8" t="n">
        <v>716.634741102767</v>
      </c>
      <c r="X9" s="8" t="n">
        <v>2016</v>
      </c>
      <c r="Y9" s="3" t="n">
        <v>29566.0082408768</v>
      </c>
      <c r="Z9" s="3" t="n">
        <v>2382.8503935892</v>
      </c>
      <c r="AA9" s="3" t="n">
        <v>2049.01506986202</v>
      </c>
      <c r="AB9" s="3" t="n">
        <v>3249.1129971093</v>
      </c>
      <c r="AC9" s="3" t="n">
        <v>2473.923822607</v>
      </c>
      <c r="AD9" s="3" t="n">
        <v>2020</v>
      </c>
      <c r="AE9" s="3" t="n">
        <v>26978.3037265604</v>
      </c>
      <c r="AF9" s="3" t="n">
        <v>2029.18018032415</v>
      </c>
      <c r="AG9" s="3" t="n">
        <v>1779.89285036087</v>
      </c>
      <c r="AH9" s="3" t="n">
        <v>2677.377965863</v>
      </c>
      <c r="AI9" s="3" t="n">
        <v>2024.20854614857</v>
      </c>
      <c r="AJ9" s="7" t="n">
        <v>2016</v>
      </c>
      <c r="AK9" s="6" t="n">
        <v>6521.17321865806</v>
      </c>
      <c r="AL9" s="7" t="n">
        <v>525.569094216077</v>
      </c>
      <c r="AM9" s="7" t="n">
        <v>545.656540631016</v>
      </c>
      <c r="AN9" s="7" t="n">
        <v>451.937308863266</v>
      </c>
      <c r="AO9" s="7" t="n">
        <v>716.634741102767</v>
      </c>
      <c r="AP9" s="7" t="n">
        <v>2016</v>
      </c>
      <c r="AQ9" s="2" t="n">
        <v>29566.0082408768</v>
      </c>
      <c r="AR9" s="2" t="n">
        <v>2382.8503935892</v>
      </c>
      <c r="AS9" s="2" t="n">
        <v>2049.01506986202</v>
      </c>
      <c r="AT9" s="2" t="n">
        <v>3249.1129971093</v>
      </c>
      <c r="AU9" s="2" t="n">
        <v>2473.923822607</v>
      </c>
      <c r="AV9" s="2" t="n">
        <v>2020</v>
      </c>
      <c r="AW9" s="2" t="n">
        <v>27829.8161270734</v>
      </c>
      <c r="AX9" s="2" t="n">
        <v>2028.41063558477</v>
      </c>
      <c r="AY9" s="2" t="n">
        <v>1832.85137654218</v>
      </c>
      <c r="AZ9" s="2" t="n">
        <v>2622.15475339289</v>
      </c>
      <c r="BA9" s="2" t="n">
        <v>2047.45861064419</v>
      </c>
    </row>
    <row r="10" customFormat="false" ht="15" hidden="false" customHeight="false" outlineLevel="0" collapsed="false">
      <c r="A10" s="6" t="n">
        <v>6554.01964535573</v>
      </c>
      <c r="B10" s="7" t="n">
        <v>519.596734873793</v>
      </c>
      <c r="C10" s="7" t="n">
        <v>532.289111738166</v>
      </c>
      <c r="D10" s="7" t="n">
        <v>433.415822763478</v>
      </c>
      <c r="E10" s="7" t="n">
        <v>698.801487240884</v>
      </c>
      <c r="F10" s="7" t="n">
        <v>2016</v>
      </c>
      <c r="G10" s="4" t="n">
        <v>29714.9289472995</v>
      </c>
      <c r="H10" s="7" t="n">
        <v>2355.77262405132</v>
      </c>
      <c r="I10" s="7" t="n">
        <v>1965.04146690776</v>
      </c>
      <c r="J10" s="2" t="n">
        <v>3168.25973451946</v>
      </c>
      <c r="K10" s="7" t="n">
        <v>2413.31793168012</v>
      </c>
      <c r="L10" s="2" t="n">
        <v>2021</v>
      </c>
      <c r="M10" s="2" t="n">
        <v>27145.4952156295</v>
      </c>
      <c r="N10" s="2" t="n">
        <v>2130.35142462552</v>
      </c>
      <c r="O10" s="2" t="n">
        <v>1883.02509141348</v>
      </c>
      <c r="P10" s="2" t="n">
        <v>2848.07578726079</v>
      </c>
      <c r="Q10" s="2" t="n">
        <v>2129.15022416177</v>
      </c>
      <c r="R10" s="8" t="n">
        <v>2016</v>
      </c>
      <c r="S10" s="9" t="n">
        <v>6554.01964535573</v>
      </c>
      <c r="T10" s="8" t="n">
        <v>519.596734873793</v>
      </c>
      <c r="U10" s="8" t="n">
        <v>532.289111738166</v>
      </c>
      <c r="V10" s="8" t="n">
        <v>433.415822763478</v>
      </c>
      <c r="W10" s="8" t="n">
        <v>698.801487240884</v>
      </c>
      <c r="X10" s="8" t="n">
        <v>2016</v>
      </c>
      <c r="Y10" s="3" t="n">
        <v>29714.9289472995</v>
      </c>
      <c r="Z10" s="3" t="n">
        <v>2355.77262405132</v>
      </c>
      <c r="AA10" s="3" t="n">
        <v>1965.04146690776</v>
      </c>
      <c r="AB10" s="3" t="n">
        <v>3168.25973451946</v>
      </c>
      <c r="AC10" s="3" t="n">
        <v>2413.31793168012</v>
      </c>
      <c r="AD10" s="3" t="n">
        <v>2021</v>
      </c>
      <c r="AE10" s="3" t="n">
        <v>27901.4241375946</v>
      </c>
      <c r="AF10" s="3" t="n">
        <v>2125.56861177406</v>
      </c>
      <c r="AG10" s="3" t="n">
        <v>1878.45445562438</v>
      </c>
      <c r="AH10" s="3" t="n">
        <v>2824.64832928567</v>
      </c>
      <c r="AI10" s="3" t="n">
        <v>2123.38081384108</v>
      </c>
      <c r="AJ10" s="7" t="n">
        <v>2016</v>
      </c>
      <c r="AK10" s="6" t="n">
        <v>6554.01964535573</v>
      </c>
      <c r="AL10" s="7" t="n">
        <v>519.596734873793</v>
      </c>
      <c r="AM10" s="7" t="n">
        <v>532.289111738166</v>
      </c>
      <c r="AN10" s="7" t="n">
        <v>433.415822763478</v>
      </c>
      <c r="AO10" s="7" t="n">
        <v>698.801487240884</v>
      </c>
      <c r="AP10" s="7" t="n">
        <v>2016</v>
      </c>
      <c r="AQ10" s="2" t="n">
        <v>29714.9289472995</v>
      </c>
      <c r="AR10" s="2" t="n">
        <v>2355.77262405132</v>
      </c>
      <c r="AS10" s="2" t="n">
        <v>1965.04146690776</v>
      </c>
      <c r="AT10" s="2" t="n">
        <v>3168.25973451946</v>
      </c>
      <c r="AU10" s="2" t="n">
        <v>2413.31793168012</v>
      </c>
      <c r="AV10" s="2" t="n">
        <v>2021</v>
      </c>
      <c r="AW10" s="2" t="n">
        <v>30017.3342166067</v>
      </c>
      <c r="AX10" s="2" t="n">
        <v>2111.24118167091</v>
      </c>
      <c r="AY10" s="2" t="n">
        <v>1861.15966136134</v>
      </c>
      <c r="AZ10" s="2" t="n">
        <v>2842.81549950922</v>
      </c>
      <c r="BA10" s="2" t="n">
        <v>2120.01661982701</v>
      </c>
    </row>
    <row r="11" customFormat="false" ht="15" hidden="false" customHeight="false" outlineLevel="0" collapsed="false">
      <c r="A11" s="6" t="n">
        <v>6660.1842529205</v>
      </c>
      <c r="B11" s="7" t="n">
        <v>574.874881697894</v>
      </c>
      <c r="C11" s="7" t="n">
        <v>585.111073311737</v>
      </c>
      <c r="D11" s="7" t="n">
        <v>531.155078988134</v>
      </c>
      <c r="E11" s="7" t="n">
        <v>774.021912899876</v>
      </c>
      <c r="F11" s="7" t="n">
        <v>2016</v>
      </c>
      <c r="G11" s="4" t="n">
        <v>30196.2631423746</v>
      </c>
      <c r="H11" s="7" t="n">
        <v>2606.39534020085</v>
      </c>
      <c r="I11" s="7" t="n">
        <v>2408.17639954951</v>
      </c>
      <c r="J11" s="2" t="n">
        <v>3509.29771194241</v>
      </c>
      <c r="K11" s="7" t="n">
        <v>2652.80467721158</v>
      </c>
      <c r="L11" s="2" t="n">
        <v>2022</v>
      </c>
      <c r="M11" s="2" t="n">
        <v>27656.6456452422</v>
      </c>
      <c r="N11" s="2" t="n">
        <v>2193.6398731002</v>
      </c>
      <c r="O11" s="2" t="n">
        <v>1947.50759978971</v>
      </c>
      <c r="P11" s="2" t="n">
        <v>2932.22731244217</v>
      </c>
      <c r="Q11" s="2" t="n">
        <v>2202.43860697305</v>
      </c>
      <c r="R11" s="8" t="n">
        <v>2016</v>
      </c>
      <c r="S11" s="9" t="n">
        <v>6660.1842529205</v>
      </c>
      <c r="T11" s="8" t="n">
        <v>574.874881697894</v>
      </c>
      <c r="U11" s="8" t="n">
        <v>585.111073311737</v>
      </c>
      <c r="V11" s="8" t="n">
        <v>531.155078988134</v>
      </c>
      <c r="W11" s="8" t="n">
        <v>774.021912899876</v>
      </c>
      <c r="X11" s="8" t="n">
        <v>2016</v>
      </c>
      <c r="Y11" s="3" t="n">
        <v>30196.2631423746</v>
      </c>
      <c r="Z11" s="3" t="n">
        <v>2606.39534020085</v>
      </c>
      <c r="AA11" s="3" t="n">
        <v>2408.17639954951</v>
      </c>
      <c r="AB11" s="3" t="n">
        <v>3509.29771194241</v>
      </c>
      <c r="AC11" s="3" t="n">
        <v>2652.80467721158</v>
      </c>
      <c r="AD11" s="3" t="n">
        <v>2022</v>
      </c>
      <c r="AE11" s="3" t="n">
        <v>28721.4193401162</v>
      </c>
      <c r="AF11" s="3" t="n">
        <v>2203.55634355249</v>
      </c>
      <c r="AG11" s="3" t="n">
        <v>1968.59183306929</v>
      </c>
      <c r="AH11" s="3" t="n">
        <v>2899.06517911425</v>
      </c>
      <c r="AI11" s="3" t="n">
        <v>2215.99594708714</v>
      </c>
      <c r="AJ11" s="7" t="n">
        <v>2016</v>
      </c>
      <c r="AK11" s="6" t="n">
        <v>6660.1842529205</v>
      </c>
      <c r="AL11" s="7" t="n">
        <v>574.874881697894</v>
      </c>
      <c r="AM11" s="7" t="n">
        <v>585.111073311737</v>
      </c>
      <c r="AN11" s="7" t="n">
        <v>531.155078988134</v>
      </c>
      <c r="AO11" s="7" t="n">
        <v>774.021912899876</v>
      </c>
      <c r="AP11" s="7" t="n">
        <v>2016</v>
      </c>
      <c r="AQ11" s="2" t="n">
        <v>30196.2631423746</v>
      </c>
      <c r="AR11" s="2" t="n">
        <v>2606.39534020085</v>
      </c>
      <c r="AS11" s="2" t="n">
        <v>2408.17639954951</v>
      </c>
      <c r="AT11" s="2" t="n">
        <v>3509.29771194241</v>
      </c>
      <c r="AU11" s="2" t="n">
        <v>2652.80467721158</v>
      </c>
      <c r="AV11" s="2" t="n">
        <v>2022</v>
      </c>
      <c r="AW11" s="2" t="n">
        <v>31422.2041760414</v>
      </c>
      <c r="AX11" s="2" t="n">
        <v>2209.58792141453</v>
      </c>
      <c r="AY11" s="2" t="n">
        <v>1939.20560762503</v>
      </c>
      <c r="AZ11" s="2" t="n">
        <v>2922.63105075063</v>
      </c>
      <c r="BA11" s="2" t="n">
        <v>2199.73898016788</v>
      </c>
    </row>
    <row r="12" customFormat="false" ht="15" hidden="false" customHeight="false" outlineLevel="0" collapsed="false">
      <c r="A12" s="6" t="n">
        <v>6744.03429129675</v>
      </c>
      <c r="B12" s="7" t="n">
        <v>672.16874006058</v>
      </c>
      <c r="C12" s="7" t="n">
        <v>679.456767056671</v>
      </c>
      <c r="D12" s="7" t="n">
        <v>626.367148998673</v>
      </c>
      <c r="E12" s="7" t="n">
        <v>815.852453688034</v>
      </c>
      <c r="F12" s="7" t="n">
        <v>2017</v>
      </c>
      <c r="G12" s="4" t="n">
        <v>30576.42647227</v>
      </c>
      <c r="H12" s="7" t="n">
        <v>3047.51090663105</v>
      </c>
      <c r="I12" s="7" t="n">
        <v>2839.85345399552</v>
      </c>
      <c r="J12" s="2" t="n">
        <v>3698.95102618415</v>
      </c>
      <c r="K12" s="7" t="n">
        <v>3080.55371334713</v>
      </c>
      <c r="L12" s="2" t="n">
        <v>2023</v>
      </c>
      <c r="M12" s="2" t="n">
        <v>28189.2314515068</v>
      </c>
      <c r="N12" s="2" t="n">
        <v>2293.55570378825</v>
      </c>
      <c r="O12" s="2" t="n">
        <v>2043.15877071874</v>
      </c>
      <c r="P12" s="2" t="n">
        <v>3018.12837091214</v>
      </c>
      <c r="Q12" s="2" t="n">
        <v>2285.8095072392</v>
      </c>
      <c r="R12" s="8" t="n">
        <v>2017</v>
      </c>
      <c r="S12" s="9" t="n">
        <v>6744.03429129675</v>
      </c>
      <c r="T12" s="8" t="n">
        <v>672.16874006058</v>
      </c>
      <c r="U12" s="8" t="n">
        <v>679.456767056671</v>
      </c>
      <c r="V12" s="8" t="n">
        <v>626.367148998673</v>
      </c>
      <c r="W12" s="8" t="n">
        <v>815.852453688034</v>
      </c>
      <c r="X12" s="8" t="n">
        <v>2017</v>
      </c>
      <c r="Y12" s="3" t="n">
        <v>30576.42647227</v>
      </c>
      <c r="Z12" s="3" t="n">
        <v>3047.51090663105</v>
      </c>
      <c r="AA12" s="3" t="n">
        <v>2839.85345399552</v>
      </c>
      <c r="AB12" s="3" t="n">
        <v>3698.95102618415</v>
      </c>
      <c r="AC12" s="3" t="n">
        <v>3080.55371334713</v>
      </c>
      <c r="AD12" s="3" t="n">
        <v>2023</v>
      </c>
      <c r="AE12" s="3" t="n">
        <v>29750.5123919085</v>
      </c>
      <c r="AF12" s="3" t="n">
        <v>2258.63841963585</v>
      </c>
      <c r="AG12" s="3" t="n">
        <v>1998.42090621001</v>
      </c>
      <c r="AH12" s="3" t="n">
        <v>2976.62029916451</v>
      </c>
      <c r="AI12" s="3" t="n">
        <v>2251.29569892301</v>
      </c>
      <c r="AJ12" s="7" t="n">
        <v>2017</v>
      </c>
      <c r="AK12" s="6" t="n">
        <v>6744.03429129675</v>
      </c>
      <c r="AL12" s="7" t="n">
        <v>672.16874006058</v>
      </c>
      <c r="AM12" s="7" t="n">
        <v>679.456767056671</v>
      </c>
      <c r="AN12" s="7" t="n">
        <v>626.367148998673</v>
      </c>
      <c r="AO12" s="7" t="n">
        <v>815.852453688034</v>
      </c>
      <c r="AP12" s="7" t="n">
        <v>2017</v>
      </c>
      <c r="AQ12" s="2" t="n">
        <v>30576.42647227</v>
      </c>
      <c r="AR12" s="2" t="n">
        <v>3047.51090663105</v>
      </c>
      <c r="AS12" s="2" t="n">
        <v>2839.85345399552</v>
      </c>
      <c r="AT12" s="2" t="n">
        <v>3698.95102618415</v>
      </c>
      <c r="AU12" s="2" t="n">
        <v>3080.55371334713</v>
      </c>
      <c r="AV12" s="2" t="n">
        <v>2023</v>
      </c>
      <c r="AW12" s="2" t="n">
        <v>32404.6100985987</v>
      </c>
      <c r="AX12" s="2" t="n">
        <v>2291.02789682028</v>
      </c>
      <c r="AY12" s="2" t="n">
        <v>2019.92186232581</v>
      </c>
      <c r="AZ12" s="2" t="n">
        <v>3071.07830513113</v>
      </c>
      <c r="BA12" s="2" t="n">
        <v>2278.12974913044</v>
      </c>
    </row>
    <row r="13" customFormat="false" ht="15" hidden="false" customHeight="false" outlineLevel="0" collapsed="false">
      <c r="A13" s="6" t="n">
        <v>6741.66175252587</v>
      </c>
      <c r="B13" s="7" t="n">
        <v>563.092441648115</v>
      </c>
      <c r="C13" s="7" t="n">
        <v>571.349310423156</v>
      </c>
      <c r="D13" s="7" t="n">
        <v>516.952526090961</v>
      </c>
      <c r="E13" s="7" t="n">
        <v>760.247000922508</v>
      </c>
      <c r="F13" s="7" t="n">
        <v>2017</v>
      </c>
      <c r="G13" s="4" t="n">
        <v>30565.6697420777</v>
      </c>
      <c r="H13" s="7" t="n">
        <v>2552.97554779101</v>
      </c>
      <c r="I13" s="7" t="n">
        <v>2343.7841833149</v>
      </c>
      <c r="J13" s="2" t="n">
        <v>3446.84435464241</v>
      </c>
      <c r="K13" s="7" t="n">
        <v>2590.41093588165</v>
      </c>
      <c r="L13" s="2" t="n">
        <v>2024</v>
      </c>
      <c r="M13" s="2" t="n">
        <v>28709.5043254826</v>
      </c>
      <c r="N13" s="2" t="n">
        <v>2320.04871481214</v>
      </c>
      <c r="O13" s="2" t="n">
        <v>2083.01180734038</v>
      </c>
      <c r="P13" s="2" t="n">
        <v>3052.35824176705</v>
      </c>
      <c r="Q13" s="2" t="n">
        <v>2316.35306548612</v>
      </c>
      <c r="R13" s="8" t="n">
        <v>2017</v>
      </c>
      <c r="S13" s="9" t="n">
        <v>6741.66175252587</v>
      </c>
      <c r="T13" s="8" t="n">
        <v>563.092441648115</v>
      </c>
      <c r="U13" s="8" t="n">
        <v>571.349310423156</v>
      </c>
      <c r="V13" s="8" t="n">
        <v>516.952526090961</v>
      </c>
      <c r="W13" s="8" t="n">
        <v>760.247000922508</v>
      </c>
      <c r="X13" s="8" t="n">
        <v>2017</v>
      </c>
      <c r="Y13" s="3" t="n">
        <v>30565.6697420777</v>
      </c>
      <c r="Z13" s="3" t="n">
        <v>2552.97554779101</v>
      </c>
      <c r="AA13" s="3" t="n">
        <v>2343.7841833149</v>
      </c>
      <c r="AB13" s="3" t="n">
        <v>3446.84435464241</v>
      </c>
      <c r="AC13" s="3" t="n">
        <v>2590.41093588165</v>
      </c>
      <c r="AD13" s="3" t="n">
        <v>2024</v>
      </c>
      <c r="AE13" s="3" t="n">
        <v>30680.8305194117</v>
      </c>
      <c r="AF13" s="3" t="n">
        <v>2319.3159824464</v>
      </c>
      <c r="AG13" s="3" t="n">
        <v>2063.71083322299</v>
      </c>
      <c r="AH13" s="3" t="n">
        <v>3047.92537198161</v>
      </c>
      <c r="AI13" s="3" t="n">
        <v>2309.0042326218</v>
      </c>
      <c r="AJ13" s="7" t="n">
        <v>2017</v>
      </c>
      <c r="AK13" s="6" t="n">
        <v>6741.66175252587</v>
      </c>
      <c r="AL13" s="7" t="n">
        <v>563.092441648115</v>
      </c>
      <c r="AM13" s="7" t="n">
        <v>571.349310423156</v>
      </c>
      <c r="AN13" s="7" t="n">
        <v>516.952526090961</v>
      </c>
      <c r="AO13" s="7" t="n">
        <v>760.247000922508</v>
      </c>
      <c r="AP13" s="7" t="n">
        <v>2017</v>
      </c>
      <c r="AQ13" s="2" t="n">
        <v>30565.6697420777</v>
      </c>
      <c r="AR13" s="2" t="n">
        <v>2552.97554779101</v>
      </c>
      <c r="AS13" s="2" t="n">
        <v>2343.7841833149</v>
      </c>
      <c r="AT13" s="2" t="n">
        <v>3446.84435464241</v>
      </c>
      <c r="AU13" s="2" t="n">
        <v>2590.41093588165</v>
      </c>
      <c r="AV13" s="2" t="n">
        <v>2024</v>
      </c>
      <c r="AW13" s="2" t="n">
        <v>33482.4702693227</v>
      </c>
      <c r="AX13" s="2" t="n">
        <v>2331.41070591238</v>
      </c>
      <c r="AY13" s="2" t="n">
        <v>2075.97307569732</v>
      </c>
      <c r="AZ13" s="2" t="n">
        <v>3103.30558514951</v>
      </c>
      <c r="BA13" s="2" t="n">
        <v>2322.01490648205</v>
      </c>
    </row>
    <row r="14" customFormat="false" ht="15" hidden="false" customHeight="false" outlineLevel="0" collapsed="false">
      <c r="A14" s="6" t="n">
        <v>6886.42921069284</v>
      </c>
      <c r="B14" s="7" t="n">
        <v>536.621094459309</v>
      </c>
      <c r="C14" s="7" t="n">
        <v>544.882877108941</v>
      </c>
      <c r="D14" s="7" t="n">
        <v>486.388932812723</v>
      </c>
      <c r="E14" s="7" t="n">
        <v>731.863270178531</v>
      </c>
      <c r="F14" s="7" t="n">
        <v>2017</v>
      </c>
      <c r="G14" s="4" t="n">
        <v>31222.0233946581</v>
      </c>
      <c r="H14" s="7" t="n">
        <v>2432.95848293341</v>
      </c>
      <c r="I14" s="7" t="n">
        <v>2205.21349665537</v>
      </c>
      <c r="J14" s="2" t="n">
        <v>3318.1568334028</v>
      </c>
      <c r="K14" s="7" t="n">
        <v>2470.41614978459</v>
      </c>
      <c r="L14" s="2" t="n">
        <v>2025</v>
      </c>
      <c r="M14" s="2" t="n">
        <v>29163.4273861843</v>
      </c>
      <c r="N14" s="2" t="n">
        <v>2358.43829067952</v>
      </c>
      <c r="O14" s="2" t="n">
        <v>2088.46506979833</v>
      </c>
      <c r="P14" s="2" t="n">
        <v>3105.01378210052</v>
      </c>
      <c r="Q14" s="2" t="n">
        <v>2341.61663452517</v>
      </c>
      <c r="R14" s="8" t="n">
        <v>2017</v>
      </c>
      <c r="S14" s="9" t="n">
        <v>6886.42921069284</v>
      </c>
      <c r="T14" s="8" t="n">
        <v>536.621094459309</v>
      </c>
      <c r="U14" s="8" t="n">
        <v>544.882877108941</v>
      </c>
      <c r="V14" s="8" t="n">
        <v>486.388932812723</v>
      </c>
      <c r="W14" s="8" t="n">
        <v>731.863270178531</v>
      </c>
      <c r="X14" s="8" t="n">
        <v>2017</v>
      </c>
      <c r="Y14" s="3" t="n">
        <v>31222.0233946581</v>
      </c>
      <c r="Z14" s="3" t="n">
        <v>2432.95848293341</v>
      </c>
      <c r="AA14" s="3" t="n">
        <v>2205.21349665537</v>
      </c>
      <c r="AB14" s="3" t="n">
        <v>3318.1568334028</v>
      </c>
      <c r="AC14" s="3" t="n">
        <v>2470.41614978459</v>
      </c>
      <c r="AD14" s="3" t="n">
        <v>2025</v>
      </c>
      <c r="AE14" s="3" t="n">
        <v>31187.9707518279</v>
      </c>
      <c r="AF14" s="3" t="n">
        <v>2376.84220324799</v>
      </c>
      <c r="AG14" s="3" t="n">
        <v>2112.63296274602</v>
      </c>
      <c r="AH14" s="3" t="n">
        <v>3114.70476881488</v>
      </c>
      <c r="AI14" s="3" t="n">
        <v>2360.74335434248</v>
      </c>
      <c r="AJ14" s="7" t="n">
        <v>2017</v>
      </c>
      <c r="AK14" s="6" t="n">
        <v>6886.42921069284</v>
      </c>
      <c r="AL14" s="7" t="n">
        <v>536.621094459309</v>
      </c>
      <c r="AM14" s="7" t="n">
        <v>544.882877108941</v>
      </c>
      <c r="AN14" s="7" t="n">
        <v>486.388932812723</v>
      </c>
      <c r="AO14" s="7" t="n">
        <v>731.863270178531</v>
      </c>
      <c r="AP14" s="7" t="n">
        <v>2017</v>
      </c>
      <c r="AQ14" s="2" t="n">
        <v>31222.0233946581</v>
      </c>
      <c r="AR14" s="2" t="n">
        <v>2432.95848293341</v>
      </c>
      <c r="AS14" s="2" t="n">
        <v>2205.21349665537</v>
      </c>
      <c r="AT14" s="2" t="n">
        <v>3318.1568334028</v>
      </c>
      <c r="AU14" s="2" t="n">
        <v>2470.41614978459</v>
      </c>
      <c r="AV14" s="2" t="n">
        <v>2025</v>
      </c>
      <c r="AW14" s="2" t="n">
        <v>34372.0795804249</v>
      </c>
      <c r="AX14" s="2" t="n">
        <v>2382.19501475494</v>
      </c>
      <c r="AY14" s="2" t="n">
        <v>2140.56279446886</v>
      </c>
      <c r="AZ14" s="2" t="n">
        <v>3197.66541506149</v>
      </c>
      <c r="BA14" s="2" t="n">
        <v>2367.08434109097</v>
      </c>
    </row>
    <row r="15" customFormat="false" ht="15" hidden="false" customHeight="false" outlineLevel="0" collapsed="false">
      <c r="A15" s="6" t="n">
        <v>6890.54533395775</v>
      </c>
      <c r="B15" s="7" t="n">
        <v>603.564776062133</v>
      </c>
      <c r="C15" s="7" t="n">
        <v>616.732306817018</v>
      </c>
      <c r="D15" s="7" t="n">
        <v>567.351957972538</v>
      </c>
      <c r="E15" s="7" t="n">
        <v>802.572936656726</v>
      </c>
      <c r="F15" s="7" t="n">
        <v>2017</v>
      </c>
      <c r="G15" s="4" t="n">
        <v>31240.6852719444</v>
      </c>
      <c r="H15" s="7" t="n">
        <v>2736.47096076189</v>
      </c>
      <c r="I15" s="7" t="n">
        <v>2572.2875474155</v>
      </c>
      <c r="J15" s="2" t="n">
        <v>3638.74371427606</v>
      </c>
      <c r="K15" s="7" t="n">
        <v>2796.17054391313</v>
      </c>
      <c r="L15" s="2" t="n">
        <v>2026</v>
      </c>
      <c r="M15" s="2" t="n">
        <v>29724.5169005297</v>
      </c>
      <c r="N15" s="2" t="n">
        <v>2394.49639746483</v>
      </c>
      <c r="O15" s="2" t="n">
        <v>2115.90197129762</v>
      </c>
      <c r="P15" s="2" t="n">
        <v>3115.18566122025</v>
      </c>
      <c r="Q15" s="2" t="n">
        <v>2367.90734818751</v>
      </c>
      <c r="R15" s="8" t="n">
        <v>2017</v>
      </c>
      <c r="S15" s="9" t="n">
        <v>6890.54533395775</v>
      </c>
      <c r="T15" s="8" t="n">
        <v>603.564776062133</v>
      </c>
      <c r="U15" s="8" t="n">
        <v>616.732306817018</v>
      </c>
      <c r="V15" s="8" t="n">
        <v>567.351957972538</v>
      </c>
      <c r="W15" s="8" t="n">
        <v>802.572936656726</v>
      </c>
      <c r="X15" s="8" t="n">
        <v>2017</v>
      </c>
      <c r="Y15" s="3" t="n">
        <v>31240.6852719444</v>
      </c>
      <c r="Z15" s="3" t="n">
        <v>2736.47096076189</v>
      </c>
      <c r="AA15" s="3" t="n">
        <v>2572.2875474155</v>
      </c>
      <c r="AB15" s="3" t="n">
        <v>3638.74371427606</v>
      </c>
      <c r="AC15" s="3" t="n">
        <v>2796.17054391313</v>
      </c>
      <c r="AD15" s="3" t="n">
        <v>2026</v>
      </c>
      <c r="AE15" s="3" t="n">
        <v>31936.8142539781</v>
      </c>
      <c r="AF15" s="3" t="n">
        <v>2410.22973146088</v>
      </c>
      <c r="AG15" s="3" t="n">
        <v>2149.76288844686</v>
      </c>
      <c r="AH15" s="3" t="n">
        <v>3163.6486575374</v>
      </c>
      <c r="AI15" s="3" t="n">
        <v>2398.11179059832</v>
      </c>
      <c r="AJ15" s="7" t="n">
        <v>2017</v>
      </c>
      <c r="AK15" s="6" t="n">
        <v>6890.54533395775</v>
      </c>
      <c r="AL15" s="7" t="n">
        <v>603.564776062133</v>
      </c>
      <c r="AM15" s="7" t="n">
        <v>616.732306817018</v>
      </c>
      <c r="AN15" s="7" t="n">
        <v>567.351957972538</v>
      </c>
      <c r="AO15" s="7" t="n">
        <v>802.572936656726</v>
      </c>
      <c r="AP15" s="7" t="n">
        <v>2017</v>
      </c>
      <c r="AQ15" s="2" t="n">
        <v>31240.6852719444</v>
      </c>
      <c r="AR15" s="2" t="n">
        <v>2736.47096076189</v>
      </c>
      <c r="AS15" s="2" t="n">
        <v>2572.2875474155</v>
      </c>
      <c r="AT15" s="2" t="n">
        <v>3638.74371427606</v>
      </c>
      <c r="AU15" s="2" t="n">
        <v>2796.17054391313</v>
      </c>
      <c r="AV15" s="2" t="n">
        <v>2026</v>
      </c>
      <c r="AW15" s="2" t="n">
        <v>35137.561420341</v>
      </c>
      <c r="AX15" s="2" t="n">
        <v>2399.84994155601</v>
      </c>
      <c r="AY15" s="2" t="n">
        <v>2143.20911366578</v>
      </c>
      <c r="AZ15" s="2" t="n">
        <v>3256.76018750076</v>
      </c>
      <c r="BA15" s="2" t="n">
        <v>2386.96198727298</v>
      </c>
    </row>
    <row r="16" customFormat="false" ht="15" hidden="false" customHeight="false" outlineLevel="0" collapsed="false">
      <c r="A16" s="6" t="n">
        <v>6808.84926639221</v>
      </c>
      <c r="B16" s="7" t="n">
        <v>691.530699251008</v>
      </c>
      <c r="C16" s="7" t="n">
        <v>691.223712801644</v>
      </c>
      <c r="D16" s="7" t="n">
        <v>639.440955304677</v>
      </c>
      <c r="E16" s="7" t="n">
        <v>843.32749824515</v>
      </c>
      <c r="F16" s="7" t="n">
        <v>2018</v>
      </c>
      <c r="G16" s="4" t="n">
        <v>30870.2877183298</v>
      </c>
      <c r="H16" s="7" t="n">
        <v>3135.29508683747</v>
      </c>
      <c r="I16" s="7" t="n">
        <v>2899.12810474045</v>
      </c>
      <c r="J16" s="2" t="n">
        <v>3823.51870236092</v>
      </c>
      <c r="K16" s="7" t="n">
        <v>3133.90325693395</v>
      </c>
      <c r="L16" s="2" t="n">
        <v>2027</v>
      </c>
      <c r="M16" s="2" t="n">
        <v>30105.4271061888</v>
      </c>
      <c r="N16" s="2" t="n">
        <v>2418.85802502475</v>
      </c>
      <c r="O16" s="2" t="n">
        <v>2172.51266191821</v>
      </c>
      <c r="P16" s="2" t="n">
        <v>3165.48849113444</v>
      </c>
      <c r="Q16" s="2" t="n">
        <v>2421.70573405309</v>
      </c>
      <c r="R16" s="8" t="n">
        <v>2018</v>
      </c>
      <c r="S16" s="9" t="n">
        <v>6808.84926639221</v>
      </c>
      <c r="T16" s="8" t="n">
        <v>691.530699251008</v>
      </c>
      <c r="U16" s="8" t="n">
        <v>691.223712801644</v>
      </c>
      <c r="V16" s="8" t="n">
        <v>639.440955304677</v>
      </c>
      <c r="W16" s="8" t="n">
        <v>843.32749824515</v>
      </c>
      <c r="X16" s="8" t="n">
        <v>2018</v>
      </c>
      <c r="Y16" s="3" t="n">
        <v>30870.2877183298</v>
      </c>
      <c r="Z16" s="3" t="n">
        <v>3135.29508683747</v>
      </c>
      <c r="AA16" s="3" t="n">
        <v>2899.12810474045</v>
      </c>
      <c r="AB16" s="3" t="n">
        <v>3823.51870236092</v>
      </c>
      <c r="AC16" s="3" t="n">
        <v>3133.90325693395</v>
      </c>
      <c r="AD16" s="3" t="n">
        <v>2027</v>
      </c>
      <c r="AE16" s="3" t="n">
        <v>32586.1201138495</v>
      </c>
      <c r="AF16" s="3" t="n">
        <v>2384.35432939636</v>
      </c>
      <c r="AG16" s="3" t="n">
        <v>2122.08274248165</v>
      </c>
      <c r="AH16" s="3" t="n">
        <v>3162.2546129127</v>
      </c>
      <c r="AI16" s="3" t="n">
        <v>2371.3518793181</v>
      </c>
      <c r="AJ16" s="7" t="n">
        <v>2018</v>
      </c>
      <c r="AK16" s="6" t="n">
        <v>6808.84926639221</v>
      </c>
      <c r="AL16" s="7" t="n">
        <v>691.483626719027</v>
      </c>
      <c r="AM16" s="7" t="n">
        <v>691.202020083184</v>
      </c>
      <c r="AN16" s="7" t="n">
        <v>639.409680813451</v>
      </c>
      <c r="AO16" s="7" t="n">
        <v>843.32749824515</v>
      </c>
      <c r="AP16" s="7" t="n">
        <v>2018</v>
      </c>
      <c r="AQ16" s="2" t="n">
        <v>30870.2877183298</v>
      </c>
      <c r="AR16" s="2" t="n">
        <v>3135.08166713187</v>
      </c>
      <c r="AS16" s="2" t="n">
        <v>2898.98631095054</v>
      </c>
      <c r="AT16" s="2" t="n">
        <v>3823.51870236092</v>
      </c>
      <c r="AU16" s="2" t="n">
        <v>3133.80490544546</v>
      </c>
      <c r="AV16" s="2" t="n">
        <v>2027</v>
      </c>
      <c r="AW16" s="2" t="n">
        <v>36096.6559531027</v>
      </c>
      <c r="AX16" s="2" t="n">
        <v>2414.55023110487</v>
      </c>
      <c r="AY16" s="2" t="n">
        <v>2171.00346341279</v>
      </c>
      <c r="AZ16" s="2" t="n">
        <v>3367.65979916174</v>
      </c>
      <c r="BA16" s="2" t="n">
        <v>2415.37024985259</v>
      </c>
    </row>
    <row r="17" customFormat="false" ht="15" hidden="false" customHeight="false" outlineLevel="0" collapsed="false">
      <c r="A17" s="6" t="n">
        <v>6723.17180647536</v>
      </c>
      <c r="B17" s="7" t="n">
        <v>527.361265081709</v>
      </c>
      <c r="C17" s="7" t="n">
        <v>538.93910178182</v>
      </c>
      <c r="D17" s="7" t="n">
        <v>468.767286991697</v>
      </c>
      <c r="E17" s="7" t="n">
        <v>735.762541461912</v>
      </c>
      <c r="F17" s="7" t="n">
        <v>2018</v>
      </c>
      <c r="G17" s="4" t="n">
        <v>30481.8391369133</v>
      </c>
      <c r="H17" s="7" t="n">
        <v>2390.9758239076</v>
      </c>
      <c r="I17" s="7" t="n">
        <v>2125.31963276113</v>
      </c>
      <c r="J17" s="2" t="n">
        <v>3335.83553676373</v>
      </c>
      <c r="K17" s="7" t="n">
        <v>2443.46797582707</v>
      </c>
      <c r="L17" s="2" t="n">
        <v>2028</v>
      </c>
      <c r="M17" s="2" t="n">
        <v>30659.3516907731</v>
      </c>
      <c r="N17" s="2" t="n">
        <v>2425.73838168526</v>
      </c>
      <c r="O17" s="2" t="n">
        <v>2161.50736002855</v>
      </c>
      <c r="P17" s="2" t="n">
        <v>3219.49775261608</v>
      </c>
      <c r="Q17" s="2" t="n">
        <v>2415.0139127117</v>
      </c>
      <c r="R17" s="8" t="n">
        <v>2018</v>
      </c>
      <c r="S17" s="9" t="n">
        <v>6723.17180647536</v>
      </c>
      <c r="T17" s="8" t="n">
        <v>527.361265081709</v>
      </c>
      <c r="U17" s="8" t="n">
        <v>538.93910178182</v>
      </c>
      <c r="V17" s="8" t="n">
        <v>468.767286991697</v>
      </c>
      <c r="W17" s="8" t="n">
        <v>735.762541461912</v>
      </c>
      <c r="X17" s="8" t="n">
        <v>2018</v>
      </c>
      <c r="Y17" s="3" t="n">
        <v>30481.8391369133</v>
      </c>
      <c r="Z17" s="3" t="n">
        <v>2390.9758239076</v>
      </c>
      <c r="AA17" s="3" t="n">
        <v>2125.31963276113</v>
      </c>
      <c r="AB17" s="3" t="n">
        <v>3335.83553676373</v>
      </c>
      <c r="AC17" s="3" t="n">
        <v>2443.46797582707</v>
      </c>
      <c r="AD17" s="3" t="n">
        <v>2028</v>
      </c>
      <c r="AE17" s="3" t="n">
        <v>33162.2521610589</v>
      </c>
      <c r="AF17" s="3" t="n">
        <v>2406.17788166774</v>
      </c>
      <c r="AG17" s="3" t="n">
        <v>2161.51547785801</v>
      </c>
      <c r="AH17" s="3" t="n">
        <v>3201.35712735484</v>
      </c>
      <c r="AI17" s="3" t="n">
        <v>2393.17864182804</v>
      </c>
      <c r="AJ17" s="7" t="n">
        <v>2018</v>
      </c>
      <c r="AK17" s="6" t="n">
        <v>6722.87988857401</v>
      </c>
      <c r="AL17" s="7" t="n">
        <v>527.283348199661</v>
      </c>
      <c r="AM17" s="7" t="n">
        <v>538.878134731777</v>
      </c>
      <c r="AN17" s="7" t="n">
        <v>468.678209889955</v>
      </c>
      <c r="AO17" s="7" t="n">
        <v>735.762541461912</v>
      </c>
      <c r="AP17" s="7" t="n">
        <v>2018</v>
      </c>
      <c r="AQ17" s="2" t="n">
        <v>30480.5156255162</v>
      </c>
      <c r="AR17" s="2" t="n">
        <v>2390.62256060673</v>
      </c>
      <c r="AS17" s="2" t="n">
        <v>2124.91577072038</v>
      </c>
      <c r="AT17" s="2" t="n">
        <v>3335.83553676373</v>
      </c>
      <c r="AU17" s="2" t="n">
        <v>2443.19156048836</v>
      </c>
      <c r="AV17" s="2" t="n">
        <v>2028</v>
      </c>
      <c r="AW17" s="2" t="n">
        <v>37118.1238722002</v>
      </c>
      <c r="AX17" s="2" t="n">
        <v>2379.98475257667</v>
      </c>
      <c r="AY17" s="2" t="n">
        <v>2163.83841111056</v>
      </c>
      <c r="AZ17" s="2" t="n">
        <v>3300.62367904175</v>
      </c>
      <c r="BA17" s="2" t="n">
        <v>2391.47987875127</v>
      </c>
    </row>
    <row r="18" customFormat="false" ht="15" hidden="false" customHeight="false" outlineLevel="0" collapsed="false">
      <c r="A18" s="6" t="n">
        <v>6342.54075613813</v>
      </c>
      <c r="B18" s="7" t="n">
        <v>503.078973782958</v>
      </c>
      <c r="C18" s="7" t="n">
        <v>507.550636154569</v>
      </c>
      <c r="D18" s="7" t="n">
        <v>450.548839750045</v>
      </c>
      <c r="E18" s="7" t="n">
        <v>670.409395768443</v>
      </c>
      <c r="F18" s="7" t="n">
        <v>2018</v>
      </c>
      <c r="G18" s="4" t="n">
        <v>28756.1158055953</v>
      </c>
      <c r="H18" s="7" t="n">
        <v>2280.88360574781</v>
      </c>
      <c r="I18" s="7" t="n">
        <v>2042.71996193172</v>
      </c>
      <c r="J18" s="2" t="n">
        <v>3039.53430700772</v>
      </c>
      <c r="K18" s="7" t="n">
        <v>2301.15744330686</v>
      </c>
      <c r="L18" s="2" t="n">
        <v>2029</v>
      </c>
      <c r="M18" s="2" t="n">
        <v>30961.8025757783</v>
      </c>
      <c r="N18" s="2" t="n">
        <v>2405.51218340935</v>
      </c>
      <c r="O18" s="2" t="n">
        <v>2165.06925059809</v>
      </c>
      <c r="P18" s="2" t="n">
        <v>3156.2293870056</v>
      </c>
      <c r="Q18" s="2" t="n">
        <v>2403.61197542408</v>
      </c>
      <c r="R18" s="8" t="n">
        <v>2018</v>
      </c>
      <c r="S18" s="9" t="n">
        <v>6342.54075613813</v>
      </c>
      <c r="T18" s="8" t="n">
        <v>503.078973782958</v>
      </c>
      <c r="U18" s="8" t="n">
        <v>507.550636154569</v>
      </c>
      <c r="V18" s="8" t="n">
        <v>450.548839750045</v>
      </c>
      <c r="W18" s="8" t="n">
        <v>670.409395768443</v>
      </c>
      <c r="X18" s="8" t="n">
        <v>2018</v>
      </c>
      <c r="Y18" s="3" t="n">
        <v>28756.1158055953</v>
      </c>
      <c r="Z18" s="3" t="n">
        <v>2280.88360574781</v>
      </c>
      <c r="AA18" s="3" t="n">
        <v>2042.71996193172</v>
      </c>
      <c r="AB18" s="3" t="n">
        <v>3039.53430700772</v>
      </c>
      <c r="AC18" s="3" t="n">
        <v>2301.15744330686</v>
      </c>
      <c r="AD18" s="3" t="n">
        <v>2029</v>
      </c>
      <c r="AE18" s="3" t="n">
        <v>33927.4200214592</v>
      </c>
      <c r="AF18" s="3" t="n">
        <v>2398.02286700861</v>
      </c>
      <c r="AG18" s="3" t="n">
        <v>2172.61062668188</v>
      </c>
      <c r="AH18" s="3" t="n">
        <v>3248.03404028102</v>
      </c>
      <c r="AI18" s="3" t="n">
        <v>2404.64075750734</v>
      </c>
      <c r="AJ18" s="7" t="n">
        <v>2018</v>
      </c>
      <c r="AK18" s="6" t="n">
        <v>6343.42583946065</v>
      </c>
      <c r="AL18" s="7" t="n">
        <v>502.982322512507</v>
      </c>
      <c r="AM18" s="7" t="n">
        <v>507.241082948737</v>
      </c>
      <c r="AN18" s="7" t="n">
        <v>450.086460198124</v>
      </c>
      <c r="AO18" s="7" t="n">
        <v>670.409395768443</v>
      </c>
      <c r="AP18" s="7" t="n">
        <v>2018</v>
      </c>
      <c r="AQ18" s="2" t="n">
        <v>28760.1286388586</v>
      </c>
      <c r="AR18" s="2" t="n">
        <v>2280.44540357731</v>
      </c>
      <c r="AS18" s="2" t="n">
        <v>2040.62360331892</v>
      </c>
      <c r="AT18" s="2" t="n">
        <v>3039.53430700772</v>
      </c>
      <c r="AU18" s="2" t="n">
        <v>2299.75397611963</v>
      </c>
      <c r="AV18" s="2" t="n">
        <v>2029</v>
      </c>
      <c r="AW18" s="2" t="n">
        <v>38038.5961864332</v>
      </c>
      <c r="AX18" s="2" t="n">
        <v>2359.26949186485</v>
      </c>
      <c r="AY18" s="2" t="n">
        <v>2178.68595885536</v>
      </c>
      <c r="AZ18" s="2" t="n">
        <v>3269.04011748502</v>
      </c>
      <c r="BA18" s="2" t="n">
        <v>2383.95781629665</v>
      </c>
    </row>
    <row r="19" customFormat="false" ht="15" hidden="false" customHeight="false" outlineLevel="0" collapsed="false">
      <c r="A19" s="6" t="n">
        <v>6004.7550431554</v>
      </c>
      <c r="B19" s="7" t="n">
        <v>474.836423007821</v>
      </c>
      <c r="C19" s="7" t="n">
        <v>481.480031962509</v>
      </c>
      <c r="D19" s="7" t="n">
        <v>428.272908298455</v>
      </c>
      <c r="E19" s="7" t="n">
        <v>639.610724835894</v>
      </c>
      <c r="F19" s="7" t="n">
        <v>2018</v>
      </c>
      <c r="G19" s="4" t="n">
        <v>27224.6467219151</v>
      </c>
      <c r="H19" s="7" t="n">
        <v>2152.83617302942</v>
      </c>
      <c r="I19" s="7" t="n">
        <v>1941.72427437867</v>
      </c>
      <c r="J19" s="2" t="n">
        <v>2899.89781399225</v>
      </c>
      <c r="K19" s="7" t="n">
        <v>2182.95728628884</v>
      </c>
      <c r="L19" s="2" t="n">
        <v>2030</v>
      </c>
      <c r="M19" s="2" t="n">
        <v>31347.1976573032</v>
      </c>
      <c r="N19" s="2" t="n">
        <v>2436.85374617943</v>
      </c>
      <c r="O19" s="2" t="n">
        <v>2209.29203517028</v>
      </c>
      <c r="P19" s="2" t="n">
        <v>3125.75688157237</v>
      </c>
      <c r="Q19" s="2" t="n">
        <v>2428.41965793436</v>
      </c>
      <c r="R19" s="8" t="n">
        <v>2018</v>
      </c>
      <c r="S19" s="9" t="n">
        <v>6004.7550431554</v>
      </c>
      <c r="T19" s="8" t="n">
        <v>474.836423007821</v>
      </c>
      <c r="U19" s="8" t="n">
        <v>481.480031962509</v>
      </c>
      <c r="V19" s="8" t="n">
        <v>428.272908298455</v>
      </c>
      <c r="W19" s="8" t="n">
        <v>639.610724835894</v>
      </c>
      <c r="X19" s="8" t="n">
        <v>2018</v>
      </c>
      <c r="Y19" s="3" t="n">
        <v>27224.6467219151</v>
      </c>
      <c r="Z19" s="3" t="n">
        <v>2152.83617302942</v>
      </c>
      <c r="AA19" s="3" t="n">
        <v>1941.72427437867</v>
      </c>
      <c r="AB19" s="3" t="n">
        <v>2899.89781399225</v>
      </c>
      <c r="AC19" s="3" t="n">
        <v>2182.95728628884</v>
      </c>
      <c r="AD19" s="3" t="n">
        <v>2030</v>
      </c>
      <c r="AE19" s="3" t="n">
        <v>34643.40747812</v>
      </c>
      <c r="AF19" s="3" t="n">
        <v>2422.14619557695</v>
      </c>
      <c r="AG19" s="3" t="n">
        <v>2151.20533863579</v>
      </c>
      <c r="AH19" s="3" t="n">
        <v>3240.43366474543</v>
      </c>
      <c r="AI19" s="3" t="n">
        <v>2396.8470088461</v>
      </c>
      <c r="AJ19" s="7" t="n">
        <v>2018</v>
      </c>
      <c r="AK19" s="6" t="n">
        <v>6007.47172090445</v>
      </c>
      <c r="AL19" s="7" t="n">
        <v>474.848720009111</v>
      </c>
      <c r="AM19" s="7" t="n">
        <v>481.487902470207</v>
      </c>
      <c r="AN19" s="7" t="n">
        <v>428.284525855923</v>
      </c>
      <c r="AO19" s="7" t="n">
        <v>639.610724835894</v>
      </c>
      <c r="AP19" s="7" t="n">
        <v>2018</v>
      </c>
      <c r="AQ19" s="2" t="n">
        <v>27236.9637259301</v>
      </c>
      <c r="AR19" s="2" t="n">
        <v>2152.89192576429</v>
      </c>
      <c r="AS19" s="2" t="n">
        <v>1941.77694661852</v>
      </c>
      <c r="AT19" s="2" t="n">
        <v>2899.89781399225</v>
      </c>
      <c r="AU19" s="2" t="n">
        <v>2182.99296997453</v>
      </c>
      <c r="AV19" s="2" t="n">
        <v>2030</v>
      </c>
      <c r="AW19" s="2" t="n">
        <v>39004.8743643107</v>
      </c>
      <c r="AX19" s="2" t="n">
        <v>2407.59901706674</v>
      </c>
      <c r="AY19" s="2" t="n">
        <v>2184.00093929283</v>
      </c>
      <c r="AZ19" s="2" t="n">
        <v>3336.41059634098</v>
      </c>
      <c r="BA19" s="2" t="n">
        <v>2401.6447505712</v>
      </c>
    </row>
    <row r="20" customFormat="false" ht="15" hidden="false" customHeight="false" outlineLevel="0" collapsed="false">
      <c r="A20" s="6" t="n">
        <v>5984.66038142344</v>
      </c>
      <c r="B20" s="7" t="n">
        <v>548.934989436893</v>
      </c>
      <c r="C20" s="7" t="n">
        <v>549.255282893899</v>
      </c>
      <c r="D20" s="7" t="n">
        <v>499.275390989873</v>
      </c>
      <c r="E20" s="7" t="n">
        <v>689.614716355727</v>
      </c>
      <c r="F20" s="7" t="n">
        <v>2019</v>
      </c>
      <c r="G20" s="4" t="n">
        <v>27133.5405797466</v>
      </c>
      <c r="H20" s="7" t="n">
        <v>2488.78781121178</v>
      </c>
      <c r="I20" s="7" t="n">
        <v>2263.6387394585</v>
      </c>
      <c r="J20" s="2" t="n">
        <v>3126.60831159445</v>
      </c>
      <c r="K20" s="7" t="n">
        <v>2490.23997306546</v>
      </c>
      <c r="L20" s="2" t="n">
        <v>2031</v>
      </c>
      <c r="M20" s="2" t="n">
        <v>31699.0463578562</v>
      </c>
      <c r="N20" s="2" t="n">
        <v>2452.07392448766</v>
      </c>
      <c r="O20" s="2" t="n">
        <v>2194.31097111732</v>
      </c>
      <c r="P20" s="2" t="n">
        <v>3145.56655441019</v>
      </c>
      <c r="Q20" s="2" t="n">
        <v>2417.0697582882</v>
      </c>
      <c r="R20" s="8" t="n">
        <v>2019</v>
      </c>
      <c r="S20" s="9" t="n">
        <v>5984.66038142344</v>
      </c>
      <c r="T20" s="8" t="n">
        <v>548.934989436893</v>
      </c>
      <c r="U20" s="8" t="n">
        <v>549.255282893899</v>
      </c>
      <c r="V20" s="8" t="n">
        <v>499.275390989873</v>
      </c>
      <c r="W20" s="8" t="n">
        <v>689.614716355727</v>
      </c>
      <c r="X20" s="8" t="n">
        <v>2019</v>
      </c>
      <c r="Y20" s="3" t="n">
        <v>27133.5405797466</v>
      </c>
      <c r="Z20" s="3" t="n">
        <v>2488.78781121178</v>
      </c>
      <c r="AA20" s="3" t="n">
        <v>2263.6387394585</v>
      </c>
      <c r="AB20" s="3" t="n">
        <v>3126.60831159445</v>
      </c>
      <c r="AC20" s="3" t="n">
        <v>2490.23997306546</v>
      </c>
      <c r="AD20" s="3" t="n">
        <v>2031</v>
      </c>
      <c r="AE20" s="3" t="n">
        <v>35157.6638344322</v>
      </c>
      <c r="AF20" s="3" t="n">
        <v>2429.812872315</v>
      </c>
      <c r="AG20" s="3" t="n">
        <v>2147.51245202243</v>
      </c>
      <c r="AH20" s="3" t="n">
        <v>3237.00771181584</v>
      </c>
      <c r="AI20" s="3" t="n">
        <v>2385.51731179492</v>
      </c>
      <c r="AJ20" s="7" t="n">
        <v>2019</v>
      </c>
      <c r="AK20" s="6" t="n">
        <v>5985.30123610738</v>
      </c>
      <c r="AL20" s="7" t="n">
        <v>549.276708632969</v>
      </c>
      <c r="AM20" s="7" t="n">
        <v>549.379221700345</v>
      </c>
      <c r="AN20" s="7" t="n">
        <v>499.291530240649</v>
      </c>
      <c r="AO20" s="7" t="n">
        <v>689.577475097969</v>
      </c>
      <c r="AP20" s="7" t="n">
        <v>2019</v>
      </c>
      <c r="AQ20" s="2" t="n">
        <v>27136.4461174821</v>
      </c>
      <c r="AR20" s="2" t="n">
        <v>2490.33711410997</v>
      </c>
      <c r="AS20" s="2" t="n">
        <v>2263.71191236856</v>
      </c>
      <c r="AT20" s="2" t="n">
        <v>3126.43946539196</v>
      </c>
      <c r="AU20" s="2" t="n">
        <v>2490.80189277681</v>
      </c>
      <c r="AV20" s="2" t="n">
        <v>2031</v>
      </c>
      <c r="AW20" s="2" t="n">
        <v>39908.188489329</v>
      </c>
      <c r="AX20" s="2" t="n">
        <v>2414.13508217781</v>
      </c>
      <c r="AY20" s="2" t="n">
        <v>2159.54733096531</v>
      </c>
      <c r="AZ20" s="2" t="n">
        <v>3340.59945800668</v>
      </c>
      <c r="BA20" s="2" t="n">
        <v>2376.64989235694</v>
      </c>
    </row>
    <row r="21" customFormat="false" ht="15" hidden="false" customHeight="false" outlineLevel="0" collapsed="false">
      <c r="A21" s="6" t="n">
        <v>5957.71823704739</v>
      </c>
      <c r="B21" s="7" t="n">
        <v>488.014643200229</v>
      </c>
      <c r="C21" s="7" t="n">
        <v>500.458489336176</v>
      </c>
      <c r="D21" s="7" t="n">
        <v>380.507158873482</v>
      </c>
      <c r="E21" s="7" t="n">
        <v>776.010611120208</v>
      </c>
      <c r="F21" s="7" t="n">
        <v>2019</v>
      </c>
      <c r="G21" s="4" t="n">
        <v>27011.388991997</v>
      </c>
      <c r="H21" s="7" t="n">
        <v>2212.58422046574</v>
      </c>
      <c r="I21" s="7" t="n">
        <v>1725.16162625122</v>
      </c>
      <c r="J21" s="2" t="n">
        <v>3518.31416741747</v>
      </c>
      <c r="K21" s="7" t="n">
        <v>2269.00272754525</v>
      </c>
      <c r="L21" s="2" t="n">
        <v>2032</v>
      </c>
      <c r="M21" s="2" t="n">
        <v>31960.2373991504</v>
      </c>
      <c r="N21" s="2" t="n">
        <v>2467.52139855421</v>
      </c>
      <c r="O21" s="2" t="n">
        <v>2189.66274397097</v>
      </c>
      <c r="P21" s="2" t="n">
        <v>3242.89123622244</v>
      </c>
      <c r="Q21" s="2" t="n">
        <v>2428.22182763116</v>
      </c>
      <c r="R21" s="8" t="n">
        <v>2019</v>
      </c>
      <c r="S21" s="9" t="n">
        <v>5957.71823704739</v>
      </c>
      <c r="T21" s="8" t="n">
        <v>488.014643200229</v>
      </c>
      <c r="U21" s="8" t="n">
        <v>500.458489336176</v>
      </c>
      <c r="V21" s="8" t="n">
        <v>380.507158873482</v>
      </c>
      <c r="W21" s="8" t="n">
        <v>776.010611120208</v>
      </c>
      <c r="X21" s="8" t="n">
        <v>2019</v>
      </c>
      <c r="Y21" s="3" t="n">
        <v>27011.388991997</v>
      </c>
      <c r="Z21" s="3" t="n">
        <v>2212.58422046574</v>
      </c>
      <c r="AA21" s="3" t="n">
        <v>1725.16162625122</v>
      </c>
      <c r="AB21" s="3" t="n">
        <v>3518.31416741747</v>
      </c>
      <c r="AC21" s="3" t="n">
        <v>2269.00272754525</v>
      </c>
      <c r="AD21" s="3" t="n">
        <v>2032</v>
      </c>
      <c r="AE21" s="3" t="n">
        <v>35786.9460816617</v>
      </c>
      <c r="AF21" s="3" t="n">
        <v>2402.13096714718</v>
      </c>
      <c r="AG21" s="3" t="n">
        <v>2101.90531291416</v>
      </c>
      <c r="AH21" s="3" t="n">
        <v>3207.48401989667</v>
      </c>
      <c r="AI21" s="3" t="n">
        <v>2351.82501786388</v>
      </c>
      <c r="AJ21" s="7" t="n">
        <v>2019</v>
      </c>
      <c r="AK21" s="6" t="n">
        <v>5958.11635701907</v>
      </c>
      <c r="AL21" s="7" t="n">
        <v>486.258457267138</v>
      </c>
      <c r="AM21" s="7" t="n">
        <v>499.863531730238</v>
      </c>
      <c r="AN21" s="7" t="n">
        <v>378.855016244239</v>
      </c>
      <c r="AO21" s="7" t="n">
        <v>779.034306996639</v>
      </c>
      <c r="AP21" s="7" t="n">
        <v>2019</v>
      </c>
      <c r="AQ21" s="2" t="n">
        <v>27013.1940074396</v>
      </c>
      <c r="AR21" s="2" t="n">
        <v>2204.62194036226</v>
      </c>
      <c r="AS21" s="2" t="n">
        <v>1717.67106267417</v>
      </c>
      <c r="AT21" s="2" t="n">
        <v>3532.02314495922</v>
      </c>
      <c r="AU21" s="2" t="n">
        <v>2266.30528018566</v>
      </c>
      <c r="AV21" s="2" t="n">
        <v>2032</v>
      </c>
      <c r="AW21" s="2" t="n">
        <v>40987.5233534337</v>
      </c>
      <c r="AX21" s="2" t="n">
        <v>2420.04737319483</v>
      </c>
      <c r="AY21" s="2" t="n">
        <v>2117.7352535781</v>
      </c>
      <c r="AZ21" s="2" t="n">
        <v>3422.75775754928</v>
      </c>
      <c r="BA21" s="2" t="n">
        <v>2350.75138713752</v>
      </c>
    </row>
    <row r="22" customFormat="false" ht="15" hidden="false" customHeight="false" outlineLevel="0" collapsed="false">
      <c r="A22" s="6" t="n">
        <v>5902.6327097858</v>
      </c>
      <c r="B22" s="7" t="n">
        <v>472.227297588219</v>
      </c>
      <c r="C22" s="7" t="n">
        <v>486.529779239629</v>
      </c>
      <c r="D22" s="7" t="n">
        <v>385.351141233943</v>
      </c>
      <c r="E22" s="7" t="n">
        <v>720.607977600224</v>
      </c>
      <c r="F22" s="7" t="n">
        <v>2019</v>
      </c>
      <c r="G22" s="4" t="n">
        <v>26761.6395836682</v>
      </c>
      <c r="H22" s="7" t="n">
        <v>2141.00679492968</v>
      </c>
      <c r="I22" s="7" t="n">
        <v>1747.12350605197</v>
      </c>
      <c r="J22" s="2" t="n">
        <v>3267.12704750913</v>
      </c>
      <c r="K22" s="7" t="n">
        <v>2205.85207294816</v>
      </c>
      <c r="L22" s="2" t="n">
        <v>2033</v>
      </c>
      <c r="M22" s="2" t="n">
        <v>32140.1987798087</v>
      </c>
      <c r="N22" s="2" t="n">
        <v>2483.86650999554</v>
      </c>
      <c r="O22" s="2" t="n">
        <v>2218.30260675128</v>
      </c>
      <c r="P22" s="2" t="n">
        <v>3267.07765430835</v>
      </c>
      <c r="Q22" s="2" t="n">
        <v>2456.8595873373</v>
      </c>
      <c r="R22" s="8" t="n">
        <v>2019</v>
      </c>
      <c r="S22" s="9" t="n">
        <v>5902.6327097858</v>
      </c>
      <c r="T22" s="8" t="n">
        <v>472.227297588219</v>
      </c>
      <c r="U22" s="8" t="n">
        <v>486.529779239629</v>
      </c>
      <c r="V22" s="8" t="n">
        <v>385.351141233943</v>
      </c>
      <c r="W22" s="8" t="n">
        <v>720.607977600224</v>
      </c>
      <c r="X22" s="8" t="n">
        <v>2019</v>
      </c>
      <c r="Y22" s="3" t="n">
        <v>26761.6395836682</v>
      </c>
      <c r="Z22" s="3" t="n">
        <v>2141.00679492968</v>
      </c>
      <c r="AA22" s="3" t="n">
        <v>1747.12350605197</v>
      </c>
      <c r="AB22" s="3" t="n">
        <v>3267.12704750913</v>
      </c>
      <c r="AC22" s="3" t="n">
        <v>2205.85207294816</v>
      </c>
      <c r="AD22" s="3" t="n">
        <v>2033</v>
      </c>
      <c r="AE22" s="3" t="n">
        <v>36453.6253138059</v>
      </c>
      <c r="AF22" s="3" t="n">
        <v>2423.52891914629</v>
      </c>
      <c r="AG22" s="3" t="n">
        <v>2082.59850686854</v>
      </c>
      <c r="AH22" s="3" t="n">
        <v>3327.28303911291</v>
      </c>
      <c r="AI22" s="3" t="n">
        <v>2351.31889297456</v>
      </c>
      <c r="AJ22" s="7" t="n">
        <v>2019</v>
      </c>
      <c r="AK22" s="6" t="n">
        <v>5902.87223350446</v>
      </c>
      <c r="AL22" s="7" t="n">
        <v>473.215269012778</v>
      </c>
      <c r="AM22" s="7" t="n">
        <v>486.562922470009</v>
      </c>
      <c r="AN22" s="7" t="n">
        <v>385.83514211798</v>
      </c>
      <c r="AO22" s="7" t="n">
        <v>718.073312376378</v>
      </c>
      <c r="AP22" s="7" t="n">
        <v>2019</v>
      </c>
      <c r="AQ22" s="2" t="n">
        <v>26762.7255478042</v>
      </c>
      <c r="AR22" s="2" t="n">
        <v>2145.48610720997</v>
      </c>
      <c r="AS22" s="2" t="n">
        <v>1749.31789249843</v>
      </c>
      <c r="AT22" s="2" t="n">
        <v>3255.63526061997</v>
      </c>
      <c r="AU22" s="2" t="n">
        <v>2206.00233931737</v>
      </c>
      <c r="AV22" s="2" t="n">
        <v>2033</v>
      </c>
      <c r="AW22" s="2" t="n">
        <v>42051.8377521412</v>
      </c>
      <c r="AX22" s="2" t="n">
        <v>2430.68869318173</v>
      </c>
      <c r="AY22" s="2" t="n">
        <v>2105.53824849914</v>
      </c>
      <c r="AZ22" s="2" t="n">
        <v>3486.80705155368</v>
      </c>
      <c r="BA22" s="2" t="n">
        <v>2346.15774475729</v>
      </c>
    </row>
    <row r="23" customFormat="false" ht="15" hidden="false" customHeight="false" outlineLevel="0" collapsed="false">
      <c r="A23" s="6" t="n">
        <v>5855.1155803567</v>
      </c>
      <c r="B23" s="7" t="n">
        <v>451.588195662228</v>
      </c>
      <c r="C23" s="7" t="n">
        <v>461.456692465241</v>
      </c>
      <c r="D23" s="7" t="n">
        <v>394.86343119949</v>
      </c>
      <c r="E23" s="7" t="n">
        <v>631.580501587275</v>
      </c>
      <c r="F23" s="7" t="n">
        <v>2019</v>
      </c>
      <c r="G23" s="4" t="n">
        <v>26546.2041408151</v>
      </c>
      <c r="H23" s="7" t="n">
        <v>2047.43224366914</v>
      </c>
      <c r="I23" s="7" t="n">
        <v>1790.25078301286</v>
      </c>
      <c r="J23" s="2" t="n">
        <v>2863.49000227128</v>
      </c>
      <c r="K23" s="7" t="n">
        <v>2092.17450829235</v>
      </c>
      <c r="L23" s="2" t="n">
        <v>2034</v>
      </c>
      <c r="M23" s="2" t="n">
        <v>32173.7830218176</v>
      </c>
      <c r="N23" s="2" t="n">
        <v>2450.99175759757</v>
      </c>
      <c r="O23" s="2" t="n">
        <v>2230.73172637479</v>
      </c>
      <c r="P23" s="2" t="n">
        <v>3271.6801326304</v>
      </c>
      <c r="Q23" s="2" t="n">
        <v>2449.11001765462</v>
      </c>
      <c r="R23" s="8" t="n">
        <v>2019</v>
      </c>
      <c r="S23" s="9" t="n">
        <v>5855.1155803567</v>
      </c>
      <c r="T23" s="8" t="n">
        <v>451.588195662228</v>
      </c>
      <c r="U23" s="8" t="n">
        <v>461.456692465241</v>
      </c>
      <c r="V23" s="8" t="n">
        <v>394.86343119949</v>
      </c>
      <c r="W23" s="8" t="n">
        <v>631.580501587275</v>
      </c>
      <c r="X23" s="8" t="n">
        <v>2019</v>
      </c>
      <c r="Y23" s="3" t="n">
        <v>26546.2041408151</v>
      </c>
      <c r="Z23" s="3" t="n">
        <v>2047.43224366914</v>
      </c>
      <c r="AA23" s="3" t="n">
        <v>1790.25078301286</v>
      </c>
      <c r="AB23" s="3" t="n">
        <v>2863.49000227128</v>
      </c>
      <c r="AC23" s="3" t="n">
        <v>2092.17450829235</v>
      </c>
      <c r="AD23" s="3" t="n">
        <v>2034</v>
      </c>
      <c r="AE23" s="3" t="n">
        <v>36989.7670278052</v>
      </c>
      <c r="AF23" s="3" t="n">
        <v>2430.35648153724</v>
      </c>
      <c r="AG23" s="3" t="n">
        <v>2132.821683445</v>
      </c>
      <c r="AH23" s="3" t="n">
        <v>3301.15220336746</v>
      </c>
      <c r="AI23" s="3" t="n">
        <v>2363.38201121437</v>
      </c>
      <c r="AJ23" s="7" t="n">
        <v>2019</v>
      </c>
      <c r="AK23" s="6" t="n">
        <v>5859.55797690477</v>
      </c>
      <c r="AL23" s="7" t="n">
        <v>454.500516483987</v>
      </c>
      <c r="AM23" s="7" t="n">
        <v>462.750617583068</v>
      </c>
      <c r="AN23" s="7" t="n">
        <v>395.953713281124</v>
      </c>
      <c r="AO23" s="7" t="n">
        <v>641.98941971903</v>
      </c>
      <c r="AP23" s="7" t="n">
        <v>2019</v>
      </c>
      <c r="AQ23" s="2" t="n">
        <v>26566.3452915782</v>
      </c>
      <c r="AR23" s="2" t="n">
        <v>2060.63626364055</v>
      </c>
      <c r="AS23" s="2" t="n">
        <v>1795.19395626246</v>
      </c>
      <c r="AT23" s="2" t="n">
        <v>2910.68245506207</v>
      </c>
      <c r="AU23" s="2" t="n">
        <v>2098.04096811698</v>
      </c>
      <c r="AV23" s="2" t="n">
        <v>2034</v>
      </c>
      <c r="AW23" s="2" t="n">
        <v>43092.5143748961</v>
      </c>
      <c r="AX23" s="2" t="n">
        <v>2434.36719759069</v>
      </c>
      <c r="AY23" s="2" t="n">
        <v>2170.50956211372</v>
      </c>
      <c r="AZ23" s="2" t="n">
        <v>3418.88205149352</v>
      </c>
      <c r="BA23" s="2" t="n">
        <v>2372.26801004481</v>
      </c>
    </row>
    <row r="24" customFormat="false" ht="15" hidden="false" customHeight="false" outlineLevel="0" collapsed="false">
      <c r="A24" s="6" t="n">
        <v>5889.15450503347</v>
      </c>
      <c r="B24" s="7" t="n">
        <v>548.93922600063</v>
      </c>
      <c r="C24" s="7" t="n">
        <v>539.846446292744</v>
      </c>
      <c r="D24" s="7" t="n">
        <v>489.938250139969</v>
      </c>
      <c r="E24" s="7" t="n">
        <v>677.825263328598</v>
      </c>
      <c r="F24" s="7" t="n">
        <v>2020</v>
      </c>
      <c r="G24" s="4" t="n">
        <v>26700.5314518309</v>
      </c>
      <c r="H24" s="7" t="n">
        <v>2488.80701914786</v>
      </c>
      <c r="I24" s="7" t="n">
        <v>2221.30556196758</v>
      </c>
      <c r="J24" s="2" t="n">
        <v>3073.15672341118</v>
      </c>
      <c r="K24" s="7" t="n">
        <v>2447.58173793517</v>
      </c>
      <c r="L24" s="2" t="n">
        <v>2035</v>
      </c>
      <c r="M24" s="2" t="n">
        <v>32580.2487529899</v>
      </c>
      <c r="N24" s="2" t="n">
        <v>2443.180753856</v>
      </c>
      <c r="O24" s="2" t="n">
        <v>2205.03310957665</v>
      </c>
      <c r="P24" s="2" t="n">
        <v>3261.62904011571</v>
      </c>
      <c r="Q24" s="2" t="n">
        <v>2424.74016891946</v>
      </c>
      <c r="R24" s="8" t="n">
        <v>2020</v>
      </c>
      <c r="S24" s="9" t="n">
        <v>5905.76889726852</v>
      </c>
      <c r="T24" s="8" t="n">
        <v>548.682578610394</v>
      </c>
      <c r="U24" s="8" t="n">
        <v>539.37815637511</v>
      </c>
      <c r="V24" s="8" t="n">
        <v>489.180269075219</v>
      </c>
      <c r="W24" s="8" t="n">
        <v>677.825263328598</v>
      </c>
      <c r="X24" s="8" t="n">
        <v>2020</v>
      </c>
      <c r="Y24" s="3" t="n">
        <v>26775.8585810557</v>
      </c>
      <c r="Z24" s="3" t="n">
        <v>2487.64341888756</v>
      </c>
      <c r="AA24" s="3" t="n">
        <v>2217.86899102315</v>
      </c>
      <c r="AB24" s="3" t="n">
        <v>3073.15672341118</v>
      </c>
      <c r="AC24" s="3" t="n">
        <v>2445.45858262253</v>
      </c>
      <c r="AD24" s="3" t="n">
        <v>2035</v>
      </c>
      <c r="AE24" s="3" t="n">
        <v>37623.6816874835</v>
      </c>
      <c r="AF24" s="3" t="n">
        <v>2436.27260988531</v>
      </c>
      <c r="AG24" s="3" t="n">
        <v>2165.71437342339</v>
      </c>
      <c r="AH24" s="3" t="n">
        <v>3269.80603695781</v>
      </c>
      <c r="AI24" s="3" t="n">
        <v>2375.52808974885</v>
      </c>
      <c r="AJ24" s="7" t="n">
        <v>2020</v>
      </c>
      <c r="AK24" s="6" t="n">
        <v>5959.3095259097</v>
      </c>
      <c r="AL24" s="7" t="n">
        <v>547.09526025174</v>
      </c>
      <c r="AM24" s="7" t="n">
        <v>539.048278016209</v>
      </c>
      <c r="AN24" s="7" t="n">
        <v>490.669976675958</v>
      </c>
      <c r="AO24" s="7" t="n">
        <v>667.542293922509</v>
      </c>
      <c r="AP24" s="7" t="n">
        <v>2020</v>
      </c>
      <c r="AQ24" s="2" t="n">
        <v>27018.6036538438</v>
      </c>
      <c r="AR24" s="2" t="n">
        <v>2480.44675870092</v>
      </c>
      <c r="AS24" s="2" t="n">
        <v>2224.62309886895</v>
      </c>
      <c r="AT24" s="2" t="n">
        <v>3026.53530300001</v>
      </c>
      <c r="AU24" s="2" t="n">
        <v>2443.96296428044</v>
      </c>
      <c r="AV24" s="2" t="n">
        <v>2035</v>
      </c>
      <c r="AW24" s="2" t="n">
        <v>43863.7202053385</v>
      </c>
      <c r="AX24" s="2" t="n">
        <v>2423.50921865903</v>
      </c>
      <c r="AY24" s="2" t="n">
        <v>2153.36095477252</v>
      </c>
      <c r="AZ24" s="2" t="n">
        <v>3427.0214864286</v>
      </c>
      <c r="BA24" s="2" t="n">
        <v>2355.52015220504</v>
      </c>
    </row>
    <row r="25" customFormat="false" ht="15" hidden="false" customHeight="false" outlineLevel="0" collapsed="false">
      <c r="A25" s="6" t="n">
        <v>5895.46418447988</v>
      </c>
      <c r="B25" s="7" t="n">
        <v>413.145656749927</v>
      </c>
      <c r="C25" s="7" t="n">
        <v>416.843020013464</v>
      </c>
      <c r="D25" s="7" t="n">
        <v>363.166515283491</v>
      </c>
      <c r="E25" s="7" t="n">
        <v>562.786056281088</v>
      </c>
      <c r="F25" s="7" t="n">
        <v>2020</v>
      </c>
      <c r="G25" s="4" t="n">
        <v>26729.1385794527</v>
      </c>
      <c r="H25" s="7" t="n">
        <v>1873.13961500083</v>
      </c>
      <c r="I25" s="7" t="n">
        <v>1646.54178376385</v>
      </c>
      <c r="J25" s="2" t="n">
        <v>2551.58644310346</v>
      </c>
      <c r="K25" s="7" t="n">
        <v>1889.90289808714</v>
      </c>
      <c r="L25" s="2" t="n">
        <v>2036</v>
      </c>
      <c r="M25" s="2" t="n">
        <v>33000.4397183192</v>
      </c>
      <c r="N25" s="2" t="n">
        <v>2464.68226467115</v>
      </c>
      <c r="O25" s="2" t="n">
        <v>2191.41079859043</v>
      </c>
      <c r="P25" s="2" t="n">
        <v>3264.03901626331</v>
      </c>
      <c r="Q25" s="2" t="n">
        <v>2416.7819148229</v>
      </c>
      <c r="R25" s="8" t="n">
        <v>2020</v>
      </c>
      <c r="S25" s="9" t="n">
        <v>5929.74311109607</v>
      </c>
      <c r="T25" s="8" t="n">
        <v>412.948834689728</v>
      </c>
      <c r="U25" s="8" t="n">
        <v>416.579728728062</v>
      </c>
      <c r="V25" s="8" t="n">
        <v>362.302855271877</v>
      </c>
      <c r="W25" s="8" t="n">
        <v>562.760247418359</v>
      </c>
      <c r="X25" s="8" t="n">
        <v>2020</v>
      </c>
      <c r="Y25" s="3" t="n">
        <v>26884.5540227847</v>
      </c>
      <c r="Z25" s="3" t="n">
        <v>1872.24725369425</v>
      </c>
      <c r="AA25" s="3" t="n">
        <v>1642.62608053614</v>
      </c>
      <c r="AB25" s="3" t="n">
        <v>2551.46942964246</v>
      </c>
      <c r="AC25" s="3" t="n">
        <v>1888.70917541594</v>
      </c>
      <c r="AD25" s="3" t="n">
        <v>2036</v>
      </c>
      <c r="AE25" s="3" t="n">
        <v>38261.9584853829</v>
      </c>
      <c r="AF25" s="3" t="n">
        <v>2398.50548971023</v>
      </c>
      <c r="AG25" s="3" t="n">
        <v>2142.6535043263</v>
      </c>
      <c r="AH25" s="3" t="n">
        <v>3365.3090311564</v>
      </c>
      <c r="AI25" s="3" t="n">
        <v>2347.58035162072</v>
      </c>
      <c r="AJ25" s="7" t="n">
        <v>2020</v>
      </c>
      <c r="AK25" s="6" t="n">
        <v>6078.96602713606</v>
      </c>
      <c r="AL25" s="7" t="n">
        <v>413.536576723567</v>
      </c>
      <c r="AM25" s="7" t="n">
        <v>423.625942668744</v>
      </c>
      <c r="AN25" s="7" t="n">
        <v>378.394943241539</v>
      </c>
      <c r="AO25" s="7" t="n">
        <v>554.696512665263</v>
      </c>
      <c r="AP25" s="7" t="n">
        <v>2020</v>
      </c>
      <c r="AQ25" s="2" t="n">
        <v>27561.1080441904</v>
      </c>
      <c r="AR25" s="2" t="n">
        <v>1874.91198674662</v>
      </c>
      <c r="AS25" s="2" t="n">
        <v>1715.58516160497</v>
      </c>
      <c r="AT25" s="2" t="n">
        <v>2514.90968185349</v>
      </c>
      <c r="AU25" s="2" t="n">
        <v>1920.65563849119</v>
      </c>
      <c r="AV25" s="2" t="n">
        <v>2036</v>
      </c>
      <c r="AW25" s="2" t="n">
        <v>44876.6061275261</v>
      </c>
      <c r="AX25" s="2" t="n">
        <v>2409.15517247499</v>
      </c>
      <c r="AY25" s="2" t="n">
        <v>2131.06463410989</v>
      </c>
      <c r="AZ25" s="2" t="n">
        <v>3671.4307871731</v>
      </c>
      <c r="BA25" s="2" t="n">
        <v>2358.62372741433</v>
      </c>
    </row>
    <row r="26" customFormat="false" ht="15" hidden="false" customHeight="false" outlineLevel="0" collapsed="false">
      <c r="A26" s="6" t="n">
        <v>5906.91807591276</v>
      </c>
      <c r="B26" s="7" t="n">
        <v>415.170918600961</v>
      </c>
      <c r="C26" s="7" t="n">
        <v>417.225126309053</v>
      </c>
      <c r="D26" s="7" t="n">
        <v>366.532498638853</v>
      </c>
      <c r="E26" s="7" t="n">
        <v>545.369591548527</v>
      </c>
      <c r="F26" s="7" t="n">
        <v>2020</v>
      </c>
      <c r="G26" s="4" t="n">
        <v>26781.0687823686</v>
      </c>
      <c r="H26" s="7" t="n">
        <v>1882.32184442026</v>
      </c>
      <c r="I26" s="7" t="n">
        <v>1661.80264071188</v>
      </c>
      <c r="J26" s="2" t="n">
        <v>2472.62283907949</v>
      </c>
      <c r="K26" s="7" t="n">
        <v>1891.63530995621</v>
      </c>
      <c r="L26" s="2" t="n">
        <v>2037</v>
      </c>
      <c r="M26" s="2" t="n">
        <v>33262.6142552361</v>
      </c>
      <c r="N26" s="2" t="n">
        <v>2514.3302793269</v>
      </c>
      <c r="O26" s="2" t="n">
        <v>2174.41904092084</v>
      </c>
      <c r="P26" s="2" t="n">
        <v>3332.45629791697</v>
      </c>
      <c r="Q26" s="2" t="n">
        <v>2414.57207783362</v>
      </c>
      <c r="R26" s="8" t="n">
        <v>2020</v>
      </c>
      <c r="S26" s="9" t="n">
        <v>5976.4023583589</v>
      </c>
      <c r="T26" s="8" t="n">
        <v>414.072021076988</v>
      </c>
      <c r="U26" s="8" t="n">
        <v>415.919335799003</v>
      </c>
      <c r="V26" s="8" t="n">
        <v>364.47061679739</v>
      </c>
      <c r="W26" s="8" t="n">
        <v>545.521545736492</v>
      </c>
      <c r="X26" s="8" t="n">
        <v>2020</v>
      </c>
      <c r="Y26" s="3" t="n">
        <v>27096.0999582828</v>
      </c>
      <c r="Z26" s="3" t="n">
        <v>1877.33961006453</v>
      </c>
      <c r="AA26" s="3" t="n">
        <v>1652.45438182159</v>
      </c>
      <c r="AB26" s="3" t="n">
        <v>2473.31177627269</v>
      </c>
      <c r="AC26" s="3" t="n">
        <v>1885.71505424662</v>
      </c>
      <c r="AD26" s="3" t="n">
        <v>2037</v>
      </c>
      <c r="AE26" s="3" t="n">
        <v>38797.0726431763</v>
      </c>
      <c r="AF26" s="3" t="n">
        <v>2410.12293562013</v>
      </c>
      <c r="AG26" s="3" t="n">
        <v>2149.87059334986</v>
      </c>
      <c r="AH26" s="3" t="n">
        <v>3382.93836579409</v>
      </c>
      <c r="AI26" s="3" t="n">
        <v>2339.49851225055</v>
      </c>
      <c r="AJ26" s="7" t="n">
        <v>2020</v>
      </c>
      <c r="AK26" s="6" t="n">
        <v>6198.22496352165</v>
      </c>
      <c r="AL26" s="7" t="n">
        <v>414.286462086957</v>
      </c>
      <c r="AM26" s="7" t="n">
        <v>423.445027436109</v>
      </c>
      <c r="AN26" s="7" t="n">
        <v>375.106569377728</v>
      </c>
      <c r="AO26" s="7" t="n">
        <v>551.08282497885</v>
      </c>
      <c r="AP26" s="7" t="n">
        <v>2020</v>
      </c>
      <c r="AQ26" s="2" t="n">
        <v>28101.8099359737</v>
      </c>
      <c r="AR26" s="2" t="n">
        <v>1878.31185301152</v>
      </c>
      <c r="AS26" s="2" t="n">
        <v>1700.67617429601</v>
      </c>
      <c r="AT26" s="2" t="n">
        <v>2498.52577111627</v>
      </c>
      <c r="AU26" s="2" t="n">
        <v>1919.83539632316</v>
      </c>
      <c r="AV26" s="2" t="n">
        <v>2037</v>
      </c>
      <c r="AW26" s="2" t="n">
        <v>45688.1696150955</v>
      </c>
      <c r="AX26" s="2" t="n">
        <v>2421.03644094394</v>
      </c>
      <c r="AY26" s="2" t="n">
        <v>2144.80961982934</v>
      </c>
      <c r="AZ26" s="2" t="n">
        <v>3580.8726670985</v>
      </c>
      <c r="BA26" s="2" t="n">
        <v>2341.59999951303</v>
      </c>
    </row>
    <row r="27" customFormat="false" ht="15" hidden="false" customHeight="false" outlineLevel="0" collapsed="false">
      <c r="A27" s="6" t="n">
        <v>5914.94333278746</v>
      </c>
      <c r="B27" s="7" t="n">
        <v>414.737116211697</v>
      </c>
      <c r="C27" s="7" t="n">
        <v>413.482561591039</v>
      </c>
      <c r="D27" s="7" t="n">
        <v>354.558122448406</v>
      </c>
      <c r="E27" s="7" t="n">
        <v>575.463217734766</v>
      </c>
      <c r="F27" s="7" t="n">
        <v>2020</v>
      </c>
      <c r="G27" s="4" t="n">
        <v>26817.4540773051</v>
      </c>
      <c r="H27" s="7" t="n">
        <v>1880.3550503196</v>
      </c>
      <c r="I27" s="7" t="n">
        <v>1607.51263901201</v>
      </c>
      <c r="J27" s="2" t="n">
        <v>2609.06276637271</v>
      </c>
      <c r="K27" s="7" t="n">
        <v>1874.66709034533</v>
      </c>
      <c r="L27" s="2" t="n">
        <v>2038</v>
      </c>
      <c r="M27" s="2" t="n">
        <v>33510.1302017302</v>
      </c>
      <c r="N27" s="2" t="n">
        <v>2505.34666569171</v>
      </c>
      <c r="O27" s="2" t="n">
        <v>2191.63410063879</v>
      </c>
      <c r="P27" s="2" t="n">
        <v>3256.84817318494</v>
      </c>
      <c r="Q27" s="2" t="n">
        <v>2418.69113039721</v>
      </c>
      <c r="R27" s="8" t="n">
        <v>2020</v>
      </c>
      <c r="S27" s="9" t="n">
        <v>5989.76901415762</v>
      </c>
      <c r="T27" s="8" t="n">
        <v>414.54641470013</v>
      </c>
      <c r="U27" s="8" t="n">
        <v>413.986390117545</v>
      </c>
      <c r="V27" s="8" t="n">
        <v>354.361668807518</v>
      </c>
      <c r="W27" s="8" t="n">
        <v>576.017088915641</v>
      </c>
      <c r="X27" s="8" t="n">
        <v>2020</v>
      </c>
      <c r="Y27" s="3" t="n">
        <v>27156.7023441184</v>
      </c>
      <c r="Z27" s="3" t="n">
        <v>1879.49043865027</v>
      </c>
      <c r="AA27" s="3" t="n">
        <v>1606.62194806259</v>
      </c>
      <c r="AB27" s="3" t="n">
        <v>2611.57393412567</v>
      </c>
      <c r="AC27" s="3" t="n">
        <v>1876.9513723092</v>
      </c>
      <c r="AD27" s="3" t="n">
        <v>2038</v>
      </c>
      <c r="AE27" s="3" t="n">
        <v>39636.4076862621</v>
      </c>
      <c r="AF27" s="3" t="n">
        <v>2444.44741308792</v>
      </c>
      <c r="AG27" s="3" t="n">
        <v>2171.79512222444</v>
      </c>
      <c r="AH27" s="3" t="n">
        <v>3344.17227645758</v>
      </c>
      <c r="AI27" s="3" t="n">
        <v>2363.9682285031</v>
      </c>
      <c r="AJ27" s="7" t="n">
        <v>2020</v>
      </c>
      <c r="AK27" s="6" t="n">
        <v>6316.43204429647</v>
      </c>
      <c r="AL27" s="7" t="n">
        <v>414.652617031646</v>
      </c>
      <c r="AM27" s="7" t="n">
        <v>420.256796864804</v>
      </c>
      <c r="AN27" s="7" t="n">
        <v>372.866727444839</v>
      </c>
      <c r="AO27" s="7" t="n">
        <v>540.081681277137</v>
      </c>
      <c r="AP27" s="7" t="n">
        <v>2020</v>
      </c>
      <c r="AQ27" s="2" t="n">
        <v>28637.7428742859</v>
      </c>
      <c r="AR27" s="2" t="n">
        <v>1879.97194388001</v>
      </c>
      <c r="AS27" s="2" t="n">
        <v>1690.52107139879</v>
      </c>
      <c r="AT27" s="2" t="n">
        <v>2448.64825760179</v>
      </c>
      <c r="AU27" s="2" t="n">
        <v>1905.38044348196</v>
      </c>
      <c r="AV27" s="2" t="n">
        <v>2038</v>
      </c>
      <c r="AW27" s="2" t="n">
        <v>46657.4557614382</v>
      </c>
      <c r="AX27" s="2" t="n">
        <v>2361.74095774296</v>
      </c>
      <c r="AY27" s="2" t="n">
        <v>2095.34505265161</v>
      </c>
      <c r="AZ27" s="2" t="n">
        <v>3493.52877863841</v>
      </c>
      <c r="BA27" s="2" t="n">
        <v>2297.62104808275</v>
      </c>
    </row>
    <row r="28" customFormat="false" ht="15" hidden="false" customHeight="false" outlineLevel="0" collapsed="false">
      <c r="A28" s="6" t="n">
        <v>5969.05269637409</v>
      </c>
      <c r="B28" s="7" t="n">
        <v>536.236675630346</v>
      </c>
      <c r="C28" s="7" t="n">
        <v>528.703496518829</v>
      </c>
      <c r="D28" s="7" t="n">
        <v>472.798733854512</v>
      </c>
      <c r="E28" s="7" t="n">
        <v>687.754522497913</v>
      </c>
      <c r="F28" s="7" t="n">
        <v>2021</v>
      </c>
      <c r="G28" s="4" t="n">
        <v>27062.7777078956</v>
      </c>
      <c r="H28" s="7" t="n">
        <v>2431.2155863895</v>
      </c>
      <c r="I28" s="7" t="n">
        <v>2143.59760011026</v>
      </c>
      <c r="J28" s="2" t="n">
        <v>3118.17447536811</v>
      </c>
      <c r="K28" s="7" t="n">
        <v>2397.06129724198</v>
      </c>
      <c r="L28" s="2" t="n">
        <v>2039</v>
      </c>
      <c r="M28" s="2" t="n">
        <v>33739.0713459507</v>
      </c>
      <c r="N28" s="2" t="n">
        <v>2478.44113863002</v>
      </c>
      <c r="O28" s="2" t="n">
        <v>2184.84510815351</v>
      </c>
      <c r="P28" s="2" t="n">
        <v>3280.70448214351</v>
      </c>
      <c r="Q28" s="2" t="n">
        <v>2419.57108556885</v>
      </c>
      <c r="R28" s="8" t="n">
        <v>2021</v>
      </c>
      <c r="S28" s="9" t="n">
        <v>6074.16742636382</v>
      </c>
      <c r="T28" s="8" t="n">
        <v>535.996573515374</v>
      </c>
      <c r="U28" s="8" t="n">
        <v>528.50978901575</v>
      </c>
      <c r="V28" s="8" t="n">
        <v>471.753843725664</v>
      </c>
      <c r="W28" s="8" t="n">
        <v>690.109618180148</v>
      </c>
      <c r="X28" s="8" t="n">
        <v>2021</v>
      </c>
      <c r="Y28" s="3" t="n">
        <v>27539.3519176132</v>
      </c>
      <c r="Z28" s="3" t="n">
        <v>2430.12699989258</v>
      </c>
      <c r="AA28" s="3" t="n">
        <v>2138.86022707561</v>
      </c>
      <c r="AB28" s="3" t="n">
        <v>3128.85212124781</v>
      </c>
      <c r="AC28" s="3" t="n">
        <v>2396.18305686401</v>
      </c>
      <c r="AD28" s="3" t="n">
        <v>2039</v>
      </c>
      <c r="AE28" s="3" t="n">
        <v>40062.7204987091</v>
      </c>
      <c r="AF28" s="3" t="n">
        <v>2435.14040324789</v>
      </c>
      <c r="AG28" s="3" t="n">
        <v>2150.22437404104</v>
      </c>
      <c r="AH28" s="3" t="n">
        <v>3390.22515224179</v>
      </c>
      <c r="AI28" s="3" t="n">
        <v>2373.81377822549</v>
      </c>
      <c r="AJ28" s="7" t="n">
        <v>2021</v>
      </c>
      <c r="AK28" s="6" t="n">
        <v>6428.90223032854</v>
      </c>
      <c r="AL28" s="7" t="n">
        <v>539.580220416579</v>
      </c>
      <c r="AM28" s="7" t="n">
        <v>530.621773060347</v>
      </c>
      <c r="AN28" s="7" t="n">
        <v>477.239948626216</v>
      </c>
      <c r="AO28" s="7" t="n">
        <v>679.035831400792</v>
      </c>
      <c r="AP28" s="7" t="n">
        <v>2021</v>
      </c>
      <c r="AQ28" s="2" t="n">
        <v>29147.665603767</v>
      </c>
      <c r="AR28" s="2" t="n">
        <v>2446.37471027547</v>
      </c>
      <c r="AS28" s="2" t="n">
        <v>2163.73339287896</v>
      </c>
      <c r="AT28" s="2" t="n">
        <v>3078.64525506009</v>
      </c>
      <c r="AU28" s="2" t="n">
        <v>2405.75847152843</v>
      </c>
      <c r="AV28" s="2" t="n">
        <v>2039</v>
      </c>
      <c r="AW28" s="2" t="n">
        <v>47606.0826393091</v>
      </c>
      <c r="AX28" s="2" t="n">
        <v>2333.05930489437</v>
      </c>
      <c r="AY28" s="2" t="n">
        <v>2080.95858117892</v>
      </c>
      <c r="AZ28" s="2" t="n">
        <v>3481.87572325961</v>
      </c>
      <c r="BA28" s="2" t="n">
        <v>2270.99778089768</v>
      </c>
    </row>
    <row r="29" customFormat="false" ht="15" hidden="false" customHeight="false" outlineLevel="0" collapsed="false">
      <c r="A29" s="6" t="n">
        <v>5979.34184627922</v>
      </c>
      <c r="B29" s="7" t="n">
        <v>453.449914751258</v>
      </c>
      <c r="C29" s="7" t="n">
        <v>453.294938910014</v>
      </c>
      <c r="D29" s="7" t="n">
        <v>399.579196789907</v>
      </c>
      <c r="E29" s="7" t="n">
        <v>622.658354361202</v>
      </c>
      <c r="F29" s="7" t="n">
        <v>2021</v>
      </c>
      <c r="G29" s="4" t="n">
        <v>27109.4271497501</v>
      </c>
      <c r="H29" s="7" t="n">
        <v>2055.872995062</v>
      </c>
      <c r="I29" s="7" t="n">
        <v>1811.63134746549</v>
      </c>
      <c r="J29" s="2" t="n">
        <v>2823.03834279724</v>
      </c>
      <c r="K29" s="7" t="n">
        <v>2055.17035815209</v>
      </c>
      <c r="L29" s="2" t="n">
        <v>2040</v>
      </c>
      <c r="M29" s="2" t="n">
        <v>33720.8051199144</v>
      </c>
      <c r="N29" s="2" t="n">
        <v>2479.90148327604</v>
      </c>
      <c r="O29" s="2" t="n">
        <v>2184.50664389509</v>
      </c>
      <c r="P29" s="2" t="n">
        <v>3303.08260108479</v>
      </c>
      <c r="Q29" s="2" t="n">
        <v>2428.91377912874</v>
      </c>
      <c r="R29" s="8" t="n">
        <v>2021</v>
      </c>
      <c r="S29" s="9" t="n">
        <v>6108.35761466256</v>
      </c>
      <c r="T29" s="8" t="n">
        <v>452.558229704268</v>
      </c>
      <c r="U29" s="8" t="n">
        <v>451.407243868214</v>
      </c>
      <c r="V29" s="8" t="n">
        <v>396.424583262128</v>
      </c>
      <c r="W29" s="8" t="n">
        <v>624.467520781812</v>
      </c>
      <c r="X29" s="8" t="n">
        <v>2021</v>
      </c>
      <c r="Y29" s="3" t="n">
        <v>27694.365034901</v>
      </c>
      <c r="Z29" s="3" t="n">
        <v>2051.83023058334</v>
      </c>
      <c r="AA29" s="3" t="n">
        <v>1797.32880919029</v>
      </c>
      <c r="AB29" s="3" t="n">
        <v>2831.24082837879</v>
      </c>
      <c r="AC29" s="3" t="n">
        <v>2046.61183573737</v>
      </c>
      <c r="AD29" s="3" t="n">
        <v>2040</v>
      </c>
      <c r="AE29" s="3" t="n">
        <v>40396.9677423949</v>
      </c>
      <c r="AF29" s="3" t="n">
        <v>2456.09284512478</v>
      </c>
      <c r="AG29" s="3" t="n">
        <v>2167.85540310873</v>
      </c>
      <c r="AH29" s="3" t="n">
        <v>3422.896231108</v>
      </c>
      <c r="AI29" s="3" t="n">
        <v>2394.7560790983</v>
      </c>
      <c r="AJ29" s="7" t="n">
        <v>2021</v>
      </c>
      <c r="AK29" s="6" t="n">
        <v>6545.29300486675</v>
      </c>
      <c r="AL29" s="7" t="n">
        <v>443.15908950701</v>
      </c>
      <c r="AM29" s="7" t="n">
        <v>448.875957892644</v>
      </c>
      <c r="AN29" s="7" t="n">
        <v>391.36085512998</v>
      </c>
      <c r="AO29" s="7" t="n">
        <v>607.171721962132</v>
      </c>
      <c r="AP29" s="7" t="n">
        <v>2021</v>
      </c>
      <c r="AQ29" s="2" t="n">
        <v>29675.363685657</v>
      </c>
      <c r="AR29" s="2" t="n">
        <v>2009.2159574746</v>
      </c>
      <c r="AS29" s="2" t="n">
        <v>1774.37063545917</v>
      </c>
      <c r="AT29" s="2" t="n">
        <v>2752.82430526419</v>
      </c>
      <c r="AU29" s="2" t="n">
        <v>2035.1353698463</v>
      </c>
      <c r="AV29" s="2" t="n">
        <v>2040</v>
      </c>
      <c r="AW29" s="2" t="n">
        <v>48574.0532183751</v>
      </c>
      <c r="AX29" s="2" t="n">
        <v>2333.48976373947</v>
      </c>
      <c r="AY29" s="2" t="n">
        <v>2061.33860377493</v>
      </c>
      <c r="AZ29" s="2" t="n">
        <v>3564.09046544927</v>
      </c>
      <c r="BA29" s="2" t="n">
        <v>2258.20861451432</v>
      </c>
    </row>
    <row r="30" customFormat="false" ht="15" hidden="false" customHeight="false" outlineLevel="0" collapsed="false">
      <c r="A30" s="6" t="n">
        <v>5986.2927433296</v>
      </c>
      <c r="B30" s="7" t="n">
        <v>442.240231428102</v>
      </c>
      <c r="C30" s="7" t="n">
        <v>448.042948221384</v>
      </c>
      <c r="D30" s="7" t="n">
        <v>393.16357838596</v>
      </c>
      <c r="E30" s="7" t="n">
        <v>608.287030913794</v>
      </c>
      <c r="F30" s="7" t="n">
        <v>2021</v>
      </c>
      <c r="G30" s="4" t="n">
        <v>27140.9414605316</v>
      </c>
      <c r="H30" s="7" t="n">
        <v>2005.04999459917</v>
      </c>
      <c r="I30" s="7" t="n">
        <v>1782.54390871157</v>
      </c>
      <c r="J30" s="2" t="n">
        <v>2757.88094653874</v>
      </c>
      <c r="K30" s="7" t="n">
        <v>2031.35863060331</v>
      </c>
      <c r="L30" s="2"/>
      <c r="M30" s="2"/>
      <c r="N30" s="2"/>
      <c r="O30" s="2"/>
      <c r="P30" s="2"/>
      <c r="Q30" s="2"/>
      <c r="R30" s="8" t="n">
        <v>2021</v>
      </c>
      <c r="S30" s="9" t="n">
        <v>6175.31024007337</v>
      </c>
      <c r="T30" s="8" t="n">
        <v>440.466192133846</v>
      </c>
      <c r="U30" s="8" t="n">
        <v>447.128228591238</v>
      </c>
      <c r="V30" s="8" t="n">
        <v>394.304009217056</v>
      </c>
      <c r="W30" s="8" t="n">
        <v>590.944832871167</v>
      </c>
      <c r="X30" s="8" t="n">
        <v>2021</v>
      </c>
      <c r="Y30" s="3" t="n">
        <v>27997.9180625956</v>
      </c>
      <c r="Z30" s="3" t="n">
        <v>1997.00677006964</v>
      </c>
      <c r="AA30" s="3" t="n">
        <v>1787.71444876928</v>
      </c>
      <c r="AB30" s="3" t="n">
        <v>2679.25405639937</v>
      </c>
      <c r="AC30" s="3" t="n">
        <v>2027.21143082558</v>
      </c>
      <c r="AJ30" s="7" t="n">
        <v>2021</v>
      </c>
      <c r="AK30" s="6" t="n">
        <v>6686.90897209624</v>
      </c>
      <c r="AL30" s="7" t="n">
        <v>436.505748876975</v>
      </c>
      <c r="AM30" s="7" t="n">
        <v>442.989591652217</v>
      </c>
      <c r="AN30" s="7" t="n">
        <v>383.761759900639</v>
      </c>
      <c r="AO30" s="7" t="n">
        <v>611.15734886654</v>
      </c>
      <c r="AP30" s="7" t="n">
        <v>2021</v>
      </c>
      <c r="AQ30" s="2" t="n">
        <v>30317.428957312</v>
      </c>
      <c r="AR30" s="2" t="n">
        <v>1979.05072227825</v>
      </c>
      <c r="AS30" s="2" t="n">
        <v>1739.91749265182</v>
      </c>
      <c r="AT30" s="2" t="n">
        <v>2770.89453188594</v>
      </c>
      <c r="AU30" s="2" t="n">
        <v>2008.44747996241</v>
      </c>
    </row>
    <row r="31" customFormat="false" ht="15" hidden="false" customHeight="false" outlineLevel="0" collapsed="false">
      <c r="A31" s="6" t="n">
        <v>6014.50125041624</v>
      </c>
      <c r="B31" s="7" t="n">
        <v>447.581638502611</v>
      </c>
      <c r="C31" s="7" t="n">
        <v>448.407314217241</v>
      </c>
      <c r="D31" s="7" t="n">
        <v>395.762606986127</v>
      </c>
      <c r="E31" s="7" t="n">
        <v>594.022864578268</v>
      </c>
      <c r="F31" s="7" t="n">
        <v>2021</v>
      </c>
      <c r="G31" s="4" t="n">
        <v>27268.8345443405</v>
      </c>
      <c r="H31" s="7" t="n">
        <v>2029.2671224514</v>
      </c>
      <c r="I31" s="7" t="n">
        <v>1794.32750936658</v>
      </c>
      <c r="J31" s="2" t="n">
        <v>2693.20938433905</v>
      </c>
      <c r="K31" s="7" t="n">
        <v>2033.01061064969</v>
      </c>
      <c r="R31" s="8" t="n">
        <v>2021</v>
      </c>
      <c r="S31" s="9" t="n">
        <v>6258.27364590019</v>
      </c>
      <c r="T31" s="8" t="n">
        <v>446.267815038871</v>
      </c>
      <c r="U31" s="8" t="n">
        <v>446.313358115318</v>
      </c>
      <c r="V31" s="8" t="n">
        <v>394.789223694181</v>
      </c>
      <c r="W31" s="8" t="n">
        <v>586.531860661996</v>
      </c>
      <c r="X31" s="8" t="n">
        <v>2021</v>
      </c>
      <c r="Y31" s="3" t="n">
        <v>28374.0615352684</v>
      </c>
      <c r="Z31" s="3" t="n">
        <v>2023.31044655069</v>
      </c>
      <c r="AA31" s="3" t="n">
        <v>1789.91433746235</v>
      </c>
      <c r="AB31" s="3" t="n">
        <v>2659.2463111167</v>
      </c>
      <c r="AC31" s="3" t="n">
        <v>2023.51693193735</v>
      </c>
      <c r="AJ31" s="7" t="n">
        <v>2021</v>
      </c>
      <c r="AK31" s="6" t="n">
        <v>6821.77226275002</v>
      </c>
      <c r="AL31" s="7" t="n">
        <v>443.403336596351</v>
      </c>
      <c r="AM31" s="7" t="n">
        <v>447.903227474115</v>
      </c>
      <c r="AN31" s="7" t="n">
        <v>389.65071597638</v>
      </c>
      <c r="AO31" s="7" t="n">
        <v>610.716966645194</v>
      </c>
      <c r="AP31" s="7" t="n">
        <v>2021</v>
      </c>
      <c r="AQ31" s="2" t="n">
        <v>30928.8786196907</v>
      </c>
      <c r="AR31" s="2" t="n">
        <v>2010.32333665533</v>
      </c>
      <c r="AS31" s="2" t="n">
        <v>1766.6171244554</v>
      </c>
      <c r="AT31" s="2" t="n">
        <v>2768.89790582666</v>
      </c>
      <c r="AU31" s="2" t="n">
        <v>2030.72515797091</v>
      </c>
    </row>
    <row r="32" customFormat="false" ht="15" hidden="false" customHeight="false" outlineLevel="0" collapsed="false">
      <c r="A32" s="6" t="n">
        <v>6058.13494440868</v>
      </c>
      <c r="B32" s="7" t="n">
        <v>573.147903261457</v>
      </c>
      <c r="C32" s="7" t="n">
        <v>562.430101901137</v>
      </c>
      <c r="D32" s="7" t="n">
        <v>507.588850570184</v>
      </c>
      <c r="E32" s="7" t="n">
        <v>729.242813701827</v>
      </c>
      <c r="F32" s="7" t="n">
        <v>2022</v>
      </c>
      <c r="G32" s="4" t="n">
        <v>27466.6630811549</v>
      </c>
      <c r="H32" s="7" t="n">
        <v>2598.56548244807</v>
      </c>
      <c r="I32" s="7" t="n">
        <v>2301.33070165917</v>
      </c>
      <c r="J32" s="2" t="n">
        <v>3306.27608201233</v>
      </c>
      <c r="K32" s="7" t="n">
        <v>2549.97260004515</v>
      </c>
      <c r="R32" s="8" t="n">
        <v>2022</v>
      </c>
      <c r="S32" s="9" t="n">
        <v>6271.20390532191</v>
      </c>
      <c r="T32" s="8" t="n">
        <v>572.90594414756</v>
      </c>
      <c r="U32" s="8" t="n">
        <v>564.699619750246</v>
      </c>
      <c r="V32" s="8" t="n">
        <v>506.500406889549</v>
      </c>
      <c r="W32" s="8" t="n">
        <v>710.964500689058</v>
      </c>
      <c r="X32" s="8" t="n">
        <v>2022</v>
      </c>
      <c r="Y32" s="3" t="n">
        <v>28432.6853662572</v>
      </c>
      <c r="Z32" s="3" t="n">
        <v>2597.46847660026</v>
      </c>
      <c r="AA32" s="3" t="n">
        <v>2296.39586344028</v>
      </c>
      <c r="AB32" s="3" t="n">
        <v>3223.40498887549</v>
      </c>
      <c r="AC32" s="3" t="n">
        <v>2560.26224903616</v>
      </c>
      <c r="AJ32" s="7" t="n">
        <v>2022</v>
      </c>
      <c r="AK32" s="6" t="n">
        <v>6841.72557359654</v>
      </c>
      <c r="AL32" s="7" t="n">
        <v>571.271613468732</v>
      </c>
      <c r="AM32" s="7" t="n">
        <v>559.23715087251</v>
      </c>
      <c r="AN32" s="7" t="n">
        <v>498.710854362737</v>
      </c>
      <c r="AO32" s="7" t="n">
        <v>708.723702575088</v>
      </c>
      <c r="AP32" s="7" t="n">
        <v>2022</v>
      </c>
      <c r="AQ32" s="2" t="n">
        <v>31019.3438984281</v>
      </c>
      <c r="AR32" s="2" t="n">
        <v>2590.05866969921</v>
      </c>
      <c r="AS32" s="2" t="n">
        <v>2261.0792161932</v>
      </c>
      <c r="AT32" s="2" t="n">
        <v>3213.24555079858</v>
      </c>
      <c r="AU32" s="2" t="n">
        <v>2535.49624536789</v>
      </c>
    </row>
    <row r="33" customFormat="false" ht="15" hidden="false" customHeight="false" outlineLevel="0" collapsed="false">
      <c r="A33" s="6" t="n">
        <v>6073.74117425524</v>
      </c>
      <c r="B33" s="7" t="n">
        <v>452.252588868743</v>
      </c>
      <c r="C33" s="7" t="n">
        <v>460.41727421351</v>
      </c>
      <c r="D33" s="7" t="n">
        <v>402.182102112897</v>
      </c>
      <c r="E33" s="7" t="n">
        <v>632.311704057591</v>
      </c>
      <c r="F33" s="7" t="n">
        <v>2022</v>
      </c>
      <c r="G33" s="4" t="n">
        <v>27537.4193553377</v>
      </c>
      <c r="H33" s="7" t="n">
        <v>2050.44450148845</v>
      </c>
      <c r="I33" s="7" t="n">
        <v>1823.43252459257</v>
      </c>
      <c r="J33" s="2" t="n">
        <v>2866.80516313854</v>
      </c>
      <c r="K33" s="7" t="n">
        <v>2087.46194391689</v>
      </c>
      <c r="R33" s="8" t="n">
        <v>2022</v>
      </c>
      <c r="S33" s="9" t="n">
        <v>6315.17308235466</v>
      </c>
      <c r="T33" s="8" t="n">
        <v>454.668166443216</v>
      </c>
      <c r="U33" s="8" t="n">
        <v>460.285732483397</v>
      </c>
      <c r="V33" s="8" t="n">
        <v>407.107646067137</v>
      </c>
      <c r="W33" s="8" t="n">
        <v>607.5834484205</v>
      </c>
      <c r="X33" s="8" t="n">
        <v>2022</v>
      </c>
      <c r="Y33" s="3" t="n">
        <v>28632.0349321873</v>
      </c>
      <c r="Z33" s="3" t="n">
        <v>2061.39636307511</v>
      </c>
      <c r="AA33" s="3" t="n">
        <v>1845.76419226323</v>
      </c>
      <c r="AB33" s="3" t="n">
        <v>2754.69101044943</v>
      </c>
      <c r="AC33" s="3" t="n">
        <v>2086.86555370517</v>
      </c>
      <c r="AJ33" s="7" t="n">
        <v>2022</v>
      </c>
      <c r="AK33" s="6" t="n">
        <v>6896.59599889326</v>
      </c>
      <c r="AL33" s="7" t="n">
        <v>456.867516000953</v>
      </c>
      <c r="AM33" s="7" t="n">
        <v>459.636047816128</v>
      </c>
      <c r="AN33" s="7" t="n">
        <v>405.750309472239</v>
      </c>
      <c r="AO33" s="7" t="n">
        <v>620.224946915265</v>
      </c>
      <c r="AP33" s="7" t="n">
        <v>2022</v>
      </c>
      <c r="AQ33" s="2" t="n">
        <v>31268.1180671408</v>
      </c>
      <c r="AR33" s="2" t="n">
        <v>2071.3678796977</v>
      </c>
      <c r="AS33" s="2" t="n">
        <v>1839.61023443926</v>
      </c>
      <c r="AT33" s="2" t="n">
        <v>2812.00564328327</v>
      </c>
      <c r="AU33" s="2" t="n">
        <v>2083.9199821673</v>
      </c>
    </row>
    <row r="34" customFormat="false" ht="15" hidden="false" customHeight="false" outlineLevel="0" collapsed="false">
      <c r="A34" s="6" t="n">
        <v>6118.29291676596</v>
      </c>
      <c r="B34" s="7" t="n">
        <v>452.364263725599</v>
      </c>
      <c r="C34" s="7" t="n">
        <v>457.327491361658</v>
      </c>
      <c r="D34" s="7" t="n">
        <v>399.58828003451</v>
      </c>
      <c r="E34" s="7" t="n">
        <v>618.417258851784</v>
      </c>
      <c r="F34" s="7" t="n">
        <v>2022</v>
      </c>
      <c r="G34" s="4" t="n">
        <v>27739.4101846026</v>
      </c>
      <c r="H34" s="7" t="n">
        <v>2050.95081831633</v>
      </c>
      <c r="I34" s="7" t="n">
        <v>1811.67252951599</v>
      </c>
      <c r="J34" s="2" t="n">
        <v>2803.80986034825</v>
      </c>
      <c r="K34" s="7" t="n">
        <v>2073.45333807293</v>
      </c>
      <c r="R34" s="8" t="n">
        <v>2022</v>
      </c>
      <c r="S34" s="9" t="n">
        <v>6362.66303993771</v>
      </c>
      <c r="T34" s="8" t="n">
        <v>457.277087888549</v>
      </c>
      <c r="U34" s="8" t="n">
        <v>464.917875577178</v>
      </c>
      <c r="V34" s="8" t="n">
        <v>407.850160292608</v>
      </c>
      <c r="W34" s="8" t="n">
        <v>631.815010163648</v>
      </c>
      <c r="X34" s="8" t="n">
        <v>2022</v>
      </c>
      <c r="Y34" s="3" t="n">
        <v>28847.3471820202</v>
      </c>
      <c r="Z34" s="3" t="n">
        <v>2073.22481638652</v>
      </c>
      <c r="AA34" s="3" t="n">
        <v>1849.13063890912</v>
      </c>
      <c r="AB34" s="3" t="n">
        <v>2864.55322851434</v>
      </c>
      <c r="AC34" s="3" t="n">
        <v>2107.86698646758</v>
      </c>
      <c r="AJ34" s="7" t="n">
        <v>2022</v>
      </c>
      <c r="AK34" s="6" t="n">
        <v>6959.48693089973</v>
      </c>
      <c r="AL34" s="7" t="n">
        <v>457.325313678127</v>
      </c>
      <c r="AM34" s="7" t="n">
        <v>457.239888449141</v>
      </c>
      <c r="AN34" s="7" t="n">
        <v>400.053705050283</v>
      </c>
      <c r="AO34" s="7" t="n">
        <v>622.817043265328</v>
      </c>
      <c r="AP34" s="7" t="n">
        <v>2022</v>
      </c>
      <c r="AQ34" s="2" t="n">
        <v>31553.2559942641</v>
      </c>
      <c r="AR34" s="2" t="n">
        <v>2073.44346478678</v>
      </c>
      <c r="AS34" s="2" t="n">
        <v>1813.78269579903</v>
      </c>
      <c r="AT34" s="2" t="n">
        <v>2823.75781416992</v>
      </c>
      <c r="AU34" s="2" t="n">
        <v>2073.05615978207</v>
      </c>
    </row>
    <row r="35" customFormat="false" ht="15" hidden="false" customHeight="false" outlineLevel="0" collapsed="false">
      <c r="A35" s="6" t="n">
        <v>6149.98338694798</v>
      </c>
      <c r="B35" s="7" t="n">
        <v>457.580113873861</v>
      </c>
      <c r="C35" s="7" t="n">
        <v>462.932709646551</v>
      </c>
      <c r="D35" s="7" t="n">
        <v>408.834755380278</v>
      </c>
      <c r="E35" s="7" t="n">
        <v>606.99391251808</v>
      </c>
      <c r="F35" s="7" t="n">
        <v>2022</v>
      </c>
      <c r="G35" s="4" t="n">
        <v>27883.0899598735</v>
      </c>
      <c r="H35" s="7" t="n">
        <v>2074.59869014796</v>
      </c>
      <c r="I35" s="7" t="n">
        <v>1853.59464339112</v>
      </c>
      <c r="J35" s="2" t="n">
        <v>2752.01814426956</v>
      </c>
      <c r="K35" s="7" t="n">
        <v>2098.86654585722</v>
      </c>
      <c r="R35" s="8" t="n">
        <v>2022</v>
      </c>
      <c r="S35" s="9" t="n">
        <v>6390.51194391805</v>
      </c>
      <c r="T35" s="8" t="n">
        <v>459.242504844675</v>
      </c>
      <c r="U35" s="8" t="n">
        <v>465.165350276115</v>
      </c>
      <c r="V35" s="8" t="n">
        <v>415.337398209908</v>
      </c>
      <c r="W35" s="8" t="n">
        <v>607.345345637046</v>
      </c>
      <c r="X35" s="8" t="n">
        <v>2022</v>
      </c>
      <c r="Y35" s="3" t="n">
        <v>28973.6098800002</v>
      </c>
      <c r="Z35" s="3" t="n">
        <v>2082.13571814808</v>
      </c>
      <c r="AA35" s="3" t="n">
        <v>1883.07663766452</v>
      </c>
      <c r="AB35" s="3" t="n">
        <v>2753.61148861774</v>
      </c>
      <c r="AC35" s="3" t="n">
        <v>2108.98899913966</v>
      </c>
      <c r="AJ35" s="7" t="n">
        <v>2022</v>
      </c>
      <c r="AK35" s="6" t="n">
        <v>7024.51838965457</v>
      </c>
      <c r="AL35" s="7" t="n">
        <v>463.95063649452</v>
      </c>
      <c r="AM35" s="7" t="n">
        <v>464.612736739415</v>
      </c>
      <c r="AN35" s="7" t="n">
        <v>406.354663570876</v>
      </c>
      <c r="AO35" s="7" t="n">
        <v>626.733667847649</v>
      </c>
      <c r="AP35" s="7" t="n">
        <v>2022</v>
      </c>
      <c r="AQ35" s="2" t="n">
        <v>31848.0987443325</v>
      </c>
      <c r="AR35" s="2" t="n">
        <v>2103.48167147442</v>
      </c>
      <c r="AS35" s="2" t="n">
        <v>1842.35028406861</v>
      </c>
      <c r="AT35" s="2" t="n">
        <v>2841.51519475076</v>
      </c>
      <c r="AU35" s="2" t="n">
        <v>2106.48353335425</v>
      </c>
    </row>
    <row r="36" customFormat="false" ht="15" hidden="false" customHeight="false" outlineLevel="0" collapsed="false">
      <c r="A36" s="6" t="n">
        <v>6179.90284998184</v>
      </c>
      <c r="B36" s="7" t="n">
        <v>593.808024263935</v>
      </c>
      <c r="C36" s="7" t="n">
        <v>583.462000681553</v>
      </c>
      <c r="D36" s="7" t="n">
        <v>528.735951188943</v>
      </c>
      <c r="E36" s="7" t="n">
        <v>730.47079087771</v>
      </c>
      <c r="F36" s="7" t="n">
        <v>2023</v>
      </c>
      <c r="G36" s="4" t="n">
        <v>28018.7402579043</v>
      </c>
      <c r="H36" s="7" t="n">
        <v>2692.23533100677</v>
      </c>
      <c r="I36" s="7" t="n">
        <v>2397.2084417836</v>
      </c>
      <c r="J36" s="2" t="n">
        <v>3311.84354389141</v>
      </c>
      <c r="K36" s="7" t="n">
        <v>2645.32803254369</v>
      </c>
      <c r="R36" s="8" t="n">
        <v>2023</v>
      </c>
      <c r="S36" s="9" t="n">
        <v>6444.4238261981</v>
      </c>
      <c r="T36" s="8" t="n">
        <v>587.803040866627</v>
      </c>
      <c r="U36" s="8" t="n">
        <v>576.668168178919</v>
      </c>
      <c r="V36" s="8" t="n">
        <v>521.204621378321</v>
      </c>
      <c r="W36" s="8" t="n">
        <v>724.571032722941</v>
      </c>
      <c r="X36" s="8" t="n">
        <v>2023</v>
      </c>
      <c r="Y36" s="3" t="n">
        <v>29218.0381603612</v>
      </c>
      <c r="Z36" s="3" t="n">
        <v>2665.00964896183</v>
      </c>
      <c r="AA36" s="3" t="n">
        <v>2363.06253708526</v>
      </c>
      <c r="AB36" s="3" t="n">
        <v>3285.0949371033</v>
      </c>
      <c r="AC36" s="3" t="n">
        <v>2614.52582854989</v>
      </c>
      <c r="AJ36" s="7" t="n">
        <v>2023</v>
      </c>
      <c r="AK36" s="6" t="n">
        <v>7061.62898723288</v>
      </c>
      <c r="AL36" s="7" t="n">
        <v>597.481735080666</v>
      </c>
      <c r="AM36" s="7" t="n">
        <v>585.335033345746</v>
      </c>
      <c r="AN36" s="7" t="n">
        <v>527.435023913154</v>
      </c>
      <c r="AO36" s="7" t="n">
        <v>753.40582657028</v>
      </c>
      <c r="AP36" s="7" t="n">
        <v>2023</v>
      </c>
      <c r="AQ36" s="2" t="n">
        <v>32016.3525534301</v>
      </c>
      <c r="AR36" s="2" t="n">
        <v>2708.89137749413</v>
      </c>
      <c r="AS36" s="2" t="n">
        <v>2391.310235239</v>
      </c>
      <c r="AT36" s="2" t="n">
        <v>3415.8275098979</v>
      </c>
      <c r="AU36" s="2" t="n">
        <v>2653.82007796683</v>
      </c>
    </row>
    <row r="37" customFormat="false" ht="15" hidden="false" customHeight="false" outlineLevel="0" collapsed="false">
      <c r="A37" s="6" t="n">
        <v>6175.62884717432</v>
      </c>
      <c r="B37" s="7" t="n">
        <v>474.081617640071</v>
      </c>
      <c r="C37" s="7" t="n">
        <v>475.022430546364</v>
      </c>
      <c r="D37" s="7" t="n">
        <v>419.218009904858</v>
      </c>
      <c r="E37" s="7" t="n">
        <v>647.265234000876</v>
      </c>
      <c r="F37" s="7" t="n">
        <v>2023</v>
      </c>
      <c r="G37" s="4" t="n">
        <v>27999.3625787672</v>
      </c>
      <c r="H37" s="7" t="n">
        <v>2149.41400021253</v>
      </c>
      <c r="I37" s="7" t="n">
        <v>1900.67074128751</v>
      </c>
      <c r="J37" s="2" t="n">
        <v>2934.60219516161</v>
      </c>
      <c r="K37" s="7" t="n">
        <v>2153.67950293848</v>
      </c>
      <c r="R37" s="8" t="n">
        <v>2023</v>
      </c>
      <c r="S37" s="9" t="n">
        <v>6516.54564380056</v>
      </c>
      <c r="T37" s="8" t="n">
        <v>464.737560490078</v>
      </c>
      <c r="U37" s="8" t="n">
        <v>462.689386184477</v>
      </c>
      <c r="V37" s="8" t="n">
        <v>408.661012768018</v>
      </c>
      <c r="W37" s="8" t="n">
        <v>612.427864684654</v>
      </c>
      <c r="X37" s="8" t="n">
        <v>2023</v>
      </c>
      <c r="Y37" s="3" t="n">
        <v>29545.0275198035</v>
      </c>
      <c r="Z37" s="3" t="n">
        <v>2107.04946526819</v>
      </c>
      <c r="AA37" s="3" t="n">
        <v>1852.80692079372</v>
      </c>
      <c r="AB37" s="3" t="n">
        <v>2776.65485750358</v>
      </c>
      <c r="AC37" s="3" t="n">
        <v>2097.76335426214</v>
      </c>
      <c r="AJ37" s="7" t="n">
        <v>2023</v>
      </c>
      <c r="AK37" s="6" t="n">
        <v>7107.91089995439</v>
      </c>
      <c r="AL37" s="7" t="n">
        <v>474.773225456592</v>
      </c>
      <c r="AM37" s="7" t="n">
        <v>471.471587400971</v>
      </c>
      <c r="AN37" s="7" t="n">
        <v>417.118073016662</v>
      </c>
      <c r="AO37" s="7" t="n">
        <v>637.538413433738</v>
      </c>
      <c r="AP37" s="7" t="n">
        <v>2023</v>
      </c>
      <c r="AQ37" s="2" t="n">
        <v>32226.1877114677</v>
      </c>
      <c r="AR37" s="2" t="n">
        <v>2152.54964493734</v>
      </c>
      <c r="AS37" s="2" t="n">
        <v>1891.1499465992</v>
      </c>
      <c r="AT37" s="2" t="n">
        <v>2890.50226905894</v>
      </c>
      <c r="AU37" s="2" t="n">
        <v>2137.5805197987</v>
      </c>
    </row>
    <row r="38" customFormat="false" ht="15" hidden="false" customHeight="false" outlineLevel="0" collapsed="false">
      <c r="A38" s="6" t="n">
        <v>6237.43675187587</v>
      </c>
      <c r="B38" s="7" t="n">
        <v>471.150332842648</v>
      </c>
      <c r="C38" s="7" t="n">
        <v>474.257764979491</v>
      </c>
      <c r="D38" s="7" t="n">
        <v>421.612457549978</v>
      </c>
      <c r="E38" s="7" t="n">
        <v>633.333963980083</v>
      </c>
      <c r="F38" s="7" t="n">
        <v>2023</v>
      </c>
      <c r="G38" s="4" t="n">
        <v>28279.5902246958</v>
      </c>
      <c r="H38" s="7" t="n">
        <v>2136.12400045773</v>
      </c>
      <c r="I38" s="7" t="n">
        <v>1911.52680298595</v>
      </c>
      <c r="J38" s="2" t="n">
        <v>2871.43993425706</v>
      </c>
      <c r="K38" s="7" t="n">
        <v>2150.21262547738</v>
      </c>
      <c r="R38" s="8" t="n">
        <v>2023</v>
      </c>
      <c r="S38" s="9" t="n">
        <v>6601.5674048453</v>
      </c>
      <c r="T38" s="8" t="n">
        <v>470.088979715569</v>
      </c>
      <c r="U38" s="8" t="n">
        <v>471.645007846958</v>
      </c>
      <c r="V38" s="8" t="n">
        <v>413.300201610391</v>
      </c>
      <c r="W38" s="8" t="n">
        <v>637.568293400132</v>
      </c>
      <c r="X38" s="8" t="n">
        <v>2023</v>
      </c>
      <c r="Y38" s="3" t="n">
        <v>29930.5032621915</v>
      </c>
      <c r="Z38" s="3" t="n">
        <v>2131.31198669126</v>
      </c>
      <c r="AA38" s="3" t="n">
        <v>1873.84029790939</v>
      </c>
      <c r="AB38" s="3" t="n">
        <v>2890.63774028521</v>
      </c>
      <c r="AC38" s="3" t="n">
        <v>2138.36678174318</v>
      </c>
      <c r="AJ38" s="7" t="n">
        <v>2023</v>
      </c>
      <c r="AK38" s="6" t="n">
        <v>7175.77376185124</v>
      </c>
      <c r="AL38" s="7" t="n">
        <v>472.564116242698</v>
      </c>
      <c r="AM38" s="7" t="n">
        <v>471.914046375516</v>
      </c>
      <c r="AN38" s="7" t="n">
        <v>413.61439844282</v>
      </c>
      <c r="AO38" s="7" t="n">
        <v>656.803487251994</v>
      </c>
      <c r="AP38" s="7" t="n">
        <v>2023</v>
      </c>
      <c r="AQ38" s="2" t="n">
        <v>32533.867613046</v>
      </c>
      <c r="AR38" s="2" t="n">
        <v>2142.53387951708</v>
      </c>
      <c r="AS38" s="2" t="n">
        <v>1875.26481859383</v>
      </c>
      <c r="AT38" s="2" t="n">
        <v>2977.8471857132</v>
      </c>
      <c r="AU38" s="2" t="n">
        <v>2139.58656154134</v>
      </c>
    </row>
    <row r="39" customFormat="false" ht="15" hidden="false" customHeight="false" outlineLevel="0" collapsed="false">
      <c r="A39" s="6" t="n">
        <v>6277.0592799012</v>
      </c>
      <c r="B39" s="7" t="n">
        <v>484.455914071479</v>
      </c>
      <c r="C39" s="7" t="n">
        <v>483.919589194312</v>
      </c>
      <c r="D39" s="7" t="n">
        <v>433.016080627303</v>
      </c>
      <c r="E39" s="7" t="n">
        <v>651.682147650992</v>
      </c>
      <c r="F39" s="7" t="n">
        <v>2023</v>
      </c>
      <c r="G39" s="4" t="n">
        <v>28459.2327446598</v>
      </c>
      <c r="H39" s="7" t="n">
        <v>2196.44948347599</v>
      </c>
      <c r="I39" s="7" t="n">
        <v>1963.22909681789</v>
      </c>
      <c r="J39" s="2" t="n">
        <v>2954.62781033848</v>
      </c>
      <c r="K39" s="7" t="n">
        <v>2194.01786799723</v>
      </c>
      <c r="R39" s="8" t="n">
        <v>2023</v>
      </c>
      <c r="S39" s="9" t="n">
        <v>6684.93529939961</v>
      </c>
      <c r="T39" s="8" t="n">
        <v>470.060436837912</v>
      </c>
      <c r="U39" s="8" t="n">
        <v>475.209319960371</v>
      </c>
      <c r="V39" s="8" t="n">
        <v>419.946558315516</v>
      </c>
      <c r="W39" s="8" t="n">
        <v>651.564334135636</v>
      </c>
      <c r="X39" s="8" t="n">
        <v>2023</v>
      </c>
      <c r="Y39" s="3" t="n">
        <v>30308.4806252778</v>
      </c>
      <c r="Z39" s="3" t="n">
        <v>2131.1825776221</v>
      </c>
      <c r="AA39" s="3" t="n">
        <v>1903.97386905166</v>
      </c>
      <c r="AB39" s="3" t="n">
        <v>2954.09366176596</v>
      </c>
      <c r="AC39" s="3" t="n">
        <v>2154.52683113685</v>
      </c>
      <c r="AJ39" s="7" t="n">
        <v>2023</v>
      </c>
      <c r="AK39" s="6" t="n">
        <v>7243.74359730024</v>
      </c>
      <c r="AL39" s="7" t="n">
        <v>476.446647321026</v>
      </c>
      <c r="AM39" s="7" t="n">
        <v>481.165630361525</v>
      </c>
      <c r="AN39" s="7" t="n">
        <v>423.914176940433</v>
      </c>
      <c r="AO39" s="7" t="n">
        <v>661.719635759093</v>
      </c>
      <c r="AP39" s="7" t="n">
        <v>2023</v>
      </c>
      <c r="AQ39" s="2" t="n">
        <v>32842.0325164512</v>
      </c>
      <c r="AR39" s="2" t="n">
        <v>2160.13668533259</v>
      </c>
      <c r="AS39" s="2" t="n">
        <v>1921.96244887121</v>
      </c>
      <c r="AT39" s="2" t="n">
        <v>3000.1362558545</v>
      </c>
      <c r="AU39" s="2" t="n">
        <v>2181.53183721488</v>
      </c>
    </row>
    <row r="40" customFormat="false" ht="15" hidden="false" customHeight="false" outlineLevel="0" collapsed="false">
      <c r="A40" s="6" t="n">
        <v>6307.00548481423</v>
      </c>
      <c r="B40" s="7" t="n">
        <v>601.997377570448</v>
      </c>
      <c r="C40" s="7" t="n">
        <v>591.375455772186</v>
      </c>
      <c r="D40" s="7" t="n">
        <v>540.988193705972</v>
      </c>
      <c r="E40" s="7" t="n">
        <v>743.191425606373</v>
      </c>
      <c r="F40" s="7" t="n">
        <v>2024</v>
      </c>
      <c r="G40" s="4" t="n">
        <v>28595.0042863064</v>
      </c>
      <c r="H40" s="7" t="n">
        <v>2729.36461422456</v>
      </c>
      <c r="I40" s="7" t="n">
        <v>2452.75824717617</v>
      </c>
      <c r="J40" s="2" t="n">
        <v>3369.51696838208</v>
      </c>
      <c r="K40" s="7" t="n">
        <v>2681.20643518358</v>
      </c>
      <c r="R40" s="8" t="n">
        <v>2024</v>
      </c>
      <c r="S40" s="9" t="n">
        <v>6745.39395309757</v>
      </c>
      <c r="T40" s="8" t="n">
        <v>602.684179483979</v>
      </c>
      <c r="U40" s="8" t="n">
        <v>590.394480433667</v>
      </c>
      <c r="V40" s="8" t="n">
        <v>537.816489444969</v>
      </c>
      <c r="W40" s="8" t="n">
        <v>746.711984387919</v>
      </c>
      <c r="X40" s="8" t="n">
        <v>2024</v>
      </c>
      <c r="Y40" s="3" t="n">
        <v>30582.5909722245</v>
      </c>
      <c r="Z40" s="3" t="n">
        <v>2732.47846971565</v>
      </c>
      <c r="AA40" s="3" t="n">
        <v>2438.37822211409</v>
      </c>
      <c r="AB40" s="3" t="n">
        <v>3385.478646819</v>
      </c>
      <c r="AC40" s="3" t="n">
        <v>2676.75884209408</v>
      </c>
      <c r="AJ40" s="7" t="n">
        <v>2024</v>
      </c>
      <c r="AK40" s="6" t="n">
        <v>7325.72738734605</v>
      </c>
      <c r="AL40" s="7" t="n">
        <v>608.965067131124</v>
      </c>
      <c r="AM40" s="7" t="n">
        <v>600.738355823901</v>
      </c>
      <c r="AN40" s="7" t="n">
        <v>545.566510131889</v>
      </c>
      <c r="AO40" s="7" t="n">
        <v>759.150953052107</v>
      </c>
      <c r="AP40" s="7" t="n">
        <v>2024</v>
      </c>
      <c r="AQ40" s="2" t="n">
        <v>33213.7345600616</v>
      </c>
      <c r="AR40" s="2" t="n">
        <v>2760.95505969554</v>
      </c>
      <c r="AS40" s="2" t="n">
        <v>2473.51563800742</v>
      </c>
      <c r="AT40" s="2" t="n">
        <v>3441.87504018287</v>
      </c>
      <c r="AU40" s="2" t="n">
        <v>2723.65640098045</v>
      </c>
    </row>
    <row r="41" customFormat="false" ht="15" hidden="false" customHeight="false" outlineLevel="0" collapsed="false">
      <c r="A41" s="6" t="n">
        <v>6303.1921203153</v>
      </c>
      <c r="B41" s="7" t="n">
        <v>481.344801270464</v>
      </c>
      <c r="C41" s="7" t="n">
        <v>484.147039367779</v>
      </c>
      <c r="D41" s="7" t="n">
        <v>425.843982898588</v>
      </c>
      <c r="E41" s="7" t="n">
        <v>669.34378350665</v>
      </c>
      <c r="F41" s="7" t="n">
        <v>2024</v>
      </c>
      <c r="G41" s="4" t="n">
        <v>28577.7150712495</v>
      </c>
      <c r="H41" s="7" t="n">
        <v>2182.34417088439</v>
      </c>
      <c r="I41" s="7" t="n">
        <v>1930.71189578038</v>
      </c>
      <c r="J41" s="2" t="n">
        <v>3034.70298297179</v>
      </c>
      <c r="K41" s="7" t="n">
        <v>2195.0490925143</v>
      </c>
      <c r="R41" s="8" t="n">
        <v>2024</v>
      </c>
      <c r="S41" s="9" t="n">
        <v>6747.22284328682</v>
      </c>
      <c r="T41" s="8" t="n">
        <v>478.564530898753</v>
      </c>
      <c r="U41" s="8" t="n">
        <v>478.027439981941</v>
      </c>
      <c r="V41" s="8" t="n">
        <v>421.299280683092</v>
      </c>
      <c r="W41" s="8" t="n">
        <v>640.53345769026</v>
      </c>
      <c r="X41" s="8" t="n">
        <v>2024</v>
      </c>
      <c r="Y41" s="3" t="n">
        <v>30590.8828823753</v>
      </c>
      <c r="Z41" s="3" t="n">
        <v>2169.73884758356</v>
      </c>
      <c r="AA41" s="3" t="n">
        <v>1910.10690667025</v>
      </c>
      <c r="AB41" s="3" t="n">
        <v>2904.08134451069</v>
      </c>
      <c r="AC41" s="3" t="n">
        <v>2167.30375899749</v>
      </c>
      <c r="AJ41" s="7" t="n">
        <v>2024</v>
      </c>
      <c r="AK41" s="6" t="n">
        <v>7363.4327521854</v>
      </c>
      <c r="AL41" s="7" t="n">
        <v>479.916576591773</v>
      </c>
      <c r="AM41" s="7" t="n">
        <v>480.518009880041</v>
      </c>
      <c r="AN41" s="7" t="n">
        <v>420.345730895995</v>
      </c>
      <c r="AO41" s="7" t="n">
        <v>680.051870673735</v>
      </c>
      <c r="AP41" s="7" t="n">
        <v>2024</v>
      </c>
      <c r="AQ41" s="2" t="n">
        <v>33384.6849535239</v>
      </c>
      <c r="AR41" s="2" t="n">
        <v>2175.86881726256</v>
      </c>
      <c r="AS41" s="2" t="n">
        <v>1905.78365686257</v>
      </c>
      <c r="AT41" s="2" t="n">
        <v>3083.25182269901</v>
      </c>
      <c r="AU41" s="2" t="n">
        <v>2178.59562438162</v>
      </c>
    </row>
    <row r="42" customFormat="false" ht="15" hidden="false" customHeight="false" outlineLevel="0" collapsed="false">
      <c r="A42" s="6" t="n">
        <v>6343.28252201252</v>
      </c>
      <c r="B42" s="7" t="n">
        <v>480.081354945854</v>
      </c>
      <c r="C42" s="7" t="n">
        <v>482.974741340662</v>
      </c>
      <c r="D42" s="7" t="n">
        <v>433.724687790875</v>
      </c>
      <c r="E42" s="7" t="n">
        <v>648.486137379846</v>
      </c>
      <c r="F42" s="7" t="n">
        <v>2024</v>
      </c>
      <c r="G42" s="4" t="n">
        <v>28759.4788593311</v>
      </c>
      <c r="H42" s="7" t="n">
        <v>2176.61589727582</v>
      </c>
      <c r="I42" s="7" t="n">
        <v>1966.44181399856</v>
      </c>
      <c r="J42" s="2" t="n">
        <v>2940.13758552061</v>
      </c>
      <c r="K42" s="7" t="n">
        <v>2189.73407143323</v>
      </c>
      <c r="R42" s="8" t="n">
        <v>2024</v>
      </c>
      <c r="S42" s="9" t="n">
        <v>6766.160140659</v>
      </c>
      <c r="T42" s="8" t="n">
        <v>480.390016522357</v>
      </c>
      <c r="U42" s="8" t="n">
        <v>480.526415281889</v>
      </c>
      <c r="V42" s="8" t="n">
        <v>425.188158133746</v>
      </c>
      <c r="W42" s="8" t="n">
        <v>652.770823532856</v>
      </c>
      <c r="X42" s="8" t="n">
        <v>2024</v>
      </c>
      <c r="Y42" s="3" t="n">
        <v>30676.7417104408</v>
      </c>
      <c r="Z42" s="3" t="n">
        <v>2178.01532195119</v>
      </c>
      <c r="AA42" s="3" t="n">
        <v>1927.73848597332</v>
      </c>
      <c r="AB42" s="3" t="n">
        <v>2959.56370132245</v>
      </c>
      <c r="AC42" s="3" t="n">
        <v>2178.63373319609</v>
      </c>
      <c r="AJ42" s="7" t="n">
        <v>2024</v>
      </c>
      <c r="AK42" s="6" t="n">
        <v>7392.4212470608</v>
      </c>
      <c r="AL42" s="7" t="n">
        <v>478.896587779022</v>
      </c>
      <c r="AM42" s="7" t="n">
        <v>479.726497571224</v>
      </c>
      <c r="AN42" s="7" t="n">
        <v>426.678291862284</v>
      </c>
      <c r="AO42" s="7" t="n">
        <v>657.931133991328</v>
      </c>
      <c r="AP42" s="7" t="n">
        <v>2024</v>
      </c>
      <c r="AQ42" s="2" t="n">
        <v>33516.1143834192</v>
      </c>
      <c r="AR42" s="2" t="n">
        <v>2171.24434301043</v>
      </c>
      <c r="AS42" s="2" t="n">
        <v>1934.49452581779</v>
      </c>
      <c r="AT42" s="2" t="n">
        <v>2982.95976464187</v>
      </c>
      <c r="AU42" s="2" t="n">
        <v>2175.0070278729</v>
      </c>
    </row>
    <row r="43" customFormat="false" ht="15" hidden="false" customHeight="false" outlineLevel="0" collapsed="false">
      <c r="A43" s="6" t="n">
        <v>6375.55978964205</v>
      </c>
      <c r="B43" s="7" t="n">
        <v>483.445887577671</v>
      </c>
      <c r="C43" s="7" t="n">
        <v>485.111688003193</v>
      </c>
      <c r="D43" s="7" t="n">
        <v>437.186087106049</v>
      </c>
      <c r="E43" s="7" t="n">
        <v>631.930188634091</v>
      </c>
      <c r="F43" s="7" t="n">
        <v>2024</v>
      </c>
      <c r="G43" s="4" t="n">
        <v>28905.8190850435</v>
      </c>
      <c r="H43" s="7" t="n">
        <v>2191.8701768638</v>
      </c>
      <c r="I43" s="7" t="n">
        <v>1982.13527240641</v>
      </c>
      <c r="J43" s="2" t="n">
        <v>2865.07543019371</v>
      </c>
      <c r="K43" s="7" t="n">
        <v>2199.42266281337</v>
      </c>
      <c r="R43" s="8" t="n">
        <v>2024</v>
      </c>
      <c r="S43" s="9" t="n">
        <v>6809.47098866169</v>
      </c>
      <c r="T43" s="8" t="n">
        <v>484.584239294894</v>
      </c>
      <c r="U43" s="8" t="n">
        <v>488.177060584236</v>
      </c>
      <c r="V43" s="8" t="n">
        <v>436.410685226252</v>
      </c>
      <c r="W43" s="8" t="n">
        <v>649.024357837743</v>
      </c>
      <c r="X43" s="8" t="n">
        <v>2024</v>
      </c>
      <c r="Y43" s="3" t="n">
        <v>30873.106512606</v>
      </c>
      <c r="Z43" s="3" t="n">
        <v>2197.0312905352</v>
      </c>
      <c r="AA43" s="3" t="n">
        <v>1978.61971813429</v>
      </c>
      <c r="AB43" s="3" t="n">
        <v>2942.57779527429</v>
      </c>
      <c r="AC43" s="3" t="n">
        <v>2213.32059619952</v>
      </c>
      <c r="AJ43" s="7" t="n">
        <v>2024</v>
      </c>
      <c r="AK43" s="6" t="n">
        <v>7458.4209885604</v>
      </c>
      <c r="AL43" s="7" t="n">
        <v>489.115338062689</v>
      </c>
      <c r="AM43" s="7" t="n">
        <v>487.621236150114</v>
      </c>
      <c r="AN43" s="7" t="n">
        <v>438.942478072832</v>
      </c>
      <c r="AO43" s="7" t="n">
        <v>640.766012588556</v>
      </c>
      <c r="AP43" s="7" t="n">
        <v>2024</v>
      </c>
      <c r="AQ43" s="2" t="n">
        <v>33815.3471802861</v>
      </c>
      <c r="AR43" s="2" t="n">
        <v>2217.574603681</v>
      </c>
      <c r="AS43" s="2" t="n">
        <v>1990.09848210149</v>
      </c>
      <c r="AT43" s="2" t="n">
        <v>2905.13571307428</v>
      </c>
      <c r="AU43" s="2" t="n">
        <v>2210.80057269321</v>
      </c>
    </row>
    <row r="44" customFormat="false" ht="15" hidden="false" customHeight="false" outlineLevel="0" collapsed="false">
      <c r="A44" s="6" t="n">
        <v>6407.26003588706</v>
      </c>
      <c r="B44" s="7" t="n">
        <v>611.753952245709</v>
      </c>
      <c r="C44" s="7" t="n">
        <v>601.136890957678</v>
      </c>
      <c r="D44" s="7" t="n">
        <v>547.731025320972</v>
      </c>
      <c r="E44" s="7" t="n">
        <v>770.055080365389</v>
      </c>
      <c r="F44" s="7" t="n">
        <v>2025</v>
      </c>
      <c r="G44" s="4" t="n">
        <v>29049.5431834981</v>
      </c>
      <c r="H44" s="7" t="n">
        <v>2773.59944093123</v>
      </c>
      <c r="I44" s="7" t="n">
        <v>2483.3292208969</v>
      </c>
      <c r="J44" s="2" t="n">
        <v>3491.31269613743</v>
      </c>
      <c r="K44" s="7" t="n">
        <v>2725.4632987049</v>
      </c>
      <c r="R44" s="8" t="n">
        <v>2025</v>
      </c>
      <c r="S44" s="9" t="n">
        <v>6840.08052590487</v>
      </c>
      <c r="T44" s="8" t="n">
        <v>612.160466480667</v>
      </c>
      <c r="U44" s="8" t="n">
        <v>599.630173966995</v>
      </c>
      <c r="V44" s="8" t="n">
        <v>543.096381374336</v>
      </c>
      <c r="W44" s="8" t="n">
        <v>756.81899942378</v>
      </c>
      <c r="X44" s="8" t="n">
        <v>2025</v>
      </c>
      <c r="Y44" s="3" t="n">
        <v>31011.8855022197</v>
      </c>
      <c r="Z44" s="3" t="n">
        <v>2775.44251468771</v>
      </c>
      <c r="AA44" s="3" t="n">
        <v>2462.31644964774</v>
      </c>
      <c r="AB44" s="3" t="n">
        <v>3431.3023168583</v>
      </c>
      <c r="AC44" s="3" t="n">
        <v>2718.6320728703</v>
      </c>
      <c r="AJ44" s="7" t="n">
        <v>2025</v>
      </c>
      <c r="AK44" s="6" t="n">
        <v>7504.96739609413</v>
      </c>
      <c r="AL44" s="7" t="n">
        <v>622.357277162586</v>
      </c>
      <c r="AM44" s="7" t="n">
        <v>606.559435127392</v>
      </c>
      <c r="AN44" s="7" t="n">
        <v>554.004969990379</v>
      </c>
      <c r="AO44" s="7" t="n">
        <v>795.307603007684</v>
      </c>
      <c r="AP44" s="7" t="n">
        <v>2025</v>
      </c>
      <c r="AQ44" s="2" t="n">
        <v>34026.3815176026</v>
      </c>
      <c r="AR44" s="2" t="n">
        <v>2821.67330453848</v>
      </c>
      <c r="AS44" s="2" t="n">
        <v>2511.77433247096</v>
      </c>
      <c r="AT44" s="2" t="n">
        <v>3605.80379574644</v>
      </c>
      <c r="AU44" s="2" t="n">
        <v>2750.04828981502</v>
      </c>
    </row>
    <row r="45" customFormat="false" ht="15" hidden="false" customHeight="false" outlineLevel="0" collapsed="false">
      <c r="A45" s="6" t="n">
        <v>6419.58376260898</v>
      </c>
      <c r="B45" s="7" t="n">
        <v>488.749777882685</v>
      </c>
      <c r="C45" s="7" t="n">
        <v>488.289998091718</v>
      </c>
      <c r="D45" s="7" t="n">
        <v>429.457317134834</v>
      </c>
      <c r="E45" s="7" t="n">
        <v>661.711937088331</v>
      </c>
      <c r="F45" s="7" t="n">
        <v>2025</v>
      </c>
      <c r="G45" s="4" t="n">
        <v>29105.4170874109</v>
      </c>
      <c r="H45" s="7" t="n">
        <v>2215.9172093852</v>
      </c>
      <c r="I45" s="7" t="n">
        <v>1947.09420402826</v>
      </c>
      <c r="J45" s="2" t="n">
        <v>3000.10135125136</v>
      </c>
      <c r="K45" s="7" t="n">
        <v>2213.83263769343</v>
      </c>
      <c r="R45" s="8" t="n">
        <v>2025</v>
      </c>
      <c r="S45" s="9" t="n">
        <v>6852.53401785481</v>
      </c>
      <c r="T45" s="8" t="n">
        <v>485.837832891372</v>
      </c>
      <c r="U45" s="8" t="n">
        <v>489.841764693214</v>
      </c>
      <c r="V45" s="8" t="n">
        <v>433.392715797079</v>
      </c>
      <c r="W45" s="8" t="n">
        <v>653.577046914475</v>
      </c>
      <c r="X45" s="8" t="n">
        <v>2025</v>
      </c>
      <c r="Y45" s="3" t="n">
        <v>31068.3477419538</v>
      </c>
      <c r="Z45" s="3" t="n">
        <v>2202.7148933719</v>
      </c>
      <c r="AA45" s="3" t="n">
        <v>1964.93670343406</v>
      </c>
      <c r="AB45" s="3" t="n">
        <v>2963.21899559936</v>
      </c>
      <c r="AC45" s="3" t="n">
        <v>2220.86811161651</v>
      </c>
      <c r="AJ45" s="7" t="n">
        <v>2025</v>
      </c>
      <c r="AK45" s="6" t="n">
        <v>7562.58278983347</v>
      </c>
      <c r="AL45" s="7" t="n">
        <v>492.442791031368</v>
      </c>
      <c r="AM45" s="7" t="n">
        <v>492.719696152448</v>
      </c>
      <c r="AN45" s="7" t="n">
        <v>447.122124531446</v>
      </c>
      <c r="AO45" s="7" t="n">
        <v>670.248302796076</v>
      </c>
      <c r="AP45" s="7" t="n">
        <v>2025</v>
      </c>
      <c r="AQ45" s="2" t="n">
        <v>34287.6009560351</v>
      </c>
      <c r="AR45" s="2" t="n">
        <v>2232.66076971192</v>
      </c>
      <c r="AS45" s="2" t="n">
        <v>2027.18375594622</v>
      </c>
      <c r="AT45" s="2" t="n">
        <v>3038.80393595502</v>
      </c>
      <c r="AU45" s="2" t="n">
        <v>2233.91621544496</v>
      </c>
    </row>
    <row r="46" customFormat="false" ht="15" hidden="false" customHeight="false" outlineLevel="0" collapsed="false">
      <c r="A46" s="6" t="n">
        <v>6436.58627808515</v>
      </c>
      <c r="B46" s="7" t="n">
        <v>490.864031894699</v>
      </c>
      <c r="C46" s="7" t="n">
        <v>488.223353454489</v>
      </c>
      <c r="D46" s="7" t="n">
        <v>430.046320753484</v>
      </c>
      <c r="E46" s="7" t="n">
        <v>668.54320362026</v>
      </c>
      <c r="F46" s="7" t="n">
        <v>2025</v>
      </c>
      <c r="G46" s="4" t="n">
        <v>29182.5039084213</v>
      </c>
      <c r="H46" s="7" t="n">
        <v>2225.50291573688</v>
      </c>
      <c r="I46" s="7" t="n">
        <v>1949.76465691442</v>
      </c>
      <c r="J46" s="2" t="n">
        <v>3031.07327544451</v>
      </c>
      <c r="K46" s="7" t="n">
        <v>2213.53048103734</v>
      </c>
      <c r="R46" s="8" t="n">
        <v>2025</v>
      </c>
      <c r="S46" s="9" t="n">
        <v>6875.38454446179</v>
      </c>
      <c r="T46" s="8" t="n">
        <v>498.627390831076</v>
      </c>
      <c r="U46" s="8" t="n">
        <v>496.385983497936</v>
      </c>
      <c r="V46" s="8" t="n">
        <v>443.964827537912</v>
      </c>
      <c r="W46" s="8" t="n">
        <v>670.652291535189</v>
      </c>
      <c r="X46" s="8" t="n">
        <v>2025</v>
      </c>
      <c r="Y46" s="3" t="n">
        <v>31171.9485566105</v>
      </c>
      <c r="Z46" s="3" t="n">
        <v>2260.70080522601</v>
      </c>
      <c r="AA46" s="3" t="n">
        <v>2012.86905124513</v>
      </c>
      <c r="AB46" s="3" t="n">
        <v>3040.63555949718</v>
      </c>
      <c r="AC46" s="3" t="n">
        <v>2250.53860504197</v>
      </c>
      <c r="AJ46" s="7" t="n">
        <v>2025</v>
      </c>
      <c r="AK46" s="6" t="n">
        <v>7600.23259947471</v>
      </c>
      <c r="AL46" s="7" t="n">
        <v>490.100396883868</v>
      </c>
      <c r="AM46" s="7" t="n">
        <v>490.236719146032</v>
      </c>
      <c r="AN46" s="7" t="n">
        <v>439.494219248341</v>
      </c>
      <c r="AO46" s="7" t="n">
        <v>670.94568220792</v>
      </c>
      <c r="AP46" s="7" t="n">
        <v>2025</v>
      </c>
      <c r="AQ46" s="2" t="n">
        <v>34458.2994706728</v>
      </c>
      <c r="AR46" s="2" t="n">
        <v>2222.04071066024</v>
      </c>
      <c r="AS46" s="2" t="n">
        <v>1992.59999273385</v>
      </c>
      <c r="AT46" s="2" t="n">
        <v>3041.96574821583</v>
      </c>
      <c r="AU46" s="2" t="n">
        <v>2222.65877507771</v>
      </c>
    </row>
    <row r="47" customFormat="false" ht="15" hidden="false" customHeight="false" outlineLevel="0" collapsed="false">
      <c r="A47" s="6" t="n">
        <v>6466.08472104075</v>
      </c>
      <c r="B47" s="7" t="n">
        <v>489.370969257298</v>
      </c>
      <c r="C47" s="7" t="n">
        <v>488.247535920987</v>
      </c>
      <c r="D47" s="7" t="n">
        <v>435.319444239304</v>
      </c>
      <c r="E47" s="7" t="n">
        <v>639.0968107354</v>
      </c>
      <c r="F47" s="7" t="n">
        <v>2025</v>
      </c>
      <c r="G47" s="4" t="n">
        <v>29316.2453654068</v>
      </c>
      <c r="H47" s="7" t="n">
        <v>2218.73359666478</v>
      </c>
      <c r="I47" s="7" t="n">
        <v>1973.67219735374</v>
      </c>
      <c r="J47" s="2" t="n">
        <v>2897.56780556879</v>
      </c>
      <c r="K47" s="7" t="n">
        <v>2213.64012066503</v>
      </c>
      <c r="R47" s="8" t="n">
        <v>2025</v>
      </c>
      <c r="S47" s="9" t="n">
        <v>6947.67471584953</v>
      </c>
      <c r="T47" s="8" t="n">
        <v>500.34994404805</v>
      </c>
      <c r="U47" s="8" t="n">
        <v>496.91445794</v>
      </c>
      <c r="V47" s="8" t="n">
        <v>443.422373406044</v>
      </c>
      <c r="W47" s="8" t="n">
        <v>666.908593876323</v>
      </c>
      <c r="X47" s="8" t="n">
        <v>2025</v>
      </c>
      <c r="Y47" s="3" t="n">
        <v>31499.7012065277</v>
      </c>
      <c r="Z47" s="3" t="n">
        <v>2268.51059970635</v>
      </c>
      <c r="AA47" s="3" t="n">
        <v>2010.40964665713</v>
      </c>
      <c r="AB47" s="3" t="n">
        <v>3023.66220330467</v>
      </c>
      <c r="AC47" s="3" t="n">
        <v>2252.93462784113</v>
      </c>
      <c r="AJ47" s="7" t="n">
        <v>2025</v>
      </c>
      <c r="AK47" s="6" t="n">
        <v>7657.0798748947</v>
      </c>
      <c r="AL47" s="7" t="n">
        <v>496.797701989981</v>
      </c>
      <c r="AM47" s="7" t="n">
        <v>498.850882839903</v>
      </c>
      <c r="AN47" s="7" t="n">
        <v>447.896155943178</v>
      </c>
      <c r="AO47" s="7" t="n">
        <v>684.647604268951</v>
      </c>
      <c r="AP47" s="7" t="n">
        <v>2025</v>
      </c>
      <c r="AQ47" s="2" t="n">
        <v>34716.0363773892</v>
      </c>
      <c r="AR47" s="2" t="n">
        <v>2252.40527410911</v>
      </c>
      <c r="AS47" s="2" t="n">
        <v>2030.69309672442</v>
      </c>
      <c r="AT47" s="2" t="n">
        <v>3104.08818032869</v>
      </c>
      <c r="AU47" s="2" t="n">
        <v>2261.71408402619</v>
      </c>
    </row>
    <row r="48" customFormat="false" ht="15" hidden="false" customHeight="false" outlineLevel="0" collapsed="false">
      <c r="A48" s="6" t="n">
        <v>6509.70199242626</v>
      </c>
      <c r="B48" s="7" t="n">
        <v>625.428526828722</v>
      </c>
      <c r="C48" s="7" t="n">
        <v>606.486801476463</v>
      </c>
      <c r="D48" s="7" t="n">
        <v>552.218833828277</v>
      </c>
      <c r="E48" s="7" t="n">
        <v>778.190367716423</v>
      </c>
      <c r="F48" s="7" t="n">
        <v>2026</v>
      </c>
      <c r="G48" s="4" t="n">
        <v>29513.9994446174</v>
      </c>
      <c r="H48" s="7" t="n">
        <v>2835.59788373521</v>
      </c>
      <c r="I48" s="7" t="n">
        <v>2503.67626258118</v>
      </c>
      <c r="J48" s="2" t="n">
        <v>3528.19685253039</v>
      </c>
      <c r="K48" s="7" t="n">
        <v>2749.71897988107</v>
      </c>
      <c r="R48" s="8" t="n">
        <v>2026</v>
      </c>
      <c r="S48" s="9" t="n">
        <v>6987.3956266442</v>
      </c>
      <c r="T48" s="8" t="n">
        <v>626.560810244517</v>
      </c>
      <c r="U48" s="8" t="n">
        <v>615.505940697349</v>
      </c>
      <c r="V48" s="8" t="n">
        <v>559.70301074753</v>
      </c>
      <c r="W48" s="8" t="n">
        <v>790.008022305331</v>
      </c>
      <c r="X48" s="8" t="n">
        <v>2026</v>
      </c>
      <c r="Y48" s="3" t="n">
        <v>31679.789779015</v>
      </c>
      <c r="Z48" s="3" t="n">
        <v>2840.73148465025</v>
      </c>
      <c r="AA48" s="3" t="n">
        <v>2537.60838323666</v>
      </c>
      <c r="AB48" s="3" t="n">
        <v>3581.7763023085</v>
      </c>
      <c r="AC48" s="3" t="n">
        <v>2790.61038631809</v>
      </c>
      <c r="AJ48" s="7" t="n">
        <v>2026</v>
      </c>
      <c r="AK48" s="6" t="n">
        <v>7675.86150539333</v>
      </c>
      <c r="AL48" s="7" t="n">
        <v>628.002191620992</v>
      </c>
      <c r="AM48" s="7" t="n">
        <v>613.136379288861</v>
      </c>
      <c r="AN48" s="7" t="n">
        <v>552.651598385447</v>
      </c>
      <c r="AO48" s="7" t="n">
        <v>818.243386103458</v>
      </c>
      <c r="AP48" s="7" t="n">
        <v>2026</v>
      </c>
      <c r="AQ48" s="2" t="n">
        <v>34801.1894355093</v>
      </c>
      <c r="AR48" s="2" t="n">
        <v>2847.26648874018</v>
      </c>
      <c r="AS48" s="2" t="n">
        <v>2505.63835130887</v>
      </c>
      <c r="AT48" s="2" t="n">
        <v>3709.79115036546</v>
      </c>
      <c r="AU48" s="2" t="n">
        <v>2779.86715503416</v>
      </c>
    </row>
    <row r="49" customFormat="false" ht="15" hidden="false" customHeight="false" outlineLevel="0" collapsed="false">
      <c r="A49" s="6" t="n">
        <v>6542.14841980565</v>
      </c>
      <c r="B49" s="7" t="n">
        <v>494.922642995088</v>
      </c>
      <c r="C49" s="7" t="n">
        <v>490.668939745015</v>
      </c>
      <c r="D49" s="7" t="n">
        <v>434.80043684547</v>
      </c>
      <c r="E49" s="7" t="n">
        <v>663.164398144407</v>
      </c>
      <c r="F49" s="7" t="n">
        <v>2026</v>
      </c>
      <c r="G49" s="4" t="n">
        <v>29661.1066149256</v>
      </c>
      <c r="H49" s="7" t="n">
        <v>2243.90404161056</v>
      </c>
      <c r="I49" s="7" t="n">
        <v>1971.31909671239</v>
      </c>
      <c r="J49" s="2" t="n">
        <v>3006.68658892464</v>
      </c>
      <c r="K49" s="7" t="n">
        <v>2224.61839758165</v>
      </c>
      <c r="R49" s="8" t="n">
        <v>2026</v>
      </c>
      <c r="S49" s="9" t="n">
        <v>7025.15815415619</v>
      </c>
      <c r="T49" s="8" t="n">
        <v>498.646787596509</v>
      </c>
      <c r="U49" s="8" t="n">
        <v>498.419766960696</v>
      </c>
      <c r="V49" s="8" t="n">
        <v>441.010968238914</v>
      </c>
      <c r="W49" s="8" t="n">
        <v>667.330258330921</v>
      </c>
      <c r="X49" s="8" t="n">
        <v>2026</v>
      </c>
      <c r="Y49" s="3" t="n">
        <v>31850.9993393471</v>
      </c>
      <c r="Z49" s="3" t="n">
        <v>2260.78874721243</v>
      </c>
      <c r="AA49" s="3" t="n">
        <v>1999.47670213122</v>
      </c>
      <c r="AB49" s="3" t="n">
        <v>3025.57396585437</v>
      </c>
      <c r="AC49" s="3" t="n">
        <v>2259.7594701538</v>
      </c>
      <c r="AJ49" s="7" t="n">
        <v>2026</v>
      </c>
      <c r="AK49" s="6" t="n">
        <v>7751.25099936711</v>
      </c>
      <c r="AL49" s="7" t="n">
        <v>494.772921845557</v>
      </c>
      <c r="AM49" s="7" t="n">
        <v>494.444780842266</v>
      </c>
      <c r="AN49" s="7" t="n">
        <v>442.354652246598</v>
      </c>
      <c r="AO49" s="7" t="n">
        <v>679.263049478021</v>
      </c>
      <c r="AP49" s="7" t="n">
        <v>2026</v>
      </c>
      <c r="AQ49" s="2" t="n">
        <v>35142.9939429754</v>
      </c>
      <c r="AR49" s="2" t="n">
        <v>2243.22522867423</v>
      </c>
      <c r="AS49" s="2" t="n">
        <v>2005.56876119977</v>
      </c>
      <c r="AT49" s="2" t="n">
        <v>3079.67542728808</v>
      </c>
      <c r="AU49" s="2" t="n">
        <v>2241.73748723843</v>
      </c>
    </row>
    <row r="50" customFormat="false" ht="15" hidden="false" customHeight="false" outlineLevel="0" collapsed="false">
      <c r="A50" s="6" t="n">
        <v>6577.59933574718</v>
      </c>
      <c r="B50" s="7" t="n">
        <v>500.377505940484</v>
      </c>
      <c r="C50" s="7" t="n">
        <v>499.138511750448</v>
      </c>
      <c r="D50" s="7" t="n">
        <v>443.16584058796</v>
      </c>
      <c r="E50" s="7" t="n">
        <v>672.067712482594</v>
      </c>
      <c r="F50" s="7" t="n">
        <v>2026</v>
      </c>
      <c r="G50" s="4" t="n">
        <v>29821.8356797317</v>
      </c>
      <c r="H50" s="7" t="n">
        <v>2268.6355611376</v>
      </c>
      <c r="I50" s="7" t="n">
        <v>2009.24656584955</v>
      </c>
      <c r="J50" s="2" t="n">
        <v>3047.05286294736</v>
      </c>
      <c r="K50" s="7" t="n">
        <v>2263.01814979079</v>
      </c>
      <c r="R50" s="8" t="n">
        <v>2026</v>
      </c>
      <c r="S50" s="9" t="n">
        <v>7075.25481395618</v>
      </c>
      <c r="T50" s="8" t="n">
        <v>502.517871269292</v>
      </c>
      <c r="U50" s="8" t="n">
        <v>502.86195254484</v>
      </c>
      <c r="V50" s="8" t="n">
        <v>448.220128521366</v>
      </c>
      <c r="W50" s="8" t="n">
        <v>684.000661156599</v>
      </c>
      <c r="X50" s="8" t="n">
        <v>2026</v>
      </c>
      <c r="Y50" s="3" t="n">
        <v>32078.1299808472</v>
      </c>
      <c r="Z50" s="3" t="n">
        <v>2278.33965223105</v>
      </c>
      <c r="AA50" s="3" t="n">
        <v>2032.16193915436</v>
      </c>
      <c r="AB50" s="3" t="n">
        <v>3101.15503858412</v>
      </c>
      <c r="AC50" s="3" t="n">
        <v>2279.89966443856</v>
      </c>
      <c r="AJ50" s="7" t="n">
        <v>2026</v>
      </c>
      <c r="AK50" s="6" t="n">
        <v>7748.55580889009</v>
      </c>
      <c r="AL50" s="7" t="n">
        <v>498.828666687161</v>
      </c>
      <c r="AM50" s="7" t="n">
        <v>499.635200174706</v>
      </c>
      <c r="AN50" s="7" t="n">
        <v>446.785263417186</v>
      </c>
      <c r="AO50" s="7" t="n">
        <v>680.58976991457</v>
      </c>
      <c r="AP50" s="7" t="n">
        <v>2026</v>
      </c>
      <c r="AQ50" s="2" t="n">
        <v>35130.7743589861</v>
      </c>
      <c r="AR50" s="2" t="n">
        <v>2261.61335936622</v>
      </c>
      <c r="AS50" s="2" t="n">
        <v>2025.65647885262</v>
      </c>
      <c r="AT50" s="2" t="n">
        <v>3085.69057610335</v>
      </c>
      <c r="AU50" s="2" t="n">
        <v>2265.27005961627</v>
      </c>
    </row>
    <row r="51" customFormat="false" ht="15" hidden="false" customHeight="false" outlineLevel="0" collapsed="false">
      <c r="A51" s="6" t="n">
        <v>6595.08783180664</v>
      </c>
      <c r="B51" s="7" t="n">
        <v>491.822420359962</v>
      </c>
      <c r="C51" s="7" t="n">
        <v>492.798580590245</v>
      </c>
      <c r="D51" s="7" t="n">
        <v>436.575278726274</v>
      </c>
      <c r="E51" s="7" t="n">
        <v>634.958722066409</v>
      </c>
      <c r="F51" s="7" t="n">
        <v>2026</v>
      </c>
      <c r="G51" s="4" t="n">
        <v>29901.125862844</v>
      </c>
      <c r="H51" s="7" t="n">
        <v>2229.84810337594</v>
      </c>
      <c r="I51" s="7" t="n">
        <v>1979.36596004735</v>
      </c>
      <c r="J51" s="2" t="n">
        <v>2878.80634047861</v>
      </c>
      <c r="K51" s="7" t="n">
        <v>2234.27386549654</v>
      </c>
      <c r="R51" s="8" t="n">
        <v>2026</v>
      </c>
      <c r="S51" s="9" t="n">
        <v>7088.53446860739</v>
      </c>
      <c r="T51" s="8" t="n">
        <v>498.706404623059</v>
      </c>
      <c r="U51" s="8" t="n">
        <v>498.95312655326</v>
      </c>
      <c r="V51" s="8" t="n">
        <v>447.700170666072</v>
      </c>
      <c r="W51" s="8" t="n">
        <v>649.798871698403</v>
      </c>
      <c r="X51" s="8" t="n">
        <v>2026</v>
      </c>
      <c r="Y51" s="3" t="n">
        <v>32138.337916703</v>
      </c>
      <c r="Z51" s="3" t="n">
        <v>2261.0590417498</v>
      </c>
      <c r="AA51" s="3" t="n">
        <v>2029.80452926521</v>
      </c>
      <c r="AB51" s="3" t="n">
        <v>2946.08932340261</v>
      </c>
      <c r="AC51" s="3" t="n">
        <v>2262.17764148285</v>
      </c>
      <c r="AJ51" s="7" t="n">
        <v>2026</v>
      </c>
      <c r="AK51" s="6" t="n">
        <v>7824.54282563769</v>
      </c>
      <c r="AL51" s="7" t="n">
        <v>495.670495111662</v>
      </c>
      <c r="AM51" s="7" t="n">
        <v>498.687481503785</v>
      </c>
      <c r="AN51" s="7" t="n">
        <v>449.06067812436</v>
      </c>
      <c r="AO51" s="7" t="n">
        <v>695.189513873933</v>
      </c>
      <c r="AP51" s="7" t="n">
        <v>2026</v>
      </c>
      <c r="AQ51" s="2" t="n">
        <v>35475.2879438931</v>
      </c>
      <c r="AR51" s="2" t="n">
        <v>2247.29468944343</v>
      </c>
      <c r="AS51" s="2" t="n">
        <v>2035.97286330185</v>
      </c>
      <c r="AT51" s="2" t="n">
        <v>3151.88359624613</v>
      </c>
      <c r="AU51" s="2" t="n">
        <v>2260.97324720308</v>
      </c>
    </row>
    <row r="52" customFormat="false" ht="15" hidden="false" customHeight="false" outlineLevel="0" collapsed="false">
      <c r="A52" s="6" t="n">
        <v>6612.7903047932</v>
      </c>
      <c r="B52" s="7" t="n">
        <v>632.714147183194</v>
      </c>
      <c r="C52" s="7" t="n">
        <v>623.150118056398</v>
      </c>
      <c r="D52" s="7" t="n">
        <v>564.460676861978</v>
      </c>
      <c r="E52" s="7" t="n">
        <v>801.179400735428</v>
      </c>
      <c r="F52" s="7" t="n">
        <v>2027</v>
      </c>
      <c r="G52" s="4" t="n">
        <v>29981.3861848221</v>
      </c>
      <c r="H52" s="7" t="n">
        <v>2868.62977910396</v>
      </c>
      <c r="I52" s="7" t="n">
        <v>2559.17891829693</v>
      </c>
      <c r="J52" s="2" t="n">
        <v>3632.42563420804</v>
      </c>
      <c r="K52" s="7" t="n">
        <v>2825.26792464965</v>
      </c>
      <c r="R52" s="8" t="n">
        <v>2027</v>
      </c>
      <c r="S52" s="9" t="n">
        <v>7157.19879359493</v>
      </c>
      <c r="T52" s="8" t="n">
        <v>622.469516689375</v>
      </c>
      <c r="U52" s="8" t="n">
        <v>612.136794561316</v>
      </c>
      <c r="V52" s="8" t="n">
        <v>557.259775495406</v>
      </c>
      <c r="W52" s="8" t="n">
        <v>790.037539350529</v>
      </c>
      <c r="X52" s="8" t="n">
        <v>2027</v>
      </c>
      <c r="Y52" s="3" t="n">
        <v>32449.6515301226</v>
      </c>
      <c r="Z52" s="3" t="n">
        <v>2822.18218149402</v>
      </c>
      <c r="AA52" s="3" t="n">
        <v>2526.53112594314</v>
      </c>
      <c r="AB52" s="3" t="n">
        <v>3581.91012810523</v>
      </c>
      <c r="AC52" s="3" t="n">
        <v>2775.33518980319</v>
      </c>
      <c r="AJ52" s="7" t="n">
        <v>2027</v>
      </c>
      <c r="AK52" s="6" t="n">
        <v>7879.11958449271</v>
      </c>
      <c r="AL52" s="7" t="n">
        <v>636.410701045483</v>
      </c>
      <c r="AM52" s="7" t="n">
        <v>628.077053496918</v>
      </c>
      <c r="AN52" s="7" t="n">
        <v>574.83863480772</v>
      </c>
      <c r="AO52" s="7" t="n">
        <v>829.914727432108</v>
      </c>
      <c r="AP52" s="7" t="n">
        <v>2027</v>
      </c>
      <c r="AQ52" s="2" t="n">
        <v>35722.7306735925</v>
      </c>
      <c r="AR52" s="2" t="n">
        <v>2885.38939248804</v>
      </c>
      <c r="AS52" s="2" t="n">
        <v>2606.23100230987</v>
      </c>
      <c r="AT52" s="2" t="n">
        <v>3762.70723805925</v>
      </c>
      <c r="AU52" s="2" t="n">
        <v>2847.60590110761</v>
      </c>
    </row>
    <row r="53" customFormat="false" ht="15" hidden="false" customHeight="false" outlineLevel="0" collapsed="false">
      <c r="A53" s="6" t="n">
        <v>6634.12313656122</v>
      </c>
      <c r="B53" s="7" t="n">
        <v>495.748588053482</v>
      </c>
      <c r="C53" s="7" t="n">
        <v>501.7079298229</v>
      </c>
      <c r="D53" s="7" t="n">
        <v>447.863801869759</v>
      </c>
      <c r="E53" s="7" t="n">
        <v>648.03865958962</v>
      </c>
      <c r="F53" s="7" t="n">
        <v>2027</v>
      </c>
      <c r="G53" s="4" t="n">
        <v>30078.1060017486</v>
      </c>
      <c r="H53" s="7" t="n">
        <v>2247.64875097254</v>
      </c>
      <c r="I53" s="7" t="n">
        <v>2030.54640827293</v>
      </c>
      <c r="J53" s="2" t="n">
        <v>2938.10878923046</v>
      </c>
      <c r="K53" s="7" t="n">
        <v>2274.66750081355</v>
      </c>
      <c r="R53" s="8" t="n">
        <v>2027</v>
      </c>
      <c r="S53" s="9" t="n">
        <v>7176.09020163016</v>
      </c>
      <c r="T53" s="8" t="n">
        <v>497.206650823086</v>
      </c>
      <c r="U53" s="8" t="n">
        <v>496.832432852829</v>
      </c>
      <c r="V53" s="8" t="n">
        <v>443.744143183273</v>
      </c>
      <c r="W53" s="8" t="n">
        <v>663.055905072933</v>
      </c>
      <c r="X53" s="8" t="n">
        <v>2027</v>
      </c>
      <c r="Y53" s="3" t="n">
        <v>32535.3023029089</v>
      </c>
      <c r="Z53" s="3" t="n">
        <v>2254.25938596357</v>
      </c>
      <c r="AA53" s="3" t="n">
        <v>2011.86850192232</v>
      </c>
      <c r="AB53" s="3" t="n">
        <v>3006.1946978281</v>
      </c>
      <c r="AC53" s="3" t="n">
        <v>2252.56273856263</v>
      </c>
      <c r="AJ53" s="7" t="n">
        <v>2027</v>
      </c>
      <c r="AK53" s="6" t="n">
        <v>7908.35053742917</v>
      </c>
      <c r="AL53" s="7" t="n">
        <v>504.912916088173</v>
      </c>
      <c r="AM53" s="7" t="n">
        <v>508.966701987149</v>
      </c>
      <c r="AN53" s="7" t="n">
        <v>453.356867428317</v>
      </c>
      <c r="AO53" s="7" t="n">
        <v>734.032227363674</v>
      </c>
      <c r="AP53" s="7" t="n">
        <v>2027</v>
      </c>
      <c r="AQ53" s="2" t="n">
        <v>35855.2593714862</v>
      </c>
      <c r="AR53" s="2" t="n">
        <v>2289.19842142456</v>
      </c>
      <c r="AS53" s="2" t="n">
        <v>2055.45113264175</v>
      </c>
      <c r="AT53" s="2" t="n">
        <v>3327.99055562729</v>
      </c>
      <c r="AU53" s="2" t="n">
        <v>2307.5776705684</v>
      </c>
    </row>
    <row r="54" customFormat="false" ht="15" hidden="false" customHeight="false" outlineLevel="0" collapsed="false">
      <c r="A54" s="6" t="n">
        <v>6659.65648994988</v>
      </c>
      <c r="B54" s="7" t="n">
        <v>501.286470306524</v>
      </c>
      <c r="C54" s="7" t="n">
        <v>507.435482154911</v>
      </c>
      <c r="D54" s="7" t="n">
        <v>452.810549123882</v>
      </c>
      <c r="E54" s="7" t="n">
        <v>670.211818512356</v>
      </c>
      <c r="F54" s="7" t="n">
        <v>2027</v>
      </c>
      <c r="G54" s="4" t="n">
        <v>30193.8703452791</v>
      </c>
      <c r="H54" s="7" t="n">
        <v>2272.7566674226</v>
      </c>
      <c r="I54" s="7" t="n">
        <v>2052.97420848264</v>
      </c>
      <c r="J54" s="2" t="n">
        <v>3038.63852175776</v>
      </c>
      <c r="K54" s="7" t="n">
        <v>2300.6353525743</v>
      </c>
      <c r="R54" s="8" t="n">
        <v>2027</v>
      </c>
      <c r="S54" s="9" t="n">
        <v>7197.15451726513</v>
      </c>
      <c r="T54" s="8" t="n">
        <v>490.695979551582</v>
      </c>
      <c r="U54" s="8" t="n">
        <v>489.959688897667</v>
      </c>
      <c r="V54" s="8" t="n">
        <v>432.822167757643</v>
      </c>
      <c r="W54" s="8" t="n">
        <v>656.412811654652</v>
      </c>
      <c r="X54" s="8" t="n">
        <v>2027</v>
      </c>
      <c r="Y54" s="3" t="n">
        <v>32630.8047084991</v>
      </c>
      <c r="Z54" s="3" t="n">
        <v>2224.74099195493</v>
      </c>
      <c r="AA54" s="3" t="n">
        <v>1962.34992533906</v>
      </c>
      <c r="AB54" s="3" t="n">
        <v>2976.0759219324</v>
      </c>
      <c r="AC54" s="3" t="n">
        <v>2221.40276203657</v>
      </c>
      <c r="AJ54" s="7" t="n">
        <v>2027</v>
      </c>
      <c r="AK54" s="6" t="n">
        <v>8005.55810928379</v>
      </c>
      <c r="AL54" s="7" t="n">
        <v>495.31684756917</v>
      </c>
      <c r="AM54" s="7" t="n">
        <v>498.622259630967</v>
      </c>
      <c r="AN54" s="7" t="n">
        <v>448.820721971017</v>
      </c>
      <c r="AO54" s="7" t="n">
        <v>691.332671052669</v>
      </c>
      <c r="AP54" s="7" t="n">
        <v>2027</v>
      </c>
      <c r="AQ54" s="2" t="n">
        <v>36295.9837280033</v>
      </c>
      <c r="AR54" s="2" t="n">
        <v>2245.69130523554</v>
      </c>
      <c r="AS54" s="2" t="n">
        <v>2034.88493857277</v>
      </c>
      <c r="AT54" s="2" t="n">
        <v>3134.39725708388</v>
      </c>
      <c r="AU54" s="2" t="n">
        <v>2260.67754114459</v>
      </c>
    </row>
    <row r="55" customFormat="false" ht="15" hidden="false" customHeight="false" outlineLevel="0" collapsed="false">
      <c r="A55" s="6" t="n">
        <v>6654.02673520301</v>
      </c>
      <c r="B55" s="7" t="n">
        <v>504.295004147472</v>
      </c>
      <c r="C55" s="7" t="n">
        <v>504.263078854736</v>
      </c>
      <c r="D55" s="7" t="n">
        <v>451.570301138953</v>
      </c>
      <c r="E55" s="7" t="n">
        <v>673.331132954009</v>
      </c>
      <c r="F55" s="7" t="n">
        <v>2027</v>
      </c>
      <c r="G55" s="4" t="n">
        <v>30168.3458929054</v>
      </c>
      <c r="H55" s="7" t="n">
        <v>2286.3969025999</v>
      </c>
      <c r="I55" s="7" t="n">
        <v>2047.35111262034</v>
      </c>
      <c r="J55" s="2" t="n">
        <v>3052.78101934147</v>
      </c>
      <c r="K55" s="7" t="n">
        <v>2286.25215817486</v>
      </c>
      <c r="R55" s="8" t="n">
        <v>2027</v>
      </c>
      <c r="S55" s="9" t="n">
        <v>7218.75144885262</v>
      </c>
      <c r="T55" s="8" t="n">
        <v>493.231081342517</v>
      </c>
      <c r="U55" s="8" t="n">
        <v>493.202864405699</v>
      </c>
      <c r="V55" s="8" t="n">
        <v>438.387306092627</v>
      </c>
      <c r="W55" s="8" t="n">
        <v>680.40165767177</v>
      </c>
      <c r="X55" s="8" t="n">
        <v>2027</v>
      </c>
      <c r="Y55" s="3" t="n">
        <v>32728.7219138674</v>
      </c>
      <c r="Z55" s="3" t="n">
        <v>2236.23475817292</v>
      </c>
      <c r="AA55" s="3" t="n">
        <v>1987.58141672208</v>
      </c>
      <c r="AB55" s="3" t="n">
        <v>3084.83770378508</v>
      </c>
      <c r="AC55" s="3" t="n">
        <v>2236.10682686999</v>
      </c>
      <c r="AJ55" s="7" t="n">
        <v>2027</v>
      </c>
      <c r="AK55" s="6" t="n">
        <v>8053.34672299482</v>
      </c>
      <c r="AL55" s="7" t="n">
        <v>493.603181839386</v>
      </c>
      <c r="AM55" s="7" t="n">
        <v>495.301095244531</v>
      </c>
      <c r="AN55" s="7" t="n">
        <v>438.357610215097</v>
      </c>
      <c r="AO55" s="7" t="n">
        <v>715.847583875078</v>
      </c>
      <c r="AP55" s="7" t="n">
        <v>2027</v>
      </c>
      <c r="AQ55" s="2" t="n">
        <v>36512.6500393287</v>
      </c>
      <c r="AR55" s="2" t="n">
        <v>2237.92180527134</v>
      </c>
      <c r="AS55" s="2" t="n">
        <v>1987.44678012674</v>
      </c>
      <c r="AT55" s="2" t="n">
        <v>3245.54414587652</v>
      </c>
      <c r="AU55" s="2" t="n">
        <v>2245.61988658977</v>
      </c>
    </row>
    <row r="56" customFormat="false" ht="15" hidden="false" customHeight="false" outlineLevel="0" collapsed="false">
      <c r="A56" s="6" t="n">
        <v>6679.09666018342</v>
      </c>
      <c r="B56" s="7" t="n">
        <v>633.304504491414</v>
      </c>
      <c r="C56" s="7" t="n">
        <v>624.15217764347</v>
      </c>
      <c r="D56" s="7" t="n">
        <v>568.704364175358</v>
      </c>
      <c r="E56" s="7" t="n">
        <v>802.266938931223</v>
      </c>
      <c r="F56" s="7" t="n">
        <v>2028</v>
      </c>
      <c r="G56" s="4" t="n">
        <v>30282.0091224679</v>
      </c>
      <c r="H56" s="7" t="n">
        <v>2871.30636941289</v>
      </c>
      <c r="I56" s="7" t="n">
        <v>2578.41915159116</v>
      </c>
      <c r="J56" s="2" t="n">
        <v>3637.35636709628</v>
      </c>
      <c r="K56" s="7" t="n">
        <v>2829.81111051756</v>
      </c>
      <c r="R56" s="8" t="n">
        <v>2028</v>
      </c>
      <c r="S56" s="9" t="n">
        <v>7270.36755869451</v>
      </c>
      <c r="T56" s="8" t="n">
        <v>625.834042072015</v>
      </c>
      <c r="U56" s="8" t="n">
        <v>618.814228305698</v>
      </c>
      <c r="V56" s="8" t="n">
        <v>567.400299932927</v>
      </c>
      <c r="W56" s="8" t="n">
        <v>797.691404534395</v>
      </c>
      <c r="X56" s="8" t="n">
        <v>2028</v>
      </c>
      <c r="Y56" s="3" t="n">
        <v>32962.741510921</v>
      </c>
      <c r="Z56" s="3" t="n">
        <v>2837.43642821532</v>
      </c>
      <c r="AA56" s="3" t="n">
        <v>2572.50672251658</v>
      </c>
      <c r="AB56" s="3" t="n">
        <v>3616.61158956209</v>
      </c>
      <c r="AC56" s="3" t="n">
        <v>2805.60965951816</v>
      </c>
      <c r="AJ56" s="7" t="n">
        <v>2028</v>
      </c>
      <c r="AK56" s="6" t="n">
        <v>8113.54559267437</v>
      </c>
      <c r="AL56" s="7" t="n">
        <v>620.075222242769</v>
      </c>
      <c r="AM56" s="7" t="n">
        <v>617.269751482118</v>
      </c>
      <c r="AN56" s="7" t="n">
        <v>568.737018935996</v>
      </c>
      <c r="AO56" s="7" t="n">
        <v>817.228993122773</v>
      </c>
      <c r="AP56" s="7" t="n">
        <v>2028</v>
      </c>
      <c r="AQ56" s="2" t="n">
        <v>36785.5825650197</v>
      </c>
      <c r="AR56" s="2" t="n">
        <v>2811.32681437435</v>
      </c>
      <c r="AS56" s="2" t="n">
        <v>2578.5672033128</v>
      </c>
      <c r="AT56" s="2" t="n">
        <v>3705.19204676542</v>
      </c>
      <c r="AU56" s="2" t="n">
        <v>2798.6072363402</v>
      </c>
    </row>
    <row r="57" customFormat="false" ht="15" hidden="false" customHeight="false" outlineLevel="0" collapsed="false">
      <c r="A57" s="6" t="n">
        <v>6739.62325760007</v>
      </c>
      <c r="B57" s="7" t="n">
        <v>509.925685723417</v>
      </c>
      <c r="C57" s="7" t="n">
        <v>506.085257165216</v>
      </c>
      <c r="D57" s="7" t="n">
        <v>450.538353549992</v>
      </c>
      <c r="E57" s="7" t="n">
        <v>690.598520123602</v>
      </c>
      <c r="F57" s="7" t="n">
        <v>2028</v>
      </c>
      <c r="G57" s="4" t="n">
        <v>30556.4275159086</v>
      </c>
      <c r="H57" s="7" t="n">
        <v>2311.92555707573</v>
      </c>
      <c r="I57" s="7" t="n">
        <v>2042.67241909445</v>
      </c>
      <c r="J57" s="2" t="n">
        <v>3131.06872835277</v>
      </c>
      <c r="K57" s="7" t="n">
        <v>2294.51363768745</v>
      </c>
      <c r="R57" s="8" t="n">
        <v>2028</v>
      </c>
      <c r="S57" s="9" t="n">
        <v>7283.30394738012</v>
      </c>
      <c r="T57" s="8" t="n">
        <v>497.308189340265</v>
      </c>
      <c r="U57" s="8" t="n">
        <v>495.393849599113</v>
      </c>
      <c r="V57" s="8" t="n">
        <v>439.251668867095</v>
      </c>
      <c r="W57" s="8" t="n">
        <v>676.7059420995</v>
      </c>
      <c r="X57" s="8" t="n">
        <v>2028</v>
      </c>
      <c r="Y57" s="3" t="n">
        <v>33021.3931310607</v>
      </c>
      <c r="Z57" s="3" t="n">
        <v>2254.71974616794</v>
      </c>
      <c r="AA57" s="3" t="n">
        <v>1991.50030616975</v>
      </c>
      <c r="AB57" s="3" t="n">
        <v>3068.08189108054</v>
      </c>
      <c r="AC57" s="3" t="n">
        <v>2246.04042073601</v>
      </c>
      <c r="AJ57" s="7" t="n">
        <v>2028</v>
      </c>
      <c r="AK57" s="6" t="n">
        <v>8165.71670434913</v>
      </c>
      <c r="AL57" s="7" t="n">
        <v>493.67878475955</v>
      </c>
      <c r="AM57" s="7" t="n">
        <v>496.156026153923</v>
      </c>
      <c r="AN57" s="7" t="n">
        <v>442.545237569203</v>
      </c>
      <c r="AO57" s="7" t="n">
        <v>693.149070973095</v>
      </c>
      <c r="AP57" s="7" t="n">
        <v>2028</v>
      </c>
      <c r="AQ57" s="2" t="n">
        <v>37022.1184560306</v>
      </c>
      <c r="AR57" s="2" t="n">
        <v>2238.26457742072</v>
      </c>
      <c r="AS57" s="2" t="n">
        <v>2006.432846086</v>
      </c>
      <c r="AT57" s="2" t="n">
        <v>3142.63253825421</v>
      </c>
      <c r="AU57" s="2" t="n">
        <v>2249.49601339471</v>
      </c>
    </row>
    <row r="58" customFormat="false" ht="15" hidden="false" customHeight="false" outlineLevel="0" collapsed="false">
      <c r="A58" s="6" t="n">
        <v>6798.24986263291</v>
      </c>
      <c r="B58" s="7" t="n">
        <v>497.121489242802</v>
      </c>
      <c r="C58" s="7" t="n">
        <v>499.850600395877</v>
      </c>
      <c r="D58" s="7" t="n">
        <v>443.969965764231</v>
      </c>
      <c r="E58" s="7" t="n">
        <v>679.73157180396</v>
      </c>
      <c r="F58" s="7" t="n">
        <v>2028</v>
      </c>
      <c r="G58" s="4" t="n">
        <v>30822.231632655</v>
      </c>
      <c r="H58" s="7" t="n">
        <v>2253.873276302</v>
      </c>
      <c r="I58" s="7" t="n">
        <v>2012.89234718232</v>
      </c>
      <c r="J58" s="2" t="n">
        <v>3081.79963630466</v>
      </c>
      <c r="K58" s="7" t="n">
        <v>2266.24665148106</v>
      </c>
      <c r="R58" s="8" t="n">
        <v>2028</v>
      </c>
      <c r="S58" s="9" t="n">
        <v>7329.55114897815</v>
      </c>
      <c r="T58" s="8" t="n">
        <v>501.103825266566</v>
      </c>
      <c r="U58" s="8" t="n">
        <v>500.570812162397</v>
      </c>
      <c r="V58" s="8" t="n">
        <v>449.896084333416</v>
      </c>
      <c r="W58" s="8" t="n">
        <v>693.976456375356</v>
      </c>
      <c r="X58" s="8" t="n">
        <v>2028</v>
      </c>
      <c r="Y58" s="3" t="n">
        <v>33231.0709141401</v>
      </c>
      <c r="Z58" s="3" t="n">
        <v>2271.92858257107</v>
      </c>
      <c r="AA58" s="3" t="n">
        <v>2039.76046808296</v>
      </c>
      <c r="AB58" s="3" t="n">
        <v>3146.38377791636</v>
      </c>
      <c r="AC58" s="3" t="n">
        <v>2269.51198216775</v>
      </c>
      <c r="AJ58" s="7" t="n">
        <v>2028</v>
      </c>
      <c r="AK58" s="6" t="n">
        <v>8194.51834574351</v>
      </c>
      <c r="AL58" s="7" t="n">
        <v>493.229037250125</v>
      </c>
      <c r="AM58" s="7" t="n">
        <v>496.991373058947</v>
      </c>
      <c r="AN58" s="7" t="n">
        <v>442.704918178239</v>
      </c>
      <c r="AO58" s="7" t="n">
        <v>702.039780594673</v>
      </c>
      <c r="AP58" s="7" t="n">
        <v>2028</v>
      </c>
      <c r="AQ58" s="2" t="n">
        <v>37152.7007206422</v>
      </c>
      <c r="AR58" s="2" t="n">
        <v>2236.22549056869</v>
      </c>
      <c r="AS58" s="2" t="n">
        <v>2007.15681369802</v>
      </c>
      <c r="AT58" s="2" t="n">
        <v>3182.94166440757</v>
      </c>
      <c r="AU58" s="2" t="n">
        <v>2253.28334930035</v>
      </c>
    </row>
    <row r="59" customFormat="false" ht="15" hidden="false" customHeight="false" outlineLevel="0" collapsed="false">
      <c r="A59" s="6" t="n">
        <v>6832.32838907614</v>
      </c>
      <c r="B59" s="7" t="n">
        <v>499.762744003365</v>
      </c>
      <c r="C59" s="7" t="n">
        <v>500.56469572291</v>
      </c>
      <c r="D59" s="7" t="n">
        <v>443.783187351371</v>
      </c>
      <c r="E59" s="7" t="n">
        <v>667.813801857277</v>
      </c>
      <c r="F59" s="7" t="n">
        <v>2028</v>
      </c>
      <c r="G59" s="4" t="n">
        <v>30976.738492061</v>
      </c>
      <c r="H59" s="7" t="n">
        <v>2265.84832395043</v>
      </c>
      <c r="I59" s="7" t="n">
        <v>2012.04552224627</v>
      </c>
      <c r="J59" s="2" t="n">
        <v>3027.76627871061</v>
      </c>
      <c r="K59" s="7" t="n">
        <v>2269.48425116073</v>
      </c>
      <c r="R59" s="8" t="n">
        <v>2028</v>
      </c>
      <c r="S59" s="9" t="n">
        <v>7374.2664048459</v>
      </c>
      <c r="T59" s="8" t="n">
        <v>498.611061322638</v>
      </c>
      <c r="U59" s="8" t="n">
        <v>496.609612487112</v>
      </c>
      <c r="V59" s="8" t="n">
        <v>450.454979685094</v>
      </c>
      <c r="W59" s="8" t="n">
        <v>656.032412693982</v>
      </c>
      <c r="X59" s="8" t="n">
        <v>2028</v>
      </c>
      <c r="Y59" s="3" t="n">
        <v>33433.803088114</v>
      </c>
      <c r="Z59" s="3" t="n">
        <v>2260.62676971662</v>
      </c>
      <c r="AA59" s="3" t="n">
        <v>2042.29441466273</v>
      </c>
      <c r="AB59" s="3" t="n">
        <v>2974.35125086036</v>
      </c>
      <c r="AC59" s="3" t="n">
        <v>2251.55250489023</v>
      </c>
      <c r="AJ59" s="7" t="n">
        <v>2028</v>
      </c>
      <c r="AK59" s="6" t="n">
        <v>8273.78721964999</v>
      </c>
      <c r="AL59" s="7" t="n">
        <v>492.765112870732</v>
      </c>
      <c r="AM59" s="7" t="n">
        <v>499.47261341743</v>
      </c>
      <c r="AN59" s="7" t="n">
        <v>455.065272447893</v>
      </c>
      <c r="AO59" s="7" t="n">
        <v>699.566561899377</v>
      </c>
      <c r="AP59" s="7" t="n">
        <v>2028</v>
      </c>
      <c r="AQ59" s="2" t="n">
        <v>37512.0937471084</v>
      </c>
      <c r="AR59" s="2" t="n">
        <v>2234.12212794292</v>
      </c>
      <c r="AS59" s="2" t="n">
        <v>2063.19678134543</v>
      </c>
      <c r="AT59" s="2" t="n">
        <v>3171.72846673979</v>
      </c>
      <c r="AU59" s="2" t="n">
        <v>2264.53291596983</v>
      </c>
    </row>
    <row r="60" customFormat="false" ht="15" hidden="false" customHeight="false" outlineLevel="0" collapsed="false">
      <c r="A60" s="6" t="n">
        <v>6811.34558230078</v>
      </c>
      <c r="B60" s="7" t="n">
        <v>624.723670584093</v>
      </c>
      <c r="C60" s="7" t="n">
        <v>619.328180015727</v>
      </c>
      <c r="D60" s="7" t="n">
        <v>562.621916913671</v>
      </c>
      <c r="E60" s="7" t="n">
        <v>793.8350149795</v>
      </c>
      <c r="F60" s="7" t="n">
        <v>2029</v>
      </c>
      <c r="G60" s="4" t="n">
        <v>30881.6056352521</v>
      </c>
      <c r="H60" s="7" t="n">
        <v>2832.40217265094</v>
      </c>
      <c r="I60" s="7" t="n">
        <v>2550.84226015862</v>
      </c>
      <c r="J60" s="2" t="n">
        <v>3599.12730544066</v>
      </c>
      <c r="K60" s="7" t="n">
        <v>2807.93983845753</v>
      </c>
      <c r="R60" s="8" t="n">
        <v>2029</v>
      </c>
      <c r="S60" s="9" t="n">
        <v>7432.44980643767</v>
      </c>
      <c r="T60" s="8" t="n">
        <v>624.133209038672</v>
      </c>
      <c r="U60" s="8" t="n">
        <v>622.693102551693</v>
      </c>
      <c r="V60" s="8" t="n">
        <v>573.82174519158</v>
      </c>
      <c r="W60" s="8" t="n">
        <v>788.504565009564</v>
      </c>
      <c r="X60" s="8" t="n">
        <v>2029</v>
      </c>
      <c r="Y60" s="3" t="n">
        <v>33697.5977878196</v>
      </c>
      <c r="Z60" s="3" t="n">
        <v>2829.72510974638</v>
      </c>
      <c r="AA60" s="3" t="n">
        <v>2601.62057934414</v>
      </c>
      <c r="AB60" s="3" t="n">
        <v>3574.95985543522</v>
      </c>
      <c r="AC60" s="3" t="n">
        <v>2823.19588581166</v>
      </c>
      <c r="AJ60" s="7" t="n">
        <v>2029</v>
      </c>
      <c r="AK60" s="6" t="n">
        <v>8306.59869676766</v>
      </c>
      <c r="AL60" s="7" t="n">
        <v>617.857497817189</v>
      </c>
      <c r="AM60" s="7" t="n">
        <v>620.192015419756</v>
      </c>
      <c r="AN60" s="7" t="n">
        <v>572.919882345041</v>
      </c>
      <c r="AO60" s="7" t="n">
        <v>822.52286607729</v>
      </c>
      <c r="AP60" s="7" t="n">
        <v>2029</v>
      </c>
      <c r="AQ60" s="2" t="n">
        <v>37660.8559974472</v>
      </c>
      <c r="AR60" s="2" t="n">
        <v>2801.2719888937</v>
      </c>
      <c r="AS60" s="2" t="n">
        <v>2597.53167026921</v>
      </c>
      <c r="AT60" s="2" t="n">
        <v>3729.19366214217</v>
      </c>
      <c r="AU60" s="2" t="n">
        <v>2811.85633688779</v>
      </c>
    </row>
    <row r="61" customFormat="false" ht="15" hidden="false" customHeight="false" outlineLevel="0" collapsed="false">
      <c r="A61" s="6" t="n">
        <v>6815.8246062015</v>
      </c>
      <c r="B61" s="7" t="n">
        <v>501.620969939122</v>
      </c>
      <c r="C61" s="7" t="n">
        <v>503.775781501706</v>
      </c>
      <c r="D61" s="7" t="n">
        <v>454.998546766204</v>
      </c>
      <c r="E61" s="7" t="n">
        <v>656.861972984067</v>
      </c>
      <c r="F61" s="7" t="n">
        <v>2029</v>
      </c>
      <c r="G61" s="4" t="n">
        <v>30901.9128488652</v>
      </c>
      <c r="H61" s="7" t="n">
        <v>2274.27323791726</v>
      </c>
      <c r="I61" s="7" t="n">
        <v>2062.89425724608</v>
      </c>
      <c r="J61" s="2" t="n">
        <v>2978.11235113335</v>
      </c>
      <c r="K61" s="7" t="n">
        <v>2284.04282603901</v>
      </c>
      <c r="R61" s="8" t="n">
        <v>2029</v>
      </c>
      <c r="S61" s="9" t="n">
        <v>7450.32391875337</v>
      </c>
      <c r="T61" s="8" t="n">
        <v>496.825835989516</v>
      </c>
      <c r="U61" s="8" t="n">
        <v>503.49589614548</v>
      </c>
      <c r="V61" s="8" t="n">
        <v>451.492218013026</v>
      </c>
      <c r="W61" s="8" t="n">
        <v>706.336492617014</v>
      </c>
      <c r="X61" s="8" t="n">
        <v>2029</v>
      </c>
      <c r="Y61" s="3" t="n">
        <v>33778.6362964291</v>
      </c>
      <c r="Z61" s="3" t="n">
        <v>2252.53282938701</v>
      </c>
      <c r="AA61" s="3" t="n">
        <v>2046.997095595</v>
      </c>
      <c r="AB61" s="3" t="n">
        <v>3202.42230367317</v>
      </c>
      <c r="AC61" s="3" t="n">
        <v>2282.77386837277</v>
      </c>
      <c r="AJ61" s="7" t="n">
        <v>2029</v>
      </c>
      <c r="AK61" s="6" t="n">
        <v>8353.7789644786</v>
      </c>
      <c r="AL61" s="7" t="n">
        <v>489.123923074473</v>
      </c>
      <c r="AM61" s="7" t="n">
        <v>496.346478634762</v>
      </c>
      <c r="AN61" s="7" t="n">
        <v>455.367803290271</v>
      </c>
      <c r="AO61" s="7" t="n">
        <v>684.411909193226</v>
      </c>
      <c r="AP61" s="7" t="n">
        <v>2029</v>
      </c>
      <c r="AQ61" s="2" t="n">
        <v>37874.7641604687</v>
      </c>
      <c r="AR61" s="2" t="n">
        <v>2217.61352681962</v>
      </c>
      <c r="AS61" s="2" t="n">
        <v>2064.56841020406</v>
      </c>
      <c r="AT61" s="2" t="n">
        <v>3103.0195746779</v>
      </c>
      <c r="AU61" s="2" t="n">
        <v>2250.35949599656</v>
      </c>
    </row>
    <row r="62" customFormat="false" ht="15" hidden="false" customHeight="false" outlineLevel="0" collapsed="false">
      <c r="A62" s="6" t="n">
        <v>6825.53751255676</v>
      </c>
      <c r="B62" s="7" t="n">
        <v>498.551424618957</v>
      </c>
      <c r="C62" s="7" t="n">
        <v>498.373436959775</v>
      </c>
      <c r="D62" s="7" t="n">
        <v>446.124142690703</v>
      </c>
      <c r="E62" s="7" t="n">
        <v>677.226220842777</v>
      </c>
      <c r="F62" s="7" t="n">
        <v>2029</v>
      </c>
      <c r="G62" s="4" t="n">
        <v>30945.949690046</v>
      </c>
      <c r="H62" s="7" t="n">
        <v>2260.35638596613</v>
      </c>
      <c r="I62" s="7" t="n">
        <v>2022.6590579604</v>
      </c>
      <c r="J62" s="2" t="n">
        <v>3070.44075582704</v>
      </c>
      <c r="K62" s="7" t="n">
        <v>2259.54941697118</v>
      </c>
      <c r="R62" s="8" t="n">
        <v>2029</v>
      </c>
      <c r="S62" s="9" t="n">
        <v>7499.18751456074</v>
      </c>
      <c r="T62" s="8" t="n">
        <v>502.222264196327</v>
      </c>
      <c r="U62" s="8" t="n">
        <v>497.667152132632</v>
      </c>
      <c r="V62" s="8" t="n">
        <v>445.699714852834</v>
      </c>
      <c r="W62" s="8" t="n">
        <v>686.846671410014</v>
      </c>
      <c r="X62" s="8" t="n">
        <v>2029</v>
      </c>
      <c r="Y62" s="3" t="n">
        <v>34000.1764131962</v>
      </c>
      <c r="Z62" s="3" t="n">
        <v>2276.99941469061</v>
      </c>
      <c r="AA62" s="3" t="n">
        <v>2020.73476665095</v>
      </c>
      <c r="AB62" s="3" t="n">
        <v>3114.058416517</v>
      </c>
      <c r="AC62" s="3" t="n">
        <v>2256.34722891091</v>
      </c>
      <c r="AJ62" s="7" t="n">
        <v>2029</v>
      </c>
      <c r="AK62" s="6" t="n">
        <v>8423.27361917664</v>
      </c>
      <c r="AL62" s="7" t="n">
        <v>485.577113779168</v>
      </c>
      <c r="AM62" s="7" t="n">
        <v>492.386507059884</v>
      </c>
      <c r="AN62" s="7" t="n">
        <v>444.968013752085</v>
      </c>
      <c r="AO62" s="7" t="n">
        <v>683.419081036168</v>
      </c>
      <c r="AP62" s="7" t="n">
        <v>2029</v>
      </c>
      <c r="AQ62" s="2" t="n">
        <v>38189.8423625966</v>
      </c>
      <c r="AR62" s="2" t="n">
        <v>2201.53283254304</v>
      </c>
      <c r="AS62" s="2" t="n">
        <v>2017.41734506909</v>
      </c>
      <c r="AT62" s="2" t="n">
        <v>3098.51824271061</v>
      </c>
      <c r="AU62" s="2" t="n">
        <v>2232.40558673964</v>
      </c>
    </row>
    <row r="63" customFormat="false" ht="15" hidden="false" customHeight="false" outlineLevel="0" collapsed="false">
      <c r="A63" s="6" t="n">
        <v>6863.42860162839</v>
      </c>
      <c r="B63" s="7" t="n">
        <v>497.373738722217</v>
      </c>
      <c r="C63" s="7" t="n">
        <v>499.115941615345</v>
      </c>
      <c r="D63" s="7" t="n">
        <v>446.393752316639</v>
      </c>
      <c r="E63" s="7" t="n">
        <v>656.668932655088</v>
      </c>
      <c r="F63" s="7" t="n">
        <v>2029</v>
      </c>
      <c r="G63" s="4" t="n">
        <v>31117.7421289499</v>
      </c>
      <c r="H63" s="7" t="n">
        <v>2255.01693710307</v>
      </c>
      <c r="I63" s="7" t="n">
        <v>2023.88142702728</v>
      </c>
      <c r="J63" s="2" t="n">
        <v>2977.23713562135</v>
      </c>
      <c r="K63" s="7" t="n">
        <v>2262.91582022859</v>
      </c>
      <c r="R63" s="8" t="n">
        <v>2029</v>
      </c>
      <c r="S63" s="9" t="n">
        <v>7550.59928983838</v>
      </c>
      <c r="T63" s="8" t="n">
        <v>492.481024447669</v>
      </c>
      <c r="U63" s="8" t="n">
        <v>497.644835112608</v>
      </c>
      <c r="V63" s="8" t="n">
        <v>445.778080621924</v>
      </c>
      <c r="W63" s="8" t="n">
        <v>683.899322716473</v>
      </c>
      <c r="X63" s="8" t="n">
        <v>2029</v>
      </c>
      <c r="Y63" s="3" t="n">
        <v>34233.2695883917</v>
      </c>
      <c r="Z63" s="3" t="n">
        <v>2232.83411421045</v>
      </c>
      <c r="AA63" s="3" t="n">
        <v>2021.09006513743</v>
      </c>
      <c r="AB63" s="3" t="n">
        <v>3100.6955854987</v>
      </c>
      <c r="AC63" s="3" t="n">
        <v>2256.24604693402</v>
      </c>
      <c r="AJ63" s="7" t="n">
        <v>2029</v>
      </c>
      <c r="AK63" s="6" t="n">
        <v>8476.00583735639</v>
      </c>
      <c r="AL63" s="7" t="n">
        <v>488.913526163543</v>
      </c>
      <c r="AM63" s="7" t="n">
        <v>494.328402508837</v>
      </c>
      <c r="AN63" s="7" t="n">
        <v>448.896037973077</v>
      </c>
      <c r="AO63" s="7" t="n">
        <v>693.765865392995</v>
      </c>
      <c r="AP63" s="7" t="n">
        <v>2029</v>
      </c>
      <c r="AQ63" s="2" t="n">
        <v>38428.9222252203</v>
      </c>
      <c r="AR63" s="2" t="n">
        <v>2216.65961920302</v>
      </c>
      <c r="AS63" s="2" t="n">
        <v>2035.22640987907</v>
      </c>
      <c r="AT63" s="2" t="n">
        <v>3145.4289904094</v>
      </c>
      <c r="AU63" s="2" t="n">
        <v>2241.20984556263</v>
      </c>
    </row>
    <row r="64" customFormat="false" ht="15" hidden="false" customHeight="false" outlineLevel="0" collapsed="false">
      <c r="A64" s="6" t="n">
        <v>6894.53768803128</v>
      </c>
      <c r="B64" s="7" t="n">
        <v>632.574046575515</v>
      </c>
      <c r="C64" s="7" t="n">
        <v>624.82550935966</v>
      </c>
      <c r="D64" s="7" t="n">
        <v>576.130592153577</v>
      </c>
      <c r="E64" s="7" t="n">
        <v>780.764692746391</v>
      </c>
      <c r="F64" s="7" t="n">
        <v>2030</v>
      </c>
      <c r="G64" s="4" t="n">
        <v>31258.7859985288</v>
      </c>
      <c r="H64" s="7" t="n">
        <v>2867.99458424219</v>
      </c>
      <c r="I64" s="7" t="n">
        <v>2612.08854055547</v>
      </c>
      <c r="J64" s="2" t="n">
        <v>3539.86845095273</v>
      </c>
      <c r="K64" s="7" t="n">
        <v>2832.8638941812</v>
      </c>
      <c r="R64" s="8" t="n">
        <v>2030</v>
      </c>
      <c r="S64" s="9" t="n">
        <v>7617.30976267224</v>
      </c>
      <c r="T64" s="8" t="n">
        <v>618.711921119181</v>
      </c>
      <c r="U64" s="8" t="n">
        <v>621.591363384681</v>
      </c>
      <c r="V64" s="8" t="n">
        <v>563.303831572841</v>
      </c>
      <c r="W64" s="8" t="n">
        <v>833.255516916486</v>
      </c>
      <c r="X64" s="8" t="n">
        <v>2030</v>
      </c>
      <c r="Y64" s="3" t="n">
        <v>34535.7247331063</v>
      </c>
      <c r="Z64" s="3" t="n">
        <v>2805.14581428384</v>
      </c>
      <c r="AA64" s="3" t="n">
        <v>2553.93395758124</v>
      </c>
      <c r="AB64" s="3" t="n">
        <v>3777.85386982538</v>
      </c>
      <c r="AC64" s="3" t="n">
        <v>2818.20076787828</v>
      </c>
      <c r="AJ64" s="7" t="n">
        <v>2030</v>
      </c>
      <c r="AK64" s="6" t="n">
        <v>8550.6833652185</v>
      </c>
      <c r="AL64" s="7" t="n">
        <v>620.945985089001</v>
      </c>
      <c r="AM64" s="7" t="n">
        <v>621.618080972537</v>
      </c>
      <c r="AN64" s="7" t="n">
        <v>575.702764868361</v>
      </c>
      <c r="AO64" s="7" t="n">
        <v>817.229951208221</v>
      </c>
      <c r="AP64" s="7" t="n">
        <v>2030</v>
      </c>
      <c r="AQ64" s="2" t="n">
        <v>38767.4987865455</v>
      </c>
      <c r="AR64" s="2" t="n">
        <v>2815.27472077468</v>
      </c>
      <c r="AS64" s="2" t="n">
        <v>2610.14883666842</v>
      </c>
      <c r="AT64" s="2" t="n">
        <v>3705.19639057922</v>
      </c>
      <c r="AU64" s="2" t="n">
        <v>2818.3219013609</v>
      </c>
    </row>
    <row r="65" customFormat="false" ht="15" hidden="false" customHeight="false" outlineLevel="0" collapsed="false">
      <c r="A65" s="6" t="n">
        <v>6901.69906931936</v>
      </c>
      <c r="B65" s="7" t="n">
        <v>505.425570767535</v>
      </c>
      <c r="C65" s="7" t="n">
        <v>504.70307179383</v>
      </c>
      <c r="D65" s="7" t="n">
        <v>456.848405498794</v>
      </c>
      <c r="E65" s="7" t="n">
        <v>661.117755360471</v>
      </c>
      <c r="F65" s="7" t="n">
        <v>2030</v>
      </c>
      <c r="G65" s="4" t="n">
        <v>31291.2546128532</v>
      </c>
      <c r="H65" s="7" t="n">
        <v>2291.52271982402</v>
      </c>
      <c r="I65" s="7" t="n">
        <v>2071.28123558545</v>
      </c>
      <c r="J65" s="2" t="n">
        <v>2997.40742160505</v>
      </c>
      <c r="K65" s="7" t="n">
        <v>2288.24701928758</v>
      </c>
      <c r="R65" s="8" t="n">
        <v>2030</v>
      </c>
      <c r="S65" s="9" t="n">
        <v>7618.80198577028</v>
      </c>
      <c r="T65" s="8" t="n">
        <v>505.988294306744</v>
      </c>
      <c r="U65" s="8" t="n">
        <v>501.034916677224</v>
      </c>
      <c r="V65" s="8" t="n">
        <v>448.662227625002</v>
      </c>
      <c r="W65" s="8" t="n">
        <v>685.805611489347</v>
      </c>
      <c r="X65" s="8" t="n">
        <v>2030</v>
      </c>
      <c r="Y65" s="3" t="n">
        <v>34542.4902458346</v>
      </c>
      <c r="Z65" s="3" t="n">
        <v>2294.07402282422</v>
      </c>
      <c r="AA65" s="3" t="n">
        <v>2034.166349297</v>
      </c>
      <c r="AB65" s="3" t="n">
        <v>3109.3384090641</v>
      </c>
      <c r="AC65" s="3" t="n">
        <v>2271.6161615002</v>
      </c>
      <c r="AJ65" s="7" t="n">
        <v>2030</v>
      </c>
      <c r="AK65" s="6" t="n">
        <v>8578.9802451737</v>
      </c>
      <c r="AL65" s="7" t="n">
        <v>501.222370593329</v>
      </c>
      <c r="AM65" s="7" t="n">
        <v>504.327790128362</v>
      </c>
      <c r="AN65" s="7" t="n">
        <v>461.447525647837</v>
      </c>
      <c r="AO65" s="7" t="n">
        <v>713.611209980374</v>
      </c>
      <c r="AP65" s="7" t="n">
        <v>2030</v>
      </c>
      <c r="AQ65" s="2" t="n">
        <v>38895.792539509</v>
      </c>
      <c r="AR65" s="2" t="n">
        <v>2272.46604906529</v>
      </c>
      <c r="AS65" s="2" t="n">
        <v>2092.13294733547</v>
      </c>
      <c r="AT65" s="2" t="n">
        <v>3235.40476653734</v>
      </c>
      <c r="AU65" s="2" t="n">
        <v>2286.54554925422</v>
      </c>
    </row>
    <row r="66" customFormat="false" ht="15" hidden="false" customHeight="false" outlineLevel="0" collapsed="false">
      <c r="A66" s="6" t="n">
        <v>6909.86609696262</v>
      </c>
      <c r="B66" s="7" t="n">
        <v>511.278971200809</v>
      </c>
      <c r="C66" s="7" t="n">
        <v>510.747620423414</v>
      </c>
      <c r="D66" s="7" t="n">
        <v>461.051285778097</v>
      </c>
      <c r="E66" s="7" t="n">
        <v>665.137555781551</v>
      </c>
      <c r="F66" s="7" t="n">
        <v>2030</v>
      </c>
      <c r="G66" s="4" t="n">
        <v>31328.282674907</v>
      </c>
      <c r="H66" s="7" t="n">
        <v>2318.06114774864</v>
      </c>
      <c r="I66" s="7" t="n">
        <v>2090.33645598932</v>
      </c>
      <c r="J66" s="2" t="n">
        <v>3015.63258575746</v>
      </c>
      <c r="K66" s="7" t="n">
        <v>2315.65208408226</v>
      </c>
      <c r="R66" s="8" t="n">
        <v>2030</v>
      </c>
      <c r="S66" s="9" t="n">
        <v>7643.23218302543</v>
      </c>
      <c r="T66" s="8" t="n">
        <v>507.443809502852</v>
      </c>
      <c r="U66" s="8" t="n">
        <v>496.572424059668</v>
      </c>
      <c r="V66" s="8" t="n">
        <v>445.493784082972</v>
      </c>
      <c r="W66" s="8" t="n">
        <v>665.756820953072</v>
      </c>
      <c r="X66" s="8" t="n">
        <v>2030</v>
      </c>
      <c r="Y66" s="3" t="n">
        <v>34653.2530471209</v>
      </c>
      <c r="Z66" s="3" t="n">
        <v>2300.67310750422</v>
      </c>
      <c r="AA66" s="3" t="n">
        <v>2019.80110783916</v>
      </c>
      <c r="AB66" s="3" t="n">
        <v>3018.44023992498</v>
      </c>
      <c r="AC66" s="3" t="n">
        <v>2251.38389821235</v>
      </c>
      <c r="AJ66" s="7" t="n">
        <v>2030</v>
      </c>
      <c r="AK66" s="6" t="n">
        <v>8607.17943316871</v>
      </c>
      <c r="AL66" s="7" t="n">
        <v>500.145372930918</v>
      </c>
      <c r="AM66" s="7" t="n">
        <v>498.79404856972</v>
      </c>
      <c r="AN66" s="7" t="n">
        <v>447.261270201117</v>
      </c>
      <c r="AO66" s="7" t="n">
        <v>713.722101082457</v>
      </c>
      <c r="AP66" s="7" t="n">
        <v>2030</v>
      </c>
      <c r="AQ66" s="2" t="n">
        <v>39023.6433719729</v>
      </c>
      <c r="AR66" s="2" t="n">
        <v>2267.58310535339</v>
      </c>
      <c r="AS66" s="2" t="n">
        <v>2027.8146212642</v>
      </c>
      <c r="AT66" s="2" t="n">
        <v>3235.90752994019</v>
      </c>
      <c r="AU66" s="2" t="n">
        <v>2261.45640608324</v>
      </c>
    </row>
    <row r="67" customFormat="false" ht="15" hidden="false" customHeight="false" outlineLevel="0" collapsed="false">
      <c r="A67" s="6" t="n">
        <v>6950.04932928271</v>
      </c>
      <c r="B67" s="7" t="n">
        <v>500.642396109227</v>
      </c>
      <c r="C67" s="7" t="n">
        <v>502.203785300706</v>
      </c>
      <c r="D67" s="7" t="n">
        <v>455.123749751204</v>
      </c>
      <c r="E67" s="7" t="n">
        <v>650.687685033114</v>
      </c>
      <c r="F67" s="7" t="n">
        <v>2030</v>
      </c>
      <c r="G67" s="4" t="n">
        <v>31510.4673429238</v>
      </c>
      <c r="H67" s="7" t="n">
        <v>2269.83653290286</v>
      </c>
      <c r="I67" s="7" t="n">
        <v>2063.46190855086</v>
      </c>
      <c r="J67" s="2" t="n">
        <v>2950.11906797426</v>
      </c>
      <c r="K67" s="7" t="n">
        <v>2276.91563418641</v>
      </c>
      <c r="R67" s="8" t="n">
        <v>2030</v>
      </c>
      <c r="S67" s="9" t="n">
        <v>7684.89852004179</v>
      </c>
      <c r="T67" s="8" t="n">
        <v>504.801182362747</v>
      </c>
      <c r="U67" s="8" t="n">
        <v>495.426225421406</v>
      </c>
      <c r="V67" s="8" t="n">
        <v>440.447040577902</v>
      </c>
      <c r="W67" s="8" t="n">
        <v>674.063649971813</v>
      </c>
      <c r="X67" s="8" t="n">
        <v>2030</v>
      </c>
      <c r="Y67" s="3" t="n">
        <v>34842.1618864181</v>
      </c>
      <c r="Z67" s="3" t="n">
        <v>2288.69183769553</v>
      </c>
      <c r="AA67" s="3" t="n">
        <v>1996.91993982578</v>
      </c>
      <c r="AB67" s="3" t="n">
        <v>3056.10214016724</v>
      </c>
      <c r="AC67" s="3" t="n">
        <v>2246.18720779358</v>
      </c>
      <c r="AJ67" s="7" t="n">
        <v>2030</v>
      </c>
      <c r="AK67" s="6" t="n">
        <v>8675.3156799829</v>
      </c>
      <c r="AL67" s="7" t="n">
        <v>501.797190040469</v>
      </c>
      <c r="AM67" s="7" t="n">
        <v>494.117830832543</v>
      </c>
      <c r="AN67" s="7" t="n">
        <v>442.429332893691</v>
      </c>
      <c r="AO67" s="7" t="n">
        <v>698.994251485551</v>
      </c>
      <c r="AP67" s="7" t="n">
        <v>2030</v>
      </c>
      <c r="AQ67" s="2" t="n">
        <v>39332.5627592155</v>
      </c>
      <c r="AR67" s="2" t="n">
        <v>2275.07219307363</v>
      </c>
      <c r="AS67" s="2" t="n">
        <v>2005.90735190322</v>
      </c>
      <c r="AT67" s="2" t="n">
        <v>3169.13369830716</v>
      </c>
      <c r="AU67" s="2" t="n">
        <v>2240.25514558644</v>
      </c>
    </row>
    <row r="68" customFormat="false" ht="15" hidden="false" customHeight="false" outlineLevel="0" collapsed="false">
      <c r="A68" s="6" t="n">
        <v>6991.14501554312</v>
      </c>
      <c r="B68" s="7" t="n">
        <v>628.113049098637</v>
      </c>
      <c r="C68" s="7" t="n">
        <v>622.800528963755</v>
      </c>
      <c r="D68" s="7" t="n">
        <v>569.250652949523</v>
      </c>
      <c r="E68" s="7" t="n">
        <v>802.045175141989</v>
      </c>
      <c r="F68" s="7" t="n">
        <v>2031</v>
      </c>
      <c r="G68" s="4" t="n">
        <v>31696.7889384249</v>
      </c>
      <c r="H68" s="7" t="n">
        <v>2847.76909969494</v>
      </c>
      <c r="I68" s="7" t="n">
        <v>2580.89594186452</v>
      </c>
      <c r="J68" s="2" t="n">
        <v>3636.35092378107</v>
      </c>
      <c r="K68" s="7" t="n">
        <v>2823.68294083654</v>
      </c>
      <c r="R68" s="8" t="n">
        <v>2031</v>
      </c>
      <c r="S68" s="9" t="n">
        <v>7699.34059782522</v>
      </c>
      <c r="T68" s="8" t="n">
        <v>623.087407902677</v>
      </c>
      <c r="U68" s="8" t="n">
        <v>619.128769640132</v>
      </c>
      <c r="V68" s="8" t="n">
        <v>563.500318670961</v>
      </c>
      <c r="W68" s="8" t="n">
        <v>801.642122540205</v>
      </c>
      <c r="X68" s="8" t="n">
        <v>2031</v>
      </c>
      <c r="Y68" s="3" t="n">
        <v>34907.6400720824</v>
      </c>
      <c r="Z68" s="3" t="n">
        <v>2824.98360634379</v>
      </c>
      <c r="AA68" s="3" t="n">
        <v>2554.82480022066</v>
      </c>
      <c r="AB68" s="3" t="n">
        <v>3634.52354454328</v>
      </c>
      <c r="AC68" s="3" t="n">
        <v>2807.03574212234</v>
      </c>
      <c r="AJ68" s="7" t="n">
        <v>2031</v>
      </c>
      <c r="AK68" s="6" t="n">
        <v>8702.3634226765</v>
      </c>
      <c r="AL68" s="7" t="n">
        <v>626.734979464917</v>
      </c>
      <c r="AM68" s="7" t="n">
        <v>620.984652381484</v>
      </c>
      <c r="AN68" s="7" t="n">
        <v>575.329733368999</v>
      </c>
      <c r="AO68" s="7" t="n">
        <v>835.130249078285</v>
      </c>
      <c r="AP68" s="7" t="n">
        <v>2031</v>
      </c>
      <c r="AQ68" s="2" t="n">
        <v>39455.1931136873</v>
      </c>
      <c r="AR68" s="2" t="n">
        <v>2841.52114142411</v>
      </c>
      <c r="AS68" s="2" t="n">
        <v>2608.45756854619</v>
      </c>
      <c r="AT68" s="2" t="n">
        <v>3786.35362051236</v>
      </c>
      <c r="AU68" s="2" t="n">
        <v>2815.45003240187</v>
      </c>
    </row>
    <row r="69" customFormat="false" ht="15" hidden="false" customHeight="false" outlineLevel="0" collapsed="false">
      <c r="A69" s="6" t="n">
        <v>6968.66797999024</v>
      </c>
      <c r="B69" s="7" t="n">
        <v>511.247212062824</v>
      </c>
      <c r="C69" s="7" t="n">
        <v>507.34466561072</v>
      </c>
      <c r="D69" s="7" t="n">
        <v>461.717323939419</v>
      </c>
      <c r="E69" s="7" t="n">
        <v>653.998524206785</v>
      </c>
      <c r="F69" s="7" t="n">
        <v>2031</v>
      </c>
      <c r="G69" s="4" t="n">
        <v>31594.8814754418</v>
      </c>
      <c r="H69" s="7" t="n">
        <v>2317.91715664399</v>
      </c>
      <c r="I69" s="7" t="n">
        <v>2093.35617178371</v>
      </c>
      <c r="J69" s="2" t="n">
        <v>2965.12990958369</v>
      </c>
      <c r="K69" s="7" t="n">
        <v>2300.22360416586</v>
      </c>
      <c r="R69" s="8" t="n">
        <v>2031</v>
      </c>
      <c r="S69" s="9" t="n">
        <v>7741.09717587669</v>
      </c>
      <c r="T69" s="8" t="n">
        <v>502.87624020335</v>
      </c>
      <c r="U69" s="8" t="n">
        <v>497.454693073661</v>
      </c>
      <c r="V69" s="8" t="n">
        <v>446.952970670849</v>
      </c>
      <c r="W69" s="8" t="n">
        <v>677.340921300894</v>
      </c>
      <c r="X69" s="8" t="n">
        <v>2031</v>
      </c>
      <c r="Y69" s="3" t="n">
        <v>35096.9580505174</v>
      </c>
      <c r="Z69" s="3" t="n">
        <v>2279.9644425107</v>
      </c>
      <c r="AA69" s="3" t="n">
        <v>2026.41683805143</v>
      </c>
      <c r="AB69" s="3" t="n">
        <v>3070.96079027118</v>
      </c>
      <c r="AC69" s="3" t="n">
        <v>2255.38397182852</v>
      </c>
      <c r="AJ69" s="7" t="n">
        <v>2031</v>
      </c>
      <c r="AK69" s="6" t="n">
        <v>8763.3871611406</v>
      </c>
      <c r="AL69" s="7" t="n">
        <v>504.918920441808</v>
      </c>
      <c r="AM69" s="7" t="n">
        <v>496.729923468017</v>
      </c>
      <c r="AN69" s="7" t="n">
        <v>447.638643443119</v>
      </c>
      <c r="AO69" s="7" t="n">
        <v>694.838046304015</v>
      </c>
      <c r="AP69" s="7" t="n">
        <v>2031</v>
      </c>
      <c r="AQ69" s="2" t="n">
        <v>39731.8654690783</v>
      </c>
      <c r="AR69" s="2" t="n">
        <v>2289.22564425136</v>
      </c>
      <c r="AS69" s="2" t="n">
        <v>2029.52557418767</v>
      </c>
      <c r="AT69" s="2" t="n">
        <v>3150.29009570257</v>
      </c>
      <c r="AU69" s="2" t="n">
        <v>2252.09797659197</v>
      </c>
    </row>
    <row r="70" customFormat="false" ht="15" hidden="false" customHeight="false" outlineLevel="0" collapsed="false">
      <c r="A70" s="6" t="n">
        <v>6995.38530122379</v>
      </c>
      <c r="B70" s="7" t="n">
        <v>508.546933813275</v>
      </c>
      <c r="C70" s="7" t="n">
        <v>498.832332579729</v>
      </c>
      <c r="D70" s="7" t="n">
        <v>450.153106472888</v>
      </c>
      <c r="E70" s="7" t="n">
        <v>644.258481043448</v>
      </c>
      <c r="F70" s="7" t="n">
        <v>2031</v>
      </c>
      <c r="G70" s="4" t="n">
        <v>31716.0137492335</v>
      </c>
      <c r="H70" s="7" t="n">
        <v>2305.6745054673</v>
      </c>
      <c r="I70" s="7" t="n">
        <v>2040.92576739935</v>
      </c>
      <c r="J70" s="2" t="n">
        <v>2920.97003423952</v>
      </c>
      <c r="K70" s="7" t="n">
        <v>2261.62997996595</v>
      </c>
      <c r="R70" s="8" t="n">
        <v>2031</v>
      </c>
      <c r="S70" s="9" t="n">
        <v>7795.85679897538</v>
      </c>
      <c r="T70" s="8" t="n">
        <v>512.352038771018</v>
      </c>
      <c r="U70" s="8" t="n">
        <v>495.50177604306</v>
      </c>
      <c r="V70" s="8" t="n">
        <v>442.7630486435</v>
      </c>
      <c r="W70" s="8" t="n">
        <v>682.618530433094</v>
      </c>
      <c r="X70" s="8" t="n">
        <v>2031</v>
      </c>
      <c r="Y70" s="3" t="n">
        <v>35345.2298589047</v>
      </c>
      <c r="Z70" s="3" t="n">
        <v>2322.92627301982</v>
      </c>
      <c r="AA70" s="3" t="n">
        <v>2007.42036839245</v>
      </c>
      <c r="AB70" s="3" t="n">
        <v>3094.88866794943</v>
      </c>
      <c r="AC70" s="3" t="n">
        <v>2246.52974282946</v>
      </c>
      <c r="AJ70" s="7" t="n">
        <v>2031</v>
      </c>
      <c r="AK70" s="6" t="n">
        <v>8833.61220922879</v>
      </c>
      <c r="AL70" s="7" t="n">
        <v>501.034290119209</v>
      </c>
      <c r="AM70" s="7" t="n">
        <v>491.641342610406</v>
      </c>
      <c r="AN70" s="7" t="n">
        <v>445.664594550081</v>
      </c>
      <c r="AO70" s="7" t="n">
        <v>695.114567786494</v>
      </c>
      <c r="AP70" s="7" t="n">
        <v>2031</v>
      </c>
      <c r="AQ70" s="2" t="n">
        <v>40050.2551638269</v>
      </c>
      <c r="AR70" s="2" t="n">
        <v>2271.61332078138</v>
      </c>
      <c r="AS70" s="2" t="n">
        <v>2020.57553653609</v>
      </c>
      <c r="AT70" s="2" t="n">
        <v>3151.5438020765</v>
      </c>
      <c r="AU70" s="2" t="n">
        <v>2229.02712438089</v>
      </c>
    </row>
    <row r="71" customFormat="false" ht="15" hidden="false" customHeight="false" outlineLevel="0" collapsed="false">
      <c r="A71" s="6" t="n">
        <v>7011.37337997734</v>
      </c>
      <c r="B71" s="7" t="n">
        <v>515.441834256872</v>
      </c>
      <c r="C71" s="7" t="n">
        <v>503.488979242174</v>
      </c>
      <c r="D71" s="7" t="n">
        <v>454.815864457054</v>
      </c>
      <c r="E71" s="7" t="n">
        <v>674.882647401473</v>
      </c>
      <c r="F71" s="7" t="n">
        <v>2031</v>
      </c>
      <c r="G71" s="4" t="n">
        <v>31788.5012683245</v>
      </c>
      <c r="H71" s="7" t="n">
        <v>2336.93493614442</v>
      </c>
      <c r="I71" s="7" t="n">
        <v>2062.0660034217</v>
      </c>
      <c r="J71" s="2" t="n">
        <v>3059.81535003649</v>
      </c>
      <c r="K71" s="7" t="n">
        <v>2282.74250818446</v>
      </c>
      <c r="R71" s="8" t="n">
        <v>2031</v>
      </c>
      <c r="S71" s="9" t="n">
        <v>7781.65197726684</v>
      </c>
      <c r="T71" s="8" t="n">
        <v>505.393467256805</v>
      </c>
      <c r="U71" s="8" t="n">
        <v>492.544034100411</v>
      </c>
      <c r="V71" s="8" t="n">
        <v>441.43248640371</v>
      </c>
      <c r="W71" s="8" t="n">
        <v>694.257468570602</v>
      </c>
      <c r="X71" s="8" t="n">
        <v>2031</v>
      </c>
      <c r="Y71" s="3" t="n">
        <v>35280.8273562242</v>
      </c>
      <c r="Z71" s="3" t="n">
        <v>2291.37716738568</v>
      </c>
      <c r="AA71" s="3" t="n">
        <v>2001.38780142519</v>
      </c>
      <c r="AB71" s="3" t="n">
        <v>3147.65784449945</v>
      </c>
      <c r="AC71" s="3" t="n">
        <v>2233.11979039935</v>
      </c>
      <c r="AJ71" s="7" t="n">
        <v>2031</v>
      </c>
      <c r="AK71" s="6" t="n">
        <v>8909.74732577768</v>
      </c>
      <c r="AL71" s="7" t="n">
        <v>497.18919022252</v>
      </c>
      <c r="AM71" s="7" t="n">
        <v>487.450048973586</v>
      </c>
      <c r="AN71" s="7" t="n">
        <v>436.633658394749</v>
      </c>
      <c r="AO71" s="7" t="n">
        <v>722.170285424749</v>
      </c>
      <c r="AP71" s="7" t="n">
        <v>2031</v>
      </c>
      <c r="AQ71" s="2" t="n">
        <v>40395.4402107237</v>
      </c>
      <c r="AR71" s="2" t="n">
        <v>2254.18022225438</v>
      </c>
      <c r="AS71" s="2" t="n">
        <v>1979.63064459127</v>
      </c>
      <c r="AT71" s="2" t="n">
        <v>3274.21031373529</v>
      </c>
      <c r="AU71" s="2" t="n">
        <v>2210.02443605303</v>
      </c>
    </row>
    <row r="72" customFormat="false" ht="15" hidden="false" customHeight="false" outlineLevel="0" collapsed="false">
      <c r="A72" s="6" t="n">
        <v>7045.92764469828</v>
      </c>
      <c r="B72" s="7" t="n">
        <v>620.387680985646</v>
      </c>
      <c r="C72" s="7" t="n">
        <v>619.06524941434</v>
      </c>
      <c r="D72" s="7" t="n">
        <v>569.945745663031</v>
      </c>
      <c r="E72" s="7" t="n">
        <v>791.583411912729</v>
      </c>
      <c r="F72" s="7" t="n">
        <v>2032</v>
      </c>
      <c r="G72" s="4" t="n">
        <v>31945.1650527757</v>
      </c>
      <c r="H72" s="7" t="n">
        <v>2812.74345482494</v>
      </c>
      <c r="I72" s="7" t="n">
        <v>2584.04738658262</v>
      </c>
      <c r="J72" s="2" t="n">
        <v>3588.91887934996</v>
      </c>
      <c r="K72" s="7" t="n">
        <v>2806.74775107284</v>
      </c>
      <c r="R72" s="8" t="n">
        <v>2032</v>
      </c>
      <c r="S72" s="9" t="n">
        <v>7820.57820467412</v>
      </c>
      <c r="T72" s="8" t="n">
        <v>617.820369928439</v>
      </c>
      <c r="U72" s="8" t="n">
        <v>612.199190309518</v>
      </c>
      <c r="V72" s="8" t="n">
        <v>557.51090035274</v>
      </c>
      <c r="W72" s="8" t="n">
        <v>806.375480778353</v>
      </c>
      <c r="X72" s="8" t="n">
        <v>2032</v>
      </c>
      <c r="Y72" s="3" t="n">
        <v>35457.3129550144</v>
      </c>
      <c r="Z72" s="3" t="n">
        <v>2801.10365668906</v>
      </c>
      <c r="AA72" s="3" t="n">
        <v>2527.66968787862</v>
      </c>
      <c r="AB72" s="3" t="n">
        <v>3655.98387138687</v>
      </c>
      <c r="AC72" s="3" t="n">
        <v>2775.61808264221</v>
      </c>
      <c r="AJ72" s="7" t="n">
        <v>2032</v>
      </c>
      <c r="AK72" s="6" t="n">
        <v>8933.79987993332</v>
      </c>
      <c r="AL72" s="7" t="n">
        <v>622.42996759514</v>
      </c>
      <c r="AM72" s="7" t="n">
        <v>615.233084577403</v>
      </c>
      <c r="AN72" s="7" t="n">
        <v>566.380773397663</v>
      </c>
      <c r="AO72" s="7" t="n">
        <v>835.880964318703</v>
      </c>
      <c r="AP72" s="7" t="n">
        <v>2032</v>
      </c>
      <c r="AQ72" s="2" t="n">
        <v>40504.4908355936</v>
      </c>
      <c r="AR72" s="2" t="n">
        <v>2822.0028719117</v>
      </c>
      <c r="AS72" s="2" t="n">
        <v>2567.88434416031</v>
      </c>
      <c r="AT72" s="2" t="n">
        <v>3789.75724931358</v>
      </c>
      <c r="AU72" s="2" t="n">
        <v>2789.37329814079</v>
      </c>
    </row>
    <row r="73" customFormat="false" ht="15" hidden="false" customHeight="false" outlineLevel="0" collapsed="false">
      <c r="A73" s="6" t="n">
        <v>7054.02632651</v>
      </c>
      <c r="B73" s="7" t="n">
        <v>513.309091460857</v>
      </c>
      <c r="C73" s="7" t="n">
        <v>501.778603132094</v>
      </c>
      <c r="D73" s="7" t="n">
        <v>448.907718869937</v>
      </c>
      <c r="E73" s="7" t="n">
        <v>690.175463605748</v>
      </c>
      <c r="F73" s="7" t="n">
        <v>2032</v>
      </c>
      <c r="G73" s="4" t="n">
        <v>31981.8832452169</v>
      </c>
      <c r="H73" s="7" t="n">
        <v>2327.26540445613</v>
      </c>
      <c r="I73" s="7" t="n">
        <v>2035.27936929009</v>
      </c>
      <c r="J73" s="2" t="n">
        <v>3129.15065439984</v>
      </c>
      <c r="K73" s="7" t="n">
        <v>2274.98792285602</v>
      </c>
      <c r="R73" s="8" t="n">
        <v>2032</v>
      </c>
      <c r="S73" s="9" t="n">
        <v>7864.75262804612</v>
      </c>
      <c r="T73" s="8" t="n">
        <v>501.979233947493</v>
      </c>
      <c r="U73" s="8" t="n">
        <v>491.875880141426</v>
      </c>
      <c r="V73" s="8" t="n">
        <v>439.082100725877</v>
      </c>
      <c r="W73" s="8" t="n">
        <v>670.099932218111</v>
      </c>
      <c r="X73" s="8" t="n">
        <v>2032</v>
      </c>
      <c r="Y73" s="3" t="n">
        <v>35657.593076652</v>
      </c>
      <c r="Z73" s="3" t="n">
        <v>2275.8975524798</v>
      </c>
      <c r="AA73" s="3" t="n">
        <v>1990.73150998959</v>
      </c>
      <c r="AB73" s="3" t="n">
        <v>3038.1312463049</v>
      </c>
      <c r="AC73" s="3" t="n">
        <v>2230.09048189992</v>
      </c>
      <c r="AJ73" s="7" t="n">
        <v>2032</v>
      </c>
      <c r="AK73" s="6" t="n">
        <v>9004.06818768506</v>
      </c>
      <c r="AL73" s="7" t="n">
        <v>488.997189007827</v>
      </c>
      <c r="AM73" s="7" t="n">
        <v>475.17933805239</v>
      </c>
      <c r="AN73" s="7" t="n">
        <v>420.760763712424</v>
      </c>
      <c r="AO73" s="7" t="n">
        <v>737.413684526856</v>
      </c>
      <c r="AP73" s="7" t="n">
        <v>2032</v>
      </c>
      <c r="AQ73" s="2" t="n">
        <v>40823.0766630819</v>
      </c>
      <c r="AR73" s="2" t="n">
        <v>2217.03893382335</v>
      </c>
      <c r="AS73" s="2" t="n">
        <v>1907.66535257274</v>
      </c>
      <c r="AT73" s="2" t="n">
        <v>3343.32156846816</v>
      </c>
      <c r="AU73" s="2" t="n">
        <v>2154.39089772292</v>
      </c>
    </row>
    <row r="74" customFormat="false" ht="15" hidden="false" customHeight="false" outlineLevel="0" collapsed="false">
      <c r="A74" s="6" t="n">
        <v>7026.45870990461</v>
      </c>
      <c r="B74" s="7" t="n">
        <v>522.220787351766</v>
      </c>
      <c r="C74" s="7" t="n">
        <v>507.779426028994</v>
      </c>
      <c r="D74" s="7" t="n">
        <v>454.045161705357</v>
      </c>
      <c r="E74" s="7" t="n">
        <v>695.995833202837</v>
      </c>
      <c r="F74" s="7" t="n">
        <v>2032</v>
      </c>
      <c r="G74" s="4" t="n">
        <v>31856.8958614431</v>
      </c>
      <c r="H74" s="7" t="n">
        <v>2367.66967916501</v>
      </c>
      <c r="I74" s="7" t="n">
        <v>2058.57175428218</v>
      </c>
      <c r="J74" s="2" t="n">
        <v>3155.53932553346</v>
      </c>
      <c r="K74" s="7" t="n">
        <v>2302.19474182445</v>
      </c>
      <c r="R74" s="8" t="n">
        <v>2032</v>
      </c>
      <c r="S74" s="9" t="n">
        <v>7930.1043655964</v>
      </c>
      <c r="T74" s="8" t="n">
        <v>502.073087769559</v>
      </c>
      <c r="U74" s="8" t="n">
        <v>489.695639543607</v>
      </c>
      <c r="V74" s="8" t="n">
        <v>436.316295519586</v>
      </c>
      <c r="W74" s="8" t="n">
        <v>690.898438588935</v>
      </c>
      <c r="X74" s="8" t="n">
        <v>2032</v>
      </c>
      <c r="Y74" s="3" t="n">
        <v>35953.8879221008</v>
      </c>
      <c r="Z74" s="3" t="n">
        <v>2276.3230714445</v>
      </c>
      <c r="AA74" s="3" t="n">
        <v>1978.19176955026</v>
      </c>
      <c r="AB74" s="3" t="n">
        <v>3132.42851309093</v>
      </c>
      <c r="AC74" s="3" t="n">
        <v>2220.20560239729</v>
      </c>
      <c r="AJ74" s="7" t="n">
        <v>2032</v>
      </c>
      <c r="AK74" s="6" t="n">
        <v>9075.91548603843</v>
      </c>
      <c r="AL74" s="7" t="n">
        <v>514.191206543643</v>
      </c>
      <c r="AM74" s="7" t="n">
        <v>491.778783131112</v>
      </c>
      <c r="AN74" s="7" t="n">
        <v>439.07463048377</v>
      </c>
      <c r="AO74" s="7" t="n">
        <v>728.016053092788</v>
      </c>
      <c r="AP74" s="7" t="n">
        <v>2032</v>
      </c>
      <c r="AQ74" s="2" t="n">
        <v>41148.8213939721</v>
      </c>
      <c r="AR74" s="2" t="n">
        <v>2331.2647801716</v>
      </c>
      <c r="AS74" s="2" t="n">
        <v>1990.69764104726</v>
      </c>
      <c r="AT74" s="2" t="n">
        <v>3300.71413586242</v>
      </c>
      <c r="AU74" s="2" t="n">
        <v>2229.65025881262</v>
      </c>
    </row>
    <row r="75" customFormat="false" ht="15" hidden="false" customHeight="false" outlineLevel="0" collapsed="false">
      <c r="A75" s="6" t="n">
        <v>7070.5955171249</v>
      </c>
      <c r="B75" s="7" t="n">
        <v>521.060046325829</v>
      </c>
      <c r="C75" s="7" t="n">
        <v>513.682171967812</v>
      </c>
      <c r="D75" s="7" t="n">
        <v>458.937410272672</v>
      </c>
      <c r="E75" s="7" t="n">
        <v>683.295089869619</v>
      </c>
      <c r="F75" s="7" t="n">
        <v>2032</v>
      </c>
      <c r="G75" s="4" t="n">
        <v>32057.0054371659</v>
      </c>
      <c r="H75" s="7" t="n">
        <v>2362.40705577077</v>
      </c>
      <c r="I75" s="7" t="n">
        <v>2080.75246572898</v>
      </c>
      <c r="J75" s="2" t="n">
        <v>3097.95608560651</v>
      </c>
      <c r="K75" s="7" t="n">
        <v>2328.95689477134</v>
      </c>
      <c r="R75" s="8" t="n">
        <v>2032</v>
      </c>
      <c r="S75" s="9" t="n">
        <v>7957.69736174791</v>
      </c>
      <c r="T75" s="8" t="n">
        <v>497.41402478204</v>
      </c>
      <c r="U75" s="8" t="n">
        <v>481.133442979339</v>
      </c>
      <c r="V75" s="8" t="n">
        <v>421.502502662574</v>
      </c>
      <c r="W75" s="8" t="n">
        <v>662.437832077108</v>
      </c>
      <c r="X75" s="8" t="n">
        <v>2032</v>
      </c>
      <c r="Y75" s="3" t="n">
        <v>36078.9903728794</v>
      </c>
      <c r="Z75" s="3" t="n">
        <v>2255.19958797535</v>
      </c>
      <c r="AA75" s="3" t="n">
        <v>1911.02828423816</v>
      </c>
      <c r="AB75" s="3" t="n">
        <v>3003.39244880399</v>
      </c>
      <c r="AC75" s="3" t="n">
        <v>2181.38590451611</v>
      </c>
      <c r="AJ75" s="7" t="n">
        <v>2032</v>
      </c>
      <c r="AK75" s="6" t="n">
        <v>9147.57274631093</v>
      </c>
      <c r="AL75" s="7" t="n">
        <v>509.475152269905</v>
      </c>
      <c r="AM75" s="7" t="n">
        <v>491.765733523205</v>
      </c>
      <c r="AN75" s="7" t="n">
        <v>442.161640777063</v>
      </c>
      <c r="AO75" s="7" t="n">
        <v>718.426834578342</v>
      </c>
      <c r="AP75" s="7" t="n">
        <v>2032</v>
      </c>
      <c r="AQ75" s="2" t="n">
        <v>41473.704521087</v>
      </c>
      <c r="AR75" s="2" t="n">
        <v>2309.88290687266</v>
      </c>
      <c r="AS75" s="2" t="n">
        <v>2004.6936765321</v>
      </c>
      <c r="AT75" s="2" t="n">
        <v>3257.23807655295</v>
      </c>
      <c r="AU75" s="2" t="n">
        <v>2229.59109387374</v>
      </c>
    </row>
    <row r="76" customFormat="false" ht="15" hidden="false" customHeight="false" outlineLevel="0" collapsed="false">
      <c r="A76" s="6" t="n">
        <v>7085.75601201101</v>
      </c>
      <c r="B76" s="7" t="n">
        <v>631.191482714778</v>
      </c>
      <c r="C76" s="7" t="n">
        <v>630.561546671342</v>
      </c>
      <c r="D76" s="7" t="n">
        <v>577.115811175922</v>
      </c>
      <c r="E76" s="7" t="n">
        <v>805.22758317836</v>
      </c>
      <c r="F76" s="7" t="n">
        <v>2033</v>
      </c>
      <c r="G76" s="4" t="n">
        <v>32125.7408167838</v>
      </c>
      <c r="H76" s="7" t="n">
        <v>2861.72624982913</v>
      </c>
      <c r="I76" s="7" t="n">
        <v>2616.55537386246</v>
      </c>
      <c r="J76" s="2" t="n">
        <v>3650.77947813384</v>
      </c>
      <c r="K76" s="7" t="n">
        <v>2858.87021555018</v>
      </c>
      <c r="R76" s="8" t="n">
        <v>2033</v>
      </c>
      <c r="S76" s="9" t="n">
        <v>8002.74921517536</v>
      </c>
      <c r="T76" s="8" t="n">
        <v>625.480078134746</v>
      </c>
      <c r="U76" s="8" t="n">
        <v>606.612535413818</v>
      </c>
      <c r="V76" s="8" t="n">
        <v>545.890832728375</v>
      </c>
      <c r="W76" s="8" t="n">
        <v>823.748423798475</v>
      </c>
      <c r="X76" s="8" t="n">
        <v>2033</v>
      </c>
      <c r="Y76" s="3" t="n">
        <v>36283.2486290306</v>
      </c>
      <c r="Z76" s="3" t="n">
        <v>2835.8316095216</v>
      </c>
      <c r="AA76" s="3" t="n">
        <v>2474.98606736712</v>
      </c>
      <c r="AB76" s="3" t="n">
        <v>3734.75015458137</v>
      </c>
      <c r="AC76" s="3" t="n">
        <v>2750.28903844314</v>
      </c>
      <c r="AJ76" s="7" t="n">
        <v>2033</v>
      </c>
      <c r="AK76" s="6" t="n">
        <v>9211.8206101459</v>
      </c>
      <c r="AL76" s="7" t="n">
        <v>619.73623631714</v>
      </c>
      <c r="AM76" s="7" t="n">
        <v>613.034298266341</v>
      </c>
      <c r="AN76" s="7" t="n">
        <v>560.757991180862</v>
      </c>
      <c r="AO76" s="7" t="n">
        <v>854.50372680161</v>
      </c>
      <c r="AP76" s="7" t="n">
        <v>2033</v>
      </c>
      <c r="AQ76" s="2" t="n">
        <v>41764.9945708849</v>
      </c>
      <c r="AR76" s="2" t="n">
        <v>2809.78990370895</v>
      </c>
      <c r="AS76" s="2" t="n">
        <v>2542.39150417825</v>
      </c>
      <c r="AT76" s="2" t="n">
        <v>3874.19002399623</v>
      </c>
      <c r="AU76" s="2" t="n">
        <v>2779.40433519302</v>
      </c>
    </row>
    <row r="77" customFormat="false" ht="15" hidden="false" customHeight="false" outlineLevel="0" collapsed="false">
      <c r="A77" s="6" t="n">
        <v>7096.32311773222</v>
      </c>
      <c r="B77" s="7" t="n">
        <v>527.014893493631</v>
      </c>
      <c r="C77" s="7" t="n">
        <v>517.358411367</v>
      </c>
      <c r="D77" s="7" t="n">
        <v>464.951787086828</v>
      </c>
      <c r="E77" s="7" t="n">
        <v>675.944487940855</v>
      </c>
      <c r="F77" s="7" t="n">
        <v>2033</v>
      </c>
      <c r="G77" s="4" t="n">
        <v>32173.6504680628</v>
      </c>
      <c r="H77" s="7" t="n">
        <v>2389.40542777117</v>
      </c>
      <c r="I77" s="7" t="n">
        <v>2108.02073609823</v>
      </c>
      <c r="J77" s="2" t="n">
        <v>3064.62957365626</v>
      </c>
      <c r="K77" s="7" t="n">
        <v>2345.62440546724</v>
      </c>
      <c r="R77" s="8" t="n">
        <v>2033</v>
      </c>
      <c r="S77" s="9" t="n">
        <v>8008.58966416074</v>
      </c>
      <c r="T77" s="8" t="n">
        <v>498.974277117967</v>
      </c>
      <c r="U77" s="8" t="n">
        <v>484.642882723666</v>
      </c>
      <c r="V77" s="8" t="n">
        <v>422.67564377797</v>
      </c>
      <c r="W77" s="8" t="n">
        <v>693.698459882911</v>
      </c>
      <c r="X77" s="8" t="n">
        <v>2033</v>
      </c>
      <c r="Y77" s="3" t="n">
        <v>36309.7283370589</v>
      </c>
      <c r="Z77" s="3" t="n">
        <v>2262.27353492862</v>
      </c>
      <c r="AA77" s="3" t="n">
        <v>1916.34712775335</v>
      </c>
      <c r="AB77" s="3" t="n">
        <v>3145.12338407143</v>
      </c>
      <c r="AC77" s="3" t="n">
        <v>2197.29717092823</v>
      </c>
      <c r="AJ77" s="7" t="n">
        <v>2033</v>
      </c>
      <c r="AK77" s="6" t="n">
        <v>9207.49290726771</v>
      </c>
      <c r="AL77" s="7" t="n">
        <v>511.043313358344</v>
      </c>
      <c r="AM77" s="7" t="n">
        <v>485.026868058767</v>
      </c>
      <c r="AN77" s="7" t="n">
        <v>429.184016207458</v>
      </c>
      <c r="AO77" s="7" t="n">
        <v>761.540402944524</v>
      </c>
      <c r="AP77" s="7" t="n">
        <v>2033</v>
      </c>
      <c r="AQ77" s="2" t="n">
        <v>41745.3734237891</v>
      </c>
      <c r="AR77" s="2" t="n">
        <v>2316.9927109078</v>
      </c>
      <c r="AS77" s="2" t="n">
        <v>1945.85509916168</v>
      </c>
      <c r="AT77" s="2" t="n">
        <v>3452.70844283015</v>
      </c>
      <c r="AU77" s="2" t="n">
        <v>2199.03810207686</v>
      </c>
    </row>
    <row r="78" customFormat="false" ht="15" hidden="false" customHeight="false" outlineLevel="0" collapsed="false">
      <c r="A78" s="6" t="n">
        <v>7100.63896411311</v>
      </c>
      <c r="B78" s="7" t="n">
        <v>513.837965737728</v>
      </c>
      <c r="C78" s="7" t="n">
        <v>508.758634623699</v>
      </c>
      <c r="D78" s="7" t="n">
        <v>455.059000348928</v>
      </c>
      <c r="E78" s="7" t="n">
        <v>708.744223357418</v>
      </c>
      <c r="F78" s="7" t="n">
        <v>2033</v>
      </c>
      <c r="G78" s="4" t="n">
        <v>32193.2178596019</v>
      </c>
      <c r="H78" s="7" t="n">
        <v>2329.66324004554</v>
      </c>
      <c r="I78" s="7" t="n">
        <v>2063.168344602</v>
      </c>
      <c r="J78" s="2" t="n">
        <v>3213.33858890678</v>
      </c>
      <c r="K78" s="7" t="n">
        <v>2306.63432476602</v>
      </c>
      <c r="R78" s="8" t="n">
        <v>2033</v>
      </c>
      <c r="S78" s="9" t="n">
        <v>8050.36815030225</v>
      </c>
      <c r="T78" s="8" t="n">
        <v>508.980455600189</v>
      </c>
      <c r="U78" s="8" t="n">
        <v>490.997841174782</v>
      </c>
      <c r="V78" s="8" t="n">
        <v>432.909814694563</v>
      </c>
      <c r="W78" s="8" t="n">
        <v>714.71368243767</v>
      </c>
      <c r="X78" s="8" t="n">
        <v>2033</v>
      </c>
      <c r="Y78" s="3" t="n">
        <v>36499.1456434444</v>
      </c>
      <c r="Z78" s="3" t="n">
        <v>2307.64002735956</v>
      </c>
      <c r="AA78" s="3" t="n">
        <v>1962.74730322987</v>
      </c>
      <c r="AB78" s="3" t="n">
        <v>3240.40320909741</v>
      </c>
      <c r="AC78" s="3" t="n">
        <v>2226.10958667552</v>
      </c>
      <c r="AJ78" s="7" t="n">
        <v>2033</v>
      </c>
      <c r="AK78" s="6" t="n">
        <v>9312.56044611669</v>
      </c>
      <c r="AL78" s="7" t="n">
        <v>495.933054225422</v>
      </c>
      <c r="AM78" s="7" t="n">
        <v>482.094039186514</v>
      </c>
      <c r="AN78" s="7" t="n">
        <v>429.697911372526</v>
      </c>
      <c r="AO78" s="7" t="n">
        <v>720.44488210609</v>
      </c>
      <c r="AP78" s="7" t="n">
        <v>2033</v>
      </c>
      <c r="AQ78" s="2" t="n">
        <v>42221.733676047</v>
      </c>
      <c r="AR78" s="2" t="n">
        <v>2248.48509255968</v>
      </c>
      <c r="AS78" s="2" t="n">
        <v>1948.1850217348</v>
      </c>
      <c r="AT78" s="2" t="n">
        <v>3266.38759732709</v>
      </c>
      <c r="AU78" s="2" t="n">
        <v>2185.74110172146</v>
      </c>
    </row>
    <row r="79" customFormat="false" ht="15" hidden="false" customHeight="false" outlineLevel="0" collapsed="false">
      <c r="A79" s="6" t="n">
        <v>7073.06153221581</v>
      </c>
      <c r="B79" s="7" t="n">
        <v>519.35378413707</v>
      </c>
      <c r="C79" s="7" t="n">
        <v>510.89260090833</v>
      </c>
      <c r="D79" s="7" t="n">
        <v>459.977036369487</v>
      </c>
      <c r="E79" s="7" t="n">
        <v>692.472038635712</v>
      </c>
      <c r="F79" s="7" t="n">
        <v>2033</v>
      </c>
      <c r="G79" s="4" t="n">
        <v>32068.1859747863</v>
      </c>
      <c r="H79" s="7" t="n">
        <v>2354.67112233634</v>
      </c>
      <c r="I79" s="7" t="n">
        <v>2085.46597244245</v>
      </c>
      <c r="J79" s="2" t="n">
        <v>3139.56297653652</v>
      </c>
      <c r="K79" s="7" t="n">
        <v>2316.30940356574</v>
      </c>
      <c r="R79" s="8" t="n">
        <v>2033</v>
      </c>
      <c r="S79" s="9" t="n">
        <v>8099.60513433822</v>
      </c>
      <c r="T79" s="8" t="n">
        <v>504.730308147462</v>
      </c>
      <c r="U79" s="8" t="n">
        <v>492.204363572524</v>
      </c>
      <c r="V79" s="8" t="n">
        <v>435.902024811569</v>
      </c>
      <c r="W79" s="8" t="n">
        <v>703.344134926068</v>
      </c>
      <c r="X79" s="8" t="n">
        <v>2033</v>
      </c>
      <c r="Y79" s="3" t="n">
        <v>36722.3786456898</v>
      </c>
      <c r="Z79" s="3" t="n">
        <v>2288.37050477538</v>
      </c>
      <c r="AA79" s="3" t="n">
        <v>1976.31352912381</v>
      </c>
      <c r="AB79" s="3" t="n">
        <v>3188.85540870142</v>
      </c>
      <c r="AC79" s="3" t="n">
        <v>2231.57977585136</v>
      </c>
      <c r="AJ79" s="7" t="n">
        <v>2033</v>
      </c>
      <c r="AK79" s="6" t="n">
        <v>9368.47667027354</v>
      </c>
      <c r="AL79" s="7" t="n">
        <v>517.769245624749</v>
      </c>
      <c r="AM79" s="7" t="n">
        <v>489.748980026094</v>
      </c>
      <c r="AN79" s="7" t="n">
        <v>437.977048008361</v>
      </c>
      <c r="AO79" s="7" t="n">
        <v>739.756192163248</v>
      </c>
      <c r="AP79" s="7" t="n">
        <v>2033</v>
      </c>
      <c r="AQ79" s="2" t="n">
        <v>42475.2493378439</v>
      </c>
      <c r="AR79" s="2" t="n">
        <v>2347.48706555048</v>
      </c>
      <c r="AS79" s="2" t="n">
        <v>1985.72136892185</v>
      </c>
      <c r="AT79" s="2" t="n">
        <v>3353.94214206123</v>
      </c>
      <c r="AU79" s="2" t="n">
        <v>2220.44744003783</v>
      </c>
    </row>
    <row r="80" customFormat="false" ht="15" hidden="false" customHeight="false" outlineLevel="0" collapsed="false">
      <c r="A80" s="6" t="n">
        <v>7064.60830117689</v>
      </c>
      <c r="B80" s="7" t="n">
        <v>614.557359950822</v>
      </c>
      <c r="C80" s="7" t="n">
        <v>628.320282798704</v>
      </c>
      <c r="D80" s="7" t="n">
        <v>579.761646228061</v>
      </c>
      <c r="E80" s="7" t="n">
        <v>814.194063728095</v>
      </c>
      <c r="F80" s="7" t="n">
        <v>2034</v>
      </c>
      <c r="G80" s="4" t="n">
        <v>32029.8603100357</v>
      </c>
      <c r="H80" s="7" t="n">
        <v>2786.30966538513</v>
      </c>
      <c r="I80" s="7" t="n">
        <v>2628.55118785675</v>
      </c>
      <c r="J80" s="2" t="n">
        <v>3691.43213815928</v>
      </c>
      <c r="K80" s="7" t="n">
        <v>2848.70866579425</v>
      </c>
      <c r="R80" s="8" t="n">
        <v>2034</v>
      </c>
      <c r="S80" s="9" t="n">
        <v>8099.95494674384</v>
      </c>
      <c r="T80" s="8" t="n">
        <v>623.245331275912</v>
      </c>
      <c r="U80" s="8" t="n">
        <v>610.709613113021</v>
      </c>
      <c r="V80" s="8" t="n">
        <v>553.19729687629</v>
      </c>
      <c r="W80" s="8" t="n">
        <v>841.232324314288</v>
      </c>
      <c r="X80" s="8" t="n">
        <v>2034</v>
      </c>
      <c r="Y80" s="3" t="n">
        <v>36723.96464197</v>
      </c>
      <c r="Z80" s="3" t="n">
        <v>2825.69960691577</v>
      </c>
      <c r="AA80" s="3" t="n">
        <v>2508.11246532736</v>
      </c>
      <c r="AB80" s="3" t="n">
        <v>3814.01950219726</v>
      </c>
      <c r="AC80" s="3" t="n">
        <v>2768.86456602942</v>
      </c>
      <c r="AJ80" s="7" t="n">
        <v>2034</v>
      </c>
      <c r="AK80" s="6" t="n">
        <v>9451.95743454532</v>
      </c>
      <c r="AL80" s="7" t="n">
        <v>622.802999309478</v>
      </c>
      <c r="AM80" s="7" t="n">
        <v>617.444422564942</v>
      </c>
      <c r="AN80" s="7" t="n">
        <v>576.052145379417</v>
      </c>
      <c r="AO80" s="7" t="n">
        <v>860.709813252446</v>
      </c>
      <c r="AP80" s="7" t="n">
        <v>2034</v>
      </c>
      <c r="AQ80" s="2" t="n">
        <v>42853.7384350745</v>
      </c>
      <c r="AR80" s="2" t="n">
        <v>2823.69414100859</v>
      </c>
      <c r="AS80" s="2" t="n">
        <v>2611.73287480431</v>
      </c>
      <c r="AT80" s="2" t="n">
        <v>3902.32747672085</v>
      </c>
      <c r="AU80" s="2" t="n">
        <v>2799.39916848202</v>
      </c>
    </row>
    <row r="81" customFormat="false" ht="15" hidden="false" customHeight="false" outlineLevel="0" collapsed="false">
      <c r="A81" s="6" t="n">
        <v>7099.18897579475</v>
      </c>
      <c r="B81" s="7" t="n">
        <v>512.746884168085</v>
      </c>
      <c r="C81" s="7" t="n">
        <v>508.186765829117</v>
      </c>
      <c r="D81" s="7" t="n">
        <v>461.024034806068</v>
      </c>
      <c r="E81" s="7" t="n">
        <v>680.285194760299</v>
      </c>
      <c r="F81" s="7" t="n">
        <v>2034</v>
      </c>
      <c r="G81" s="4" t="n">
        <v>32186.6438329456</v>
      </c>
      <c r="H81" s="7" t="n">
        <v>2324.71644203882</v>
      </c>
      <c r="I81" s="7" t="n">
        <v>2090.21290422393</v>
      </c>
      <c r="J81" s="2" t="n">
        <v>3084.3096786453</v>
      </c>
      <c r="K81" s="7" t="n">
        <v>2304.04155856792</v>
      </c>
      <c r="R81" s="8" t="n">
        <v>2034</v>
      </c>
      <c r="S81" s="9" t="n">
        <v>8175.24388111227</v>
      </c>
      <c r="T81" s="8" t="n">
        <v>512.982929728564</v>
      </c>
      <c r="U81" s="8" t="n">
        <v>488.973757203856</v>
      </c>
      <c r="V81" s="8" t="n">
        <v>441.284235472954</v>
      </c>
      <c r="W81" s="8" t="n">
        <v>685.74830732051</v>
      </c>
      <c r="X81" s="8" t="n">
        <v>2034</v>
      </c>
      <c r="Y81" s="3" t="n">
        <v>37065.3132274692</v>
      </c>
      <c r="Z81" s="3" t="n">
        <v>2325.78663673421</v>
      </c>
      <c r="AA81" s="3" t="n">
        <v>2000.71565423733</v>
      </c>
      <c r="AB81" s="3" t="n">
        <v>3109.07860067208</v>
      </c>
      <c r="AC81" s="3" t="n">
        <v>2216.93269758547</v>
      </c>
      <c r="AJ81" s="7" t="n">
        <v>2034</v>
      </c>
      <c r="AK81" s="6" t="n">
        <v>9501.11478366626</v>
      </c>
      <c r="AL81" s="7" t="n">
        <v>502.863388157321</v>
      </c>
      <c r="AM81" s="7" t="n">
        <v>487.542035430265</v>
      </c>
      <c r="AN81" s="7" t="n">
        <v>441.463031029887</v>
      </c>
      <c r="AO81" s="7" t="n">
        <v>723.566800270433</v>
      </c>
      <c r="AP81" s="7" t="n">
        <v>2034</v>
      </c>
      <c r="AQ81" s="2" t="n">
        <v>43076.6103847186</v>
      </c>
      <c r="AR81" s="2" t="n">
        <v>2279.90617328735</v>
      </c>
      <c r="AS81" s="2" t="n">
        <v>2001.5262861179</v>
      </c>
      <c r="AT81" s="2" t="n">
        <v>3280.54189979374</v>
      </c>
      <c r="AU81" s="2" t="n">
        <v>2210.44148866688</v>
      </c>
    </row>
    <row r="82" customFormat="false" ht="15" hidden="false" customHeight="false" outlineLevel="0" collapsed="false">
      <c r="A82" s="6" t="n">
        <v>7102.33159948881</v>
      </c>
      <c r="B82" s="7" t="n">
        <v>523.776496387019</v>
      </c>
      <c r="C82" s="7" t="n">
        <v>513.581098684422</v>
      </c>
      <c r="D82" s="7" t="n">
        <v>463.016170757574</v>
      </c>
      <c r="E82" s="7" t="n">
        <v>704.392361872355</v>
      </c>
      <c r="F82" s="7" t="n">
        <v>2034</v>
      </c>
      <c r="G82" s="4" t="n">
        <v>32200.892011137</v>
      </c>
      <c r="H82" s="7" t="n">
        <v>2374.72302748354</v>
      </c>
      <c r="I82" s="7" t="n">
        <v>2099.2449458496</v>
      </c>
      <c r="J82" s="2" t="n">
        <v>3193.60791035918</v>
      </c>
      <c r="K82" s="7" t="n">
        <v>2328.49864386626</v>
      </c>
      <c r="R82" s="8" t="n">
        <v>2034</v>
      </c>
      <c r="S82" s="9" t="n">
        <v>8150.44363879745</v>
      </c>
      <c r="T82" s="8" t="n">
        <v>513.702669279747</v>
      </c>
      <c r="U82" s="8" t="n">
        <v>499.246014028344</v>
      </c>
      <c r="V82" s="8" t="n">
        <v>450.405869520343</v>
      </c>
      <c r="W82" s="8" t="n">
        <v>711.24544451137</v>
      </c>
      <c r="X82" s="8" t="n">
        <v>2034</v>
      </c>
      <c r="Y82" s="3" t="n">
        <v>36952.8726981243</v>
      </c>
      <c r="Z82" s="3" t="n">
        <v>2329.04982646833</v>
      </c>
      <c r="AA82" s="3" t="n">
        <v>2042.07175663985</v>
      </c>
      <c r="AB82" s="3" t="n">
        <v>3224.67874546609</v>
      </c>
      <c r="AC82" s="3" t="n">
        <v>2263.50554877984</v>
      </c>
      <c r="AJ82" s="7" t="n">
        <v>2034</v>
      </c>
      <c r="AK82" s="6" t="n">
        <v>9522.00467216262</v>
      </c>
      <c r="AL82" s="7" t="n">
        <v>512.865303492382</v>
      </c>
      <c r="AM82" s="7" t="n">
        <v>493.260196284563</v>
      </c>
      <c r="AN82" s="7" t="n">
        <v>451.264119169519</v>
      </c>
      <c r="AO82" s="7" t="n">
        <v>704.487199172196</v>
      </c>
      <c r="AP82" s="7" t="n">
        <v>2034</v>
      </c>
      <c r="AQ82" s="2" t="n">
        <v>43171.3219641729</v>
      </c>
      <c r="AR82" s="2" t="n">
        <v>2325.253337257</v>
      </c>
      <c r="AS82" s="2" t="n">
        <v>2045.96293010656</v>
      </c>
      <c r="AT82" s="2" t="n">
        <v>3194.03788826264</v>
      </c>
      <c r="AU82" s="2" t="n">
        <v>2236.36676089506</v>
      </c>
    </row>
    <row r="83" customFormat="false" ht="15" hidden="false" customHeight="false" outlineLevel="0" collapsed="false">
      <c r="A83" s="6" t="n">
        <v>7119.28054038669</v>
      </c>
      <c r="B83" s="7" t="n">
        <v>511.313543981741</v>
      </c>
      <c r="C83" s="7" t="n">
        <v>510.645966885213</v>
      </c>
      <c r="D83" s="7" t="n">
        <v>464.267408492676</v>
      </c>
      <c r="E83" s="7" t="n">
        <v>687.577262032199</v>
      </c>
      <c r="F83" s="7" t="n">
        <v>2034</v>
      </c>
      <c r="G83" s="4" t="n">
        <v>32277.735933152</v>
      </c>
      <c r="H83" s="7" t="n">
        <v>2318.21789548278</v>
      </c>
      <c r="I83" s="7" t="n">
        <v>2104.91786756888</v>
      </c>
      <c r="J83" s="2" t="n">
        <v>3117.37080335782</v>
      </c>
      <c r="K83" s="7" t="n">
        <v>2315.19120239006</v>
      </c>
      <c r="R83" s="8" t="n">
        <v>2034</v>
      </c>
      <c r="S83" s="9" t="n">
        <v>8208.68221335193</v>
      </c>
      <c r="T83" s="8" t="n">
        <v>494.257824595537</v>
      </c>
      <c r="U83" s="8" t="n">
        <v>486.17095810564</v>
      </c>
      <c r="V83" s="8" t="n">
        <v>436.800451146068</v>
      </c>
      <c r="W83" s="8" t="n">
        <v>674.224622497814</v>
      </c>
      <c r="X83" s="8" t="n">
        <v>2034</v>
      </c>
      <c r="Y83" s="3" t="n">
        <v>37216.9175436573</v>
      </c>
      <c r="Z83" s="3" t="n">
        <v>2240.88985603065</v>
      </c>
      <c r="AA83" s="3" t="n">
        <v>1980.38685757545</v>
      </c>
      <c r="AB83" s="3" t="n">
        <v>3056.83196513443</v>
      </c>
      <c r="AC83" s="3" t="n">
        <v>2204.22523246275</v>
      </c>
      <c r="AJ83" s="7" t="n">
        <v>2034</v>
      </c>
      <c r="AK83" s="6" t="n">
        <v>9543.41358378998</v>
      </c>
      <c r="AL83" s="7" t="n">
        <v>509.195529296403</v>
      </c>
      <c r="AM83" s="7" t="n">
        <v>494.693385315457</v>
      </c>
      <c r="AN83" s="7" t="n">
        <v>446.158793050678</v>
      </c>
      <c r="AO83" s="7" t="n">
        <v>727.554371391172</v>
      </c>
      <c r="AP83" s="7" t="n">
        <v>2034</v>
      </c>
      <c r="AQ83" s="2" t="n">
        <v>43268.3867156185</v>
      </c>
      <c r="AR83" s="2" t="n">
        <v>2308.61513880982</v>
      </c>
      <c r="AS83" s="2" t="n">
        <v>2022.81615742613</v>
      </c>
      <c r="AT83" s="2" t="n">
        <v>3298.62094119683</v>
      </c>
      <c r="AU83" s="2" t="n">
        <v>2242.86462213526</v>
      </c>
    </row>
    <row r="84" customFormat="false" ht="15" hidden="false" customHeight="false" outlineLevel="0" collapsed="false">
      <c r="A84" s="6" t="n">
        <v>7133.76820640827</v>
      </c>
      <c r="B84" s="7" t="n">
        <v>621.515638022793</v>
      </c>
      <c r="C84" s="7" t="n">
        <v>624.828737662793</v>
      </c>
      <c r="D84" s="7" t="n">
        <v>574.933020855296</v>
      </c>
      <c r="E84" s="7" t="n">
        <v>824.971411073646</v>
      </c>
      <c r="F84" s="7" t="n">
        <v>2035</v>
      </c>
      <c r="G84" s="4" t="n">
        <v>32343.4208089592</v>
      </c>
      <c r="H84" s="7" t="n">
        <v>2817.85744059674</v>
      </c>
      <c r="I84" s="7" t="n">
        <v>2606.65893430415</v>
      </c>
      <c r="J84" s="2" t="n">
        <v>3740.29499300903</v>
      </c>
      <c r="K84" s="7" t="n">
        <v>2832.87853081695</v>
      </c>
      <c r="R84" s="8" t="n">
        <v>2035</v>
      </c>
      <c r="S84" s="9" t="n">
        <v>8233.86155983004</v>
      </c>
      <c r="T84" s="8" t="n">
        <v>627.14834171338</v>
      </c>
      <c r="U84" s="8" t="n">
        <v>615.677178057356</v>
      </c>
      <c r="V84" s="8" t="n">
        <v>568.320883053109</v>
      </c>
      <c r="W84" s="8" t="n">
        <v>781.608660466944</v>
      </c>
      <c r="X84" s="8" t="n">
        <v>2035</v>
      </c>
      <c r="Y84" s="3" t="n">
        <v>37331.0768736597</v>
      </c>
      <c r="Z84" s="3" t="n">
        <v>2843.39526303302</v>
      </c>
      <c r="AA84" s="3" t="n">
        <v>2576.68050646697</v>
      </c>
      <c r="AB84" s="3" t="n">
        <v>3543.69487232573</v>
      </c>
      <c r="AC84" s="3" t="n">
        <v>2791.38675048253</v>
      </c>
      <c r="AJ84" s="7" t="n">
        <v>2035</v>
      </c>
      <c r="AK84" s="6" t="n">
        <v>9614.13861620629</v>
      </c>
      <c r="AL84" s="7" t="n">
        <v>624.405684958018</v>
      </c>
      <c r="AM84" s="7" t="n">
        <v>622.398335912955</v>
      </c>
      <c r="AN84" s="7" t="n">
        <v>576.304485938081</v>
      </c>
      <c r="AO84" s="7" t="n">
        <v>862.384294614191</v>
      </c>
      <c r="AP84" s="7" t="n">
        <v>2035</v>
      </c>
      <c r="AQ84" s="2" t="n">
        <v>43589.0432633198</v>
      </c>
      <c r="AR84" s="2" t="n">
        <v>2830.96047415194</v>
      </c>
      <c r="AS84" s="2" t="n">
        <v>2612.87694854485</v>
      </c>
      <c r="AT84" s="2" t="n">
        <v>3909.91932071587</v>
      </c>
      <c r="AU84" s="2" t="n">
        <v>2821.85945867227</v>
      </c>
    </row>
    <row r="85" customFormat="false" ht="15" hidden="false" customHeight="false" outlineLevel="0" collapsed="false">
      <c r="A85" s="6" t="n">
        <v>7187.07432314152</v>
      </c>
      <c r="B85" s="7" t="n">
        <v>507.546418005537</v>
      </c>
      <c r="C85" s="7" t="n">
        <v>506.672587649497</v>
      </c>
      <c r="D85" s="7" t="n">
        <v>461.954601675862</v>
      </c>
      <c r="E85" s="7" t="n">
        <v>675.312117387044</v>
      </c>
      <c r="F85" s="7" t="n">
        <v>2035</v>
      </c>
      <c r="G85" s="4" t="n">
        <v>32585.1026403995</v>
      </c>
      <c r="H85" s="7" t="n">
        <v>2301.13831886025</v>
      </c>
      <c r="I85" s="7" t="n">
        <v>2094.43195297765</v>
      </c>
      <c r="J85" s="2" t="n">
        <v>3061.76250167728</v>
      </c>
      <c r="K85" s="7" t="n">
        <v>2297.17650483668</v>
      </c>
      <c r="R85" s="8" t="n">
        <v>2035</v>
      </c>
      <c r="S85" s="9" t="n">
        <v>8289.1881109033</v>
      </c>
      <c r="T85" s="8" t="n">
        <v>506.175925776668</v>
      </c>
      <c r="U85" s="8" t="n">
        <v>492.404320487161</v>
      </c>
      <c r="V85" s="8" t="n">
        <v>442.4718656548</v>
      </c>
      <c r="W85" s="8" t="n">
        <v>682.519280675894</v>
      </c>
      <c r="X85" s="8" t="n">
        <v>2035</v>
      </c>
      <c r="Y85" s="3" t="n">
        <v>37581.9190473181</v>
      </c>
      <c r="Z85" s="3" t="n">
        <v>2294.92471539134</v>
      </c>
      <c r="AA85" s="3" t="n">
        <v>2006.10018897766</v>
      </c>
      <c r="AB85" s="3" t="n">
        <v>3094.43868463495</v>
      </c>
      <c r="AC85" s="3" t="n">
        <v>2232.4863501115</v>
      </c>
      <c r="AJ85" s="7" t="n">
        <v>2035</v>
      </c>
      <c r="AK85" s="6" t="n">
        <v>9652.41091135938</v>
      </c>
      <c r="AL85" s="7" t="n">
        <v>500.962024084201</v>
      </c>
      <c r="AM85" s="7" t="n">
        <v>484.178408957504</v>
      </c>
      <c r="AN85" s="7" t="n">
        <v>444.89808726972</v>
      </c>
      <c r="AO85" s="7" t="n">
        <v>708.463815841053</v>
      </c>
      <c r="AP85" s="7" t="n">
        <v>2035</v>
      </c>
      <c r="AQ85" s="2" t="n">
        <v>43762.5640326586</v>
      </c>
      <c r="AR85" s="2" t="n">
        <v>2271.28567756214</v>
      </c>
      <c r="AS85" s="2" t="n">
        <v>2017.10030902595</v>
      </c>
      <c r="AT85" s="2" t="n">
        <v>3212.06726384583</v>
      </c>
      <c r="AU85" s="2" t="n">
        <v>2195.19131746635</v>
      </c>
    </row>
    <row r="86" customFormat="false" ht="15" hidden="false" customHeight="false" outlineLevel="0" collapsed="false">
      <c r="A86" s="6" t="n">
        <v>7179.16768215726</v>
      </c>
      <c r="B86" s="7" t="n">
        <v>512.676672130262</v>
      </c>
      <c r="C86" s="7" t="n">
        <v>504.009352640082</v>
      </c>
      <c r="D86" s="7" t="n">
        <v>452.027549902448</v>
      </c>
      <c r="E86" s="7" t="n">
        <v>685.775695932976</v>
      </c>
      <c r="F86" s="7" t="n">
        <v>2035</v>
      </c>
      <c r="G86" s="4" t="n">
        <v>32549.2551318823</v>
      </c>
      <c r="H86" s="7" t="n">
        <v>2324.39811133063</v>
      </c>
      <c r="I86" s="7" t="n">
        <v>2049.42420901824</v>
      </c>
      <c r="J86" s="2" t="n">
        <v>3109.20277647829</v>
      </c>
      <c r="K86" s="7" t="n">
        <v>2285.10180208067</v>
      </c>
      <c r="R86" s="8" t="n">
        <v>2035</v>
      </c>
      <c r="S86" s="9" t="n">
        <v>8309.96802636492</v>
      </c>
      <c r="T86" s="8" t="n">
        <v>503.644748003263</v>
      </c>
      <c r="U86" s="8" t="n">
        <v>490.480634042693</v>
      </c>
      <c r="V86" s="8" t="n">
        <v>445.077693609417</v>
      </c>
      <c r="W86" s="8" t="n">
        <v>693.42665286087</v>
      </c>
      <c r="X86" s="8" t="n">
        <v>2035</v>
      </c>
      <c r="Y86" s="3" t="n">
        <v>37676.1320257474</v>
      </c>
      <c r="Z86" s="3" t="n">
        <v>2283.44874007244</v>
      </c>
      <c r="AA86" s="3" t="n">
        <v>2017.91461687234</v>
      </c>
      <c r="AB86" s="3" t="n">
        <v>3143.89105234458</v>
      </c>
      <c r="AC86" s="3" t="n">
        <v>2223.76464814731</v>
      </c>
      <c r="AJ86" s="7" t="n">
        <v>2035</v>
      </c>
      <c r="AK86" s="6" t="n">
        <v>9665.85370863415</v>
      </c>
      <c r="AL86" s="7" t="n">
        <v>505.864181730292</v>
      </c>
      <c r="AM86" s="7" t="n">
        <v>483.459646751215</v>
      </c>
      <c r="AN86" s="7" t="n">
        <v>439.315678655047</v>
      </c>
      <c r="AO86" s="7" t="n">
        <v>729.885781399956</v>
      </c>
      <c r="AP86" s="7" t="n">
        <v>2035</v>
      </c>
      <c r="AQ86" s="2" t="n">
        <v>43823.5116323741</v>
      </c>
      <c r="AR86" s="2" t="n">
        <v>2293.51131526607</v>
      </c>
      <c r="AS86" s="2" t="n">
        <v>1991.79051681968</v>
      </c>
      <c r="AT86" s="2" t="n">
        <v>3309.19119983302</v>
      </c>
      <c r="AU86" s="2" t="n">
        <v>2191.93255886543</v>
      </c>
    </row>
    <row r="87" customFormat="false" ht="15" hidden="false" customHeight="false" outlineLevel="0" collapsed="false">
      <c r="A87" s="6" t="n">
        <v>7244.0047252128</v>
      </c>
      <c r="B87" s="7" t="n">
        <v>513.764276587102</v>
      </c>
      <c r="C87" s="7" t="n">
        <v>503.723069523981</v>
      </c>
      <c r="D87" s="7" t="n">
        <v>456.481411816153</v>
      </c>
      <c r="E87" s="7" t="n">
        <v>691.522053716547</v>
      </c>
      <c r="F87" s="7" t="n">
        <v>2035</v>
      </c>
      <c r="G87" s="4" t="n">
        <v>32843.2164307187</v>
      </c>
      <c r="H87" s="7" t="n">
        <v>2329.32914463638</v>
      </c>
      <c r="I87" s="7" t="n">
        <v>2069.61734200657</v>
      </c>
      <c r="J87" s="2" t="n">
        <v>3135.25588929823</v>
      </c>
      <c r="K87" s="7" t="n">
        <v>2283.80383794353</v>
      </c>
      <c r="R87" s="8" t="n">
        <v>2035</v>
      </c>
      <c r="S87" s="9" t="n">
        <v>8360.57995177474</v>
      </c>
      <c r="T87" s="8" t="n">
        <v>512.439260050489</v>
      </c>
      <c r="U87" s="8" t="n">
        <v>497.254121380072</v>
      </c>
      <c r="V87" s="8" t="n">
        <v>454.837077774001</v>
      </c>
      <c r="W87" s="8" t="n">
        <v>727.240862277785</v>
      </c>
      <c r="X87" s="8" t="n">
        <v>2035</v>
      </c>
      <c r="Y87" s="3" t="n">
        <v>37905.5988032088</v>
      </c>
      <c r="Z87" s="3" t="n">
        <v>2323.32172104445</v>
      </c>
      <c r="AA87" s="3" t="n">
        <v>2062.16218137659</v>
      </c>
      <c r="AB87" s="3" t="n">
        <v>3297.199538526</v>
      </c>
      <c r="AC87" s="3" t="n">
        <v>2254.47461025404</v>
      </c>
      <c r="AJ87" s="7" t="n">
        <v>2035</v>
      </c>
      <c r="AK87" s="6" t="n">
        <v>9766.48572349286</v>
      </c>
      <c r="AL87" s="7" t="n">
        <v>506.915847418259</v>
      </c>
      <c r="AM87" s="7" t="n">
        <v>488.127803886004</v>
      </c>
      <c r="AN87" s="7" t="n">
        <v>439.290430318589</v>
      </c>
      <c r="AO87" s="7" t="n">
        <v>722.76533130555</v>
      </c>
      <c r="AP87" s="7" t="n">
        <v>2035</v>
      </c>
      <c r="AQ87" s="2" t="n">
        <v>44279.7618930015</v>
      </c>
      <c r="AR87" s="2" t="n">
        <v>2298.27940765596</v>
      </c>
      <c r="AS87" s="2" t="n">
        <v>1991.67604469959</v>
      </c>
      <c r="AT87" s="2" t="n">
        <v>3276.9081613197</v>
      </c>
      <c r="AU87" s="2" t="n">
        <v>2213.09727381611</v>
      </c>
    </row>
    <row r="88" customFormat="false" ht="15" hidden="false" customHeight="false" outlineLevel="0" collapsed="false">
      <c r="A88" s="6" t="n">
        <v>7250.05526926744</v>
      </c>
      <c r="B88" s="7" t="n">
        <v>617.817552176968</v>
      </c>
      <c r="C88" s="7" t="n">
        <v>617.63202481594</v>
      </c>
      <c r="D88" s="7" t="n">
        <v>571.531314692627</v>
      </c>
      <c r="E88" s="7" t="n">
        <v>799.867766607334</v>
      </c>
      <c r="F88" s="7" t="n">
        <v>2036</v>
      </c>
      <c r="G88" s="4" t="n">
        <v>32870.6486778594</v>
      </c>
      <c r="H88" s="7" t="n">
        <v>2801.09088143215</v>
      </c>
      <c r="I88" s="7" t="n">
        <v>2591.23611557718</v>
      </c>
      <c r="J88" s="2" t="n">
        <v>3626.47888442239</v>
      </c>
      <c r="K88" s="7" t="n">
        <v>2800.24972857497</v>
      </c>
      <c r="R88" s="8" t="n">
        <v>2036</v>
      </c>
      <c r="S88" s="9" t="n">
        <v>8372.56121329854</v>
      </c>
      <c r="T88" s="8" t="n">
        <v>618.792493403761</v>
      </c>
      <c r="U88" s="8" t="n">
        <v>618.821032884638</v>
      </c>
      <c r="V88" s="8" t="n">
        <v>575.721459235774</v>
      </c>
      <c r="W88" s="8" t="n">
        <v>838.37740296051</v>
      </c>
      <c r="X88" s="8" t="n">
        <v>2036</v>
      </c>
      <c r="Y88" s="3" t="n">
        <v>37959.9200219637</v>
      </c>
      <c r="Z88" s="3" t="n">
        <v>2805.5111167762</v>
      </c>
      <c r="AA88" s="3" t="n">
        <v>2610.23359408897</v>
      </c>
      <c r="AB88" s="3" t="n">
        <v>3801.07572268971</v>
      </c>
      <c r="AC88" s="3" t="n">
        <v>2805.64051044487</v>
      </c>
      <c r="AJ88" s="7" t="n">
        <v>2036</v>
      </c>
      <c r="AK88" s="6" t="n">
        <v>9815.85634507882</v>
      </c>
      <c r="AL88" s="7" t="n">
        <v>626.95940318765</v>
      </c>
      <c r="AM88" s="7" t="n">
        <v>618.406440798778</v>
      </c>
      <c r="AN88" s="7" t="n">
        <v>567.089278633697</v>
      </c>
      <c r="AO88" s="7" t="n">
        <v>906.72886458408</v>
      </c>
      <c r="AP88" s="7" t="n">
        <v>2036</v>
      </c>
      <c r="AQ88" s="2" t="n">
        <v>44503.6007875874</v>
      </c>
      <c r="AR88" s="2" t="n">
        <v>2842.53864447353</v>
      </c>
      <c r="AS88" s="2" t="n">
        <v>2571.09659921702</v>
      </c>
      <c r="AT88" s="2" t="n">
        <v>4110.97086116823</v>
      </c>
      <c r="AU88" s="2" t="n">
        <v>2803.76081294012</v>
      </c>
    </row>
    <row r="89" customFormat="false" ht="15" hidden="false" customHeight="false" outlineLevel="0" collapsed="false">
      <c r="A89" s="6" t="n">
        <v>7268.94603429466</v>
      </c>
      <c r="B89" s="7" t="n">
        <v>515.798137257772</v>
      </c>
      <c r="C89" s="7" t="n">
        <v>506.267382513463</v>
      </c>
      <c r="D89" s="7" t="n">
        <v>453.506511322709</v>
      </c>
      <c r="E89" s="7" t="n">
        <v>694.62116671145</v>
      </c>
      <c r="F89" s="7" t="n">
        <v>2036</v>
      </c>
      <c r="G89" s="4" t="n">
        <v>32956.2965353451</v>
      </c>
      <c r="H89" s="7" t="n">
        <v>2338.55035979714</v>
      </c>
      <c r="I89" s="7" t="n">
        <v>2056.12959531502</v>
      </c>
      <c r="J89" s="2" t="n">
        <v>3149.30679659273</v>
      </c>
      <c r="K89" s="7" t="n">
        <v>2295.33936633575</v>
      </c>
      <c r="R89" s="8" t="n">
        <v>2036</v>
      </c>
      <c r="S89" s="9" t="n">
        <v>8431.84833803401</v>
      </c>
      <c r="T89" s="8" t="n">
        <v>503.595180604991</v>
      </c>
      <c r="U89" s="8" t="n">
        <v>486.888943164262</v>
      </c>
      <c r="V89" s="8" t="n">
        <v>442.575831898357</v>
      </c>
      <c r="W89" s="8" t="n">
        <v>701.331198543155</v>
      </c>
      <c r="X89" s="8" t="n">
        <v>2036</v>
      </c>
      <c r="Y89" s="3" t="n">
        <v>38228.7188346515</v>
      </c>
      <c r="Z89" s="3" t="n">
        <v>2283.22400902226</v>
      </c>
      <c r="AA89" s="3" t="n">
        <v>2006.57155612445</v>
      </c>
      <c r="AB89" s="3" t="n">
        <v>3179.72906108113</v>
      </c>
      <c r="AC89" s="3" t="n">
        <v>2207.48046759426</v>
      </c>
      <c r="AJ89" s="7" t="n">
        <v>2036</v>
      </c>
      <c r="AK89" s="6" t="n">
        <v>9859.41072863198</v>
      </c>
      <c r="AL89" s="7" t="n">
        <v>502.155982448933</v>
      </c>
      <c r="AM89" s="7" t="n">
        <v>490.610701550706</v>
      </c>
      <c r="AN89" s="7" t="n">
        <v>435.271792289923</v>
      </c>
      <c r="AO89" s="7" t="n">
        <v>787.056045799577</v>
      </c>
      <c r="AP89" s="7" t="n">
        <v>2036</v>
      </c>
      <c r="AQ89" s="2" t="n">
        <v>44701.0697429242</v>
      </c>
      <c r="AR89" s="2" t="n">
        <v>2276.69890332188</v>
      </c>
      <c r="AS89" s="2" t="n">
        <v>1973.45615065772</v>
      </c>
      <c r="AT89" s="2" t="n">
        <v>3568.392489493</v>
      </c>
      <c r="AU89" s="2" t="n">
        <v>2224.35435446009</v>
      </c>
    </row>
    <row r="90" customFormat="false" ht="15" hidden="false" customHeight="false" outlineLevel="0" collapsed="false">
      <c r="A90" s="6" t="n">
        <v>7294.2408425548</v>
      </c>
      <c r="B90" s="7" t="n">
        <v>517.814733566895</v>
      </c>
      <c r="C90" s="7" t="n">
        <v>504.809607168955</v>
      </c>
      <c r="D90" s="7" t="n">
        <v>453.693406168124</v>
      </c>
      <c r="E90" s="7" t="n">
        <v>689.838165008275</v>
      </c>
      <c r="F90" s="7" t="n">
        <v>2036</v>
      </c>
      <c r="G90" s="4" t="n">
        <v>33070.9793515185</v>
      </c>
      <c r="H90" s="7" t="n">
        <v>2347.6933009666</v>
      </c>
      <c r="I90" s="7" t="n">
        <v>2056.97694813858</v>
      </c>
      <c r="J90" s="2" t="n">
        <v>3127.62139382385</v>
      </c>
      <c r="K90" s="7" t="n">
        <v>2288.73003448642</v>
      </c>
      <c r="R90" s="8" t="n">
        <v>2036</v>
      </c>
      <c r="S90" s="9" t="n">
        <v>8458.72250761145</v>
      </c>
      <c r="T90" s="8" t="n">
        <v>500.716856331857</v>
      </c>
      <c r="U90" s="8" t="n">
        <v>483.361736751468</v>
      </c>
      <c r="V90" s="8" t="n">
        <v>441.33632221387</v>
      </c>
      <c r="W90" s="8" t="n">
        <v>696.841449390931</v>
      </c>
      <c r="X90" s="8" t="n">
        <v>2036</v>
      </c>
      <c r="Y90" s="3" t="n">
        <v>38350.5622349954</v>
      </c>
      <c r="Z90" s="3" t="n">
        <v>2270.17412423529</v>
      </c>
      <c r="AA90" s="3" t="n">
        <v>2000.95180760415</v>
      </c>
      <c r="AB90" s="3" t="n">
        <v>3159.37322080774</v>
      </c>
      <c r="AC90" s="3" t="n">
        <v>2191.48864980761</v>
      </c>
      <c r="AJ90" s="7" t="n">
        <v>2036</v>
      </c>
      <c r="AK90" s="6" t="n">
        <v>9917.88142325939</v>
      </c>
      <c r="AL90" s="7" t="n">
        <v>498.460511439668</v>
      </c>
      <c r="AM90" s="7" t="n">
        <v>489.599767490239</v>
      </c>
      <c r="AN90" s="7" t="n">
        <v>445.038804275579</v>
      </c>
      <c r="AO90" s="7" t="n">
        <v>742.041830581877</v>
      </c>
      <c r="AP90" s="7" t="n">
        <v>2036</v>
      </c>
      <c r="AQ90" s="2" t="n">
        <v>44966.1669855887</v>
      </c>
      <c r="AR90" s="2" t="n">
        <v>2259.94419942884</v>
      </c>
      <c r="AS90" s="2" t="n">
        <v>2017.73829854338</v>
      </c>
      <c r="AT90" s="2" t="n">
        <v>3364.30487926433</v>
      </c>
      <c r="AU90" s="2" t="n">
        <v>2219.77093307861</v>
      </c>
    </row>
    <row r="91" customFormat="false" ht="15" hidden="false" customHeight="false" outlineLevel="0" collapsed="false">
      <c r="A91" s="6" t="n">
        <v>7301.48743682526</v>
      </c>
      <c r="B91" s="7" t="n">
        <v>523.042349369919</v>
      </c>
      <c r="C91" s="7" t="n">
        <v>503.50354120142</v>
      </c>
      <c r="D91" s="7" t="n">
        <v>454.647030369864</v>
      </c>
      <c r="E91" s="7" t="n">
        <v>695.380387931821</v>
      </c>
      <c r="F91" s="7" t="n">
        <v>2036</v>
      </c>
      <c r="G91" s="4" t="n">
        <v>33103.8343085538</v>
      </c>
      <c r="H91" s="7" t="n">
        <v>2371.3945164887</v>
      </c>
      <c r="I91" s="7" t="n">
        <v>2061.30053533094</v>
      </c>
      <c r="J91" s="2" t="n">
        <v>3152.74899021425</v>
      </c>
      <c r="K91" s="7" t="n">
        <v>2282.80852989446</v>
      </c>
      <c r="R91" s="8" t="n">
        <v>2036</v>
      </c>
      <c r="S91" s="9" t="n">
        <v>8493.58706735557</v>
      </c>
      <c r="T91" s="8" t="n">
        <v>492.983598550306</v>
      </c>
      <c r="U91" s="8" t="n">
        <v>482.087571593153</v>
      </c>
      <c r="V91" s="8" t="n">
        <v>430.728390942918</v>
      </c>
      <c r="W91" s="8" t="n">
        <v>732.503187228199</v>
      </c>
      <c r="X91" s="8" t="n">
        <v>2036</v>
      </c>
      <c r="Y91" s="3" t="n">
        <v>38508.632849921</v>
      </c>
      <c r="Z91" s="3" t="n">
        <v>2235.11270880716</v>
      </c>
      <c r="AA91" s="3" t="n">
        <v>1952.85705948762</v>
      </c>
      <c r="AB91" s="3" t="n">
        <v>3321.05812004703</v>
      </c>
      <c r="AC91" s="3" t="n">
        <v>2185.71177863615</v>
      </c>
      <c r="AJ91" s="7" t="n">
        <v>2036</v>
      </c>
      <c r="AK91" s="6" t="n">
        <v>9999.36188033317</v>
      </c>
      <c r="AL91" s="7" t="n">
        <v>497.907944007795</v>
      </c>
      <c r="AM91" s="7" t="n">
        <v>482.285423514905</v>
      </c>
      <c r="AN91" s="7" t="n">
        <v>432.737816161268</v>
      </c>
      <c r="AO91" s="7" t="n">
        <v>803.303266496002</v>
      </c>
      <c r="AP91" s="7" t="n">
        <v>2036</v>
      </c>
      <c r="AQ91" s="2" t="n">
        <v>45335.586994004</v>
      </c>
      <c r="AR91" s="2" t="n">
        <v>2257.4389426757</v>
      </c>
      <c r="AS91" s="2" t="n">
        <v>1961.96748802142</v>
      </c>
      <c r="AT91" s="2" t="n">
        <v>3642.05491876684</v>
      </c>
      <c r="AU91" s="2" t="n">
        <v>2186.60880917848</v>
      </c>
    </row>
    <row r="92" customFormat="false" ht="15" hidden="false" customHeight="false" outlineLevel="0" collapsed="false">
      <c r="A92" s="6" t="n">
        <v>7336.56237549718</v>
      </c>
      <c r="B92" s="7" t="n">
        <v>624.57932030169</v>
      </c>
      <c r="C92" s="7" t="n">
        <v>618.226312358571</v>
      </c>
      <c r="D92" s="7" t="n">
        <v>567.410239211311</v>
      </c>
      <c r="E92" s="7" t="n">
        <v>813.283500395765</v>
      </c>
      <c r="F92" s="7" t="n">
        <v>2037</v>
      </c>
      <c r="G92" s="4" t="n">
        <v>33262.8587495632</v>
      </c>
      <c r="H92" s="7" t="n">
        <v>2831.74771040986</v>
      </c>
      <c r="I92" s="7" t="n">
        <v>2572.55178569414</v>
      </c>
      <c r="J92" s="2" t="n">
        <v>3687.30378240414</v>
      </c>
      <c r="K92" s="7" t="n">
        <v>2802.94413796937</v>
      </c>
      <c r="R92" s="8" t="n">
        <v>2037</v>
      </c>
      <c r="S92" s="9" t="n">
        <v>8517.75003540554</v>
      </c>
      <c r="T92" s="8" t="n">
        <v>620.813393963556</v>
      </c>
      <c r="U92" s="8" t="n">
        <v>611.909232535425</v>
      </c>
      <c r="V92" s="8" t="n">
        <v>571.656570107421</v>
      </c>
      <c r="W92" s="8" t="n">
        <v>854.47445828565</v>
      </c>
      <c r="X92" s="8" t="n">
        <v>2037</v>
      </c>
      <c r="Y92" s="3" t="n">
        <v>38618.1840746063</v>
      </c>
      <c r="Z92" s="3" t="n">
        <v>2814.67357276401</v>
      </c>
      <c r="AA92" s="3" t="n">
        <v>2591.80400459068</v>
      </c>
      <c r="AB92" s="3" t="n">
        <v>3874.0573249933</v>
      </c>
      <c r="AC92" s="3" t="n">
        <v>2774.30345816424</v>
      </c>
      <c r="AJ92" s="7" t="n">
        <v>2037</v>
      </c>
      <c r="AK92" s="6" t="n">
        <v>10012.4482412351</v>
      </c>
      <c r="AL92" s="7" t="n">
        <v>634.789367632677</v>
      </c>
      <c r="AM92" s="7" t="n">
        <v>627.445632576331</v>
      </c>
      <c r="AN92" s="7" t="n">
        <v>586.299538925333</v>
      </c>
      <c r="AO92" s="7" t="n">
        <v>912.865747027375</v>
      </c>
      <c r="AP92" s="7" t="n">
        <v>2037</v>
      </c>
      <c r="AQ92" s="2" t="n">
        <v>45394.9185653787</v>
      </c>
      <c r="AR92" s="2" t="n">
        <v>2878.03851321572</v>
      </c>
      <c r="AS92" s="2" t="n">
        <v>2658.19299967252</v>
      </c>
      <c r="AT92" s="2" t="n">
        <v>4138.79455344075</v>
      </c>
      <c r="AU92" s="2" t="n">
        <v>2844.74313462134</v>
      </c>
    </row>
    <row r="93" customFormat="false" ht="15" hidden="false" customHeight="false" outlineLevel="0" collapsed="false">
      <c r="A93" s="6" t="n">
        <v>7320.96845271297</v>
      </c>
      <c r="B93" s="7" t="n">
        <v>529.898186584267</v>
      </c>
      <c r="C93" s="7" t="n">
        <v>502.065399515003</v>
      </c>
      <c r="D93" s="7" t="n">
        <v>444.512855774035</v>
      </c>
      <c r="E93" s="7" t="n">
        <v>722.356085506919</v>
      </c>
      <c r="F93" s="7" t="n">
        <v>2037</v>
      </c>
      <c r="G93" s="4" t="n">
        <v>33192.1582737306</v>
      </c>
      <c r="H93" s="7" t="n">
        <v>2402.47784042151</v>
      </c>
      <c r="I93" s="7" t="n">
        <v>2015.35372797463</v>
      </c>
      <c r="J93" s="2" t="n">
        <v>3275.05270306868</v>
      </c>
      <c r="K93" s="7" t="n">
        <v>2276.28821406685</v>
      </c>
      <c r="R93" s="8" t="n">
        <v>2037</v>
      </c>
      <c r="S93" s="9" t="n">
        <v>8521.03843251069</v>
      </c>
      <c r="T93" s="8" t="n">
        <v>498.263089450685</v>
      </c>
      <c r="U93" s="8" t="n">
        <v>484.211427331974</v>
      </c>
      <c r="V93" s="8" t="n">
        <v>444.932946499736</v>
      </c>
      <c r="W93" s="8" t="n">
        <v>692.903870091446</v>
      </c>
      <c r="X93" s="8" t="n">
        <v>2037</v>
      </c>
      <c r="Y93" s="3" t="n">
        <v>38633.093167288</v>
      </c>
      <c r="Z93" s="3" t="n">
        <v>2259.04911813633</v>
      </c>
      <c r="AA93" s="3" t="n">
        <v>2017.2583554767</v>
      </c>
      <c r="AB93" s="3" t="n">
        <v>3141.52083472412</v>
      </c>
      <c r="AC93" s="3" t="n">
        <v>2195.34101775784</v>
      </c>
      <c r="AJ93" s="7" t="n">
        <v>2037</v>
      </c>
      <c r="AK93" s="6" t="n">
        <v>10041.740831781</v>
      </c>
      <c r="AL93" s="7" t="n">
        <v>502.258058859414</v>
      </c>
      <c r="AM93" s="7" t="n">
        <v>480.464436161892</v>
      </c>
      <c r="AN93" s="7" t="n">
        <v>439.66518406855</v>
      </c>
      <c r="AO93" s="7" t="n">
        <v>743.334581239379</v>
      </c>
      <c r="AP93" s="7" t="n">
        <v>2037</v>
      </c>
      <c r="AQ93" s="2" t="n">
        <v>45527.7267188255</v>
      </c>
      <c r="AR93" s="2" t="n">
        <v>2277.16170225273</v>
      </c>
      <c r="AS93" s="2" t="n">
        <v>1993.37512124428</v>
      </c>
      <c r="AT93" s="2" t="n">
        <v>3370.16601426436</v>
      </c>
      <c r="AU93" s="2" t="n">
        <v>2178.35272928604</v>
      </c>
    </row>
    <row r="94" customFormat="false" ht="15" hidden="false" customHeight="false" outlineLevel="0" collapsed="false">
      <c r="A94" s="6" t="n">
        <v>7340.32841435066</v>
      </c>
      <c r="B94" s="7" t="n">
        <v>540.968828971267</v>
      </c>
      <c r="C94" s="7" t="n">
        <v>507.784455565248</v>
      </c>
      <c r="D94" s="7" t="n">
        <v>450.287275900338</v>
      </c>
      <c r="E94" s="7" t="n">
        <v>751.227984928106</v>
      </c>
      <c r="F94" s="7" t="n">
        <v>2037</v>
      </c>
      <c r="G94" s="4" t="n">
        <v>33279.9333973365</v>
      </c>
      <c r="H94" s="7" t="n">
        <v>2452.6704504122</v>
      </c>
      <c r="I94" s="7" t="n">
        <v>2041.53407119142</v>
      </c>
      <c r="J94" s="2" t="n">
        <v>3405.95350689555</v>
      </c>
      <c r="K94" s="7" t="n">
        <v>2302.2175449774</v>
      </c>
      <c r="R94" s="8" t="n">
        <v>2037</v>
      </c>
      <c r="S94" s="9" t="n">
        <v>8573.02759321808</v>
      </c>
      <c r="T94" s="8" t="n">
        <v>505.639069226682</v>
      </c>
      <c r="U94" s="8" t="n">
        <v>483.748110830292</v>
      </c>
      <c r="V94" s="8" t="n">
        <v>443.344380203995</v>
      </c>
      <c r="W94" s="8" t="n">
        <v>698.893509747176</v>
      </c>
      <c r="X94" s="8" t="n">
        <v>2037</v>
      </c>
      <c r="Y94" s="3" t="n">
        <v>38868.804120267</v>
      </c>
      <c r="Z94" s="3" t="n">
        <v>2292.49068938884</v>
      </c>
      <c r="AA94" s="3" t="n">
        <v>2010.05603733298</v>
      </c>
      <c r="AB94" s="3" t="n">
        <v>3168.67695057679</v>
      </c>
      <c r="AC94" s="3" t="n">
        <v>2193.24041115722</v>
      </c>
      <c r="AJ94" s="7" t="n">
        <v>2037</v>
      </c>
      <c r="AK94" s="6" t="n">
        <v>10096.0106789354</v>
      </c>
      <c r="AL94" s="7" t="n">
        <v>502.819519036227</v>
      </c>
      <c r="AM94" s="7" t="n">
        <v>481.665119640487</v>
      </c>
      <c r="AN94" s="7" t="n">
        <v>437.50075341722</v>
      </c>
      <c r="AO94" s="7" t="n">
        <v>744.218600915928</v>
      </c>
      <c r="AP94" s="7" t="n">
        <v>2037</v>
      </c>
      <c r="AQ94" s="2" t="n">
        <v>45773.7779575209</v>
      </c>
      <c r="AR94" s="2" t="n">
        <v>2279.70727735984</v>
      </c>
      <c r="AS94" s="2" t="n">
        <v>1983.56192163612</v>
      </c>
      <c r="AT94" s="2" t="n">
        <v>3374.17402511847</v>
      </c>
      <c r="AU94" s="2" t="n">
        <v>2183.7964456899</v>
      </c>
    </row>
    <row r="95" customFormat="false" ht="15" hidden="false" customHeight="false" outlineLevel="0" collapsed="false">
      <c r="A95" s="6" t="n">
        <v>7348.17455362887</v>
      </c>
      <c r="B95" s="7" t="n">
        <v>522.828535315752</v>
      </c>
      <c r="C95" s="7" t="n">
        <v>502.186753440499</v>
      </c>
      <c r="D95" s="7" t="n">
        <v>456.176866277926</v>
      </c>
      <c r="E95" s="7" t="n">
        <v>653.201252160234</v>
      </c>
      <c r="F95" s="7" t="n">
        <v>2037</v>
      </c>
      <c r="G95" s="4" t="n">
        <v>33315.506600314</v>
      </c>
      <c r="H95" s="7" t="n">
        <v>2370.42511606403</v>
      </c>
      <c r="I95" s="7" t="n">
        <v>2068.23657882316</v>
      </c>
      <c r="J95" s="2" t="n">
        <v>2961.51519929949</v>
      </c>
      <c r="K95" s="7" t="n">
        <v>2276.83841432085</v>
      </c>
      <c r="R95" s="8" t="n">
        <v>2037</v>
      </c>
      <c r="S95" s="9" t="n">
        <v>8617.00901687813</v>
      </c>
      <c r="T95" s="8" t="n">
        <v>501.622100165383</v>
      </c>
      <c r="U95" s="8" t="n">
        <v>484.16028846842</v>
      </c>
      <c r="V95" s="8" t="n">
        <v>436.795404312496</v>
      </c>
      <c r="W95" s="8" t="n">
        <v>738.334929438873</v>
      </c>
      <c r="X95" s="8" t="n">
        <v>2037</v>
      </c>
      <c r="Y95" s="3" t="n">
        <v>39068.209210544</v>
      </c>
      <c r="Z95" s="3" t="n">
        <v>2274.27836219135</v>
      </c>
      <c r="AA95" s="3" t="n">
        <v>1980.36397599909</v>
      </c>
      <c r="AB95" s="3" t="n">
        <v>3347.49835288215</v>
      </c>
      <c r="AC95" s="3" t="n">
        <v>2195.10916192292</v>
      </c>
      <c r="AJ95" s="7" t="n">
        <v>2037</v>
      </c>
      <c r="AK95" s="6" t="n">
        <v>10158.3147659529</v>
      </c>
      <c r="AL95" s="7" t="n">
        <v>496.099177656473</v>
      </c>
      <c r="AM95" s="7" t="n">
        <v>476.307913760507</v>
      </c>
      <c r="AN95" s="7" t="n">
        <v>428.79876676986</v>
      </c>
      <c r="AO95" s="7" t="n">
        <v>758.815925365242</v>
      </c>
      <c r="AP95" s="7" t="n">
        <v>2037</v>
      </c>
      <c r="AQ95" s="2" t="n">
        <v>46056.2552186568</v>
      </c>
      <c r="AR95" s="2" t="n">
        <v>2249.23827094749</v>
      </c>
      <c r="AS95" s="2" t="n">
        <v>1944.10843676446</v>
      </c>
      <c r="AT95" s="2" t="n">
        <v>3440.35607557043</v>
      </c>
      <c r="AU95" s="2" t="n">
        <v>2159.50768845487</v>
      </c>
    </row>
    <row r="96" customFormat="false" ht="15" hidden="false" customHeight="false" outlineLevel="0" collapsed="false">
      <c r="A96" s="6" t="n">
        <v>7376.14869182157</v>
      </c>
      <c r="B96" s="7" t="n">
        <v>632.650714542745</v>
      </c>
      <c r="C96" s="7" t="n">
        <v>620.826012189945</v>
      </c>
      <c r="D96" s="7" t="n">
        <v>566.05708422514</v>
      </c>
      <c r="E96" s="7" t="n">
        <v>802.204667034795</v>
      </c>
      <c r="F96" s="7" t="n">
        <v>2038</v>
      </c>
      <c r="G96" s="4" t="n">
        <v>33442.3370911788</v>
      </c>
      <c r="H96" s="7" t="n">
        <v>2868.34218515309</v>
      </c>
      <c r="I96" s="7" t="n">
        <v>2566.41678664859</v>
      </c>
      <c r="J96" s="2" t="n">
        <v>3637.07403578239</v>
      </c>
      <c r="K96" s="7" t="n">
        <v>2814.73078188466</v>
      </c>
      <c r="R96" s="8" t="n">
        <v>2038</v>
      </c>
      <c r="S96" s="9" t="n">
        <v>8680.95201379023</v>
      </c>
      <c r="T96" s="8" t="n">
        <v>625.567153601058</v>
      </c>
      <c r="U96" s="8" t="n">
        <v>613.765794900636</v>
      </c>
      <c r="V96" s="8" t="n">
        <v>570.241708965362</v>
      </c>
      <c r="W96" s="8" t="n">
        <v>825.08894065959</v>
      </c>
      <c r="X96" s="8" t="n">
        <v>2038</v>
      </c>
      <c r="Y96" s="3" t="n">
        <v>39358.1170400493</v>
      </c>
      <c r="Z96" s="3" t="n">
        <v>2836.22639645154</v>
      </c>
      <c r="AA96" s="3" t="n">
        <v>2585.38923921286</v>
      </c>
      <c r="AB96" s="3" t="n">
        <v>3740.82785428875</v>
      </c>
      <c r="AC96" s="3" t="n">
        <v>2782.72082975505</v>
      </c>
      <c r="AJ96" s="7" t="n">
        <v>2038</v>
      </c>
      <c r="AK96" s="6" t="n">
        <v>10218.7347322209</v>
      </c>
      <c r="AL96" s="7" t="n">
        <v>618.299681411595</v>
      </c>
      <c r="AM96" s="7" t="n">
        <v>607.715760538348</v>
      </c>
      <c r="AN96" s="7" t="n">
        <v>557.790739068326</v>
      </c>
      <c r="AO96" s="7" t="n">
        <v>876.583717920988</v>
      </c>
      <c r="AP96" s="7" t="n">
        <v>2038</v>
      </c>
      <c r="AQ96" s="2" t="n">
        <v>46330.1901626761</v>
      </c>
      <c r="AR96" s="2" t="n">
        <v>2803.27678210465</v>
      </c>
      <c r="AS96" s="2" t="n">
        <v>2528.93843408329</v>
      </c>
      <c r="AT96" s="2" t="n">
        <v>3974.29734786339</v>
      </c>
      <c r="AU96" s="2" t="n">
        <v>2755.29089348205</v>
      </c>
    </row>
    <row r="97" customFormat="false" ht="15" hidden="false" customHeight="false" outlineLevel="0" collapsed="false">
      <c r="A97" s="6" t="n">
        <v>7397.18813670135</v>
      </c>
      <c r="B97" s="7" t="n">
        <v>535.039217553621</v>
      </c>
      <c r="C97" s="7" t="n">
        <v>503.376330785436</v>
      </c>
      <c r="D97" s="7" t="n">
        <v>453.904645061064</v>
      </c>
      <c r="E97" s="7" t="n">
        <v>669.649366002173</v>
      </c>
      <c r="F97" s="7" t="n">
        <v>2038</v>
      </c>
      <c r="G97" s="4" t="n">
        <v>33537.7267365449</v>
      </c>
      <c r="H97" s="7" t="n">
        <v>2425.7864934675</v>
      </c>
      <c r="I97" s="7" t="n">
        <v>2057.93467317364</v>
      </c>
      <c r="J97" s="2" t="n">
        <v>3036.08844756197</v>
      </c>
      <c r="K97" s="7" t="n">
        <v>2282.23177720269</v>
      </c>
      <c r="R97" s="8" t="n">
        <v>2038</v>
      </c>
      <c r="S97" s="9" t="n">
        <v>8706.38190143654</v>
      </c>
      <c r="T97" s="8" t="n">
        <v>510.238911644151</v>
      </c>
      <c r="U97" s="8" t="n">
        <v>490.97359876067</v>
      </c>
      <c r="V97" s="8" t="n">
        <v>449.467604450254</v>
      </c>
      <c r="W97" s="8" t="n">
        <v>704.952715368057</v>
      </c>
      <c r="X97" s="8" t="n">
        <v>2038</v>
      </c>
      <c r="Y97" s="3" t="n">
        <v>39473.4122856294</v>
      </c>
      <c r="Z97" s="3" t="n">
        <v>2313.34567579412</v>
      </c>
      <c r="AA97" s="3" t="n">
        <v>2037.81780541601</v>
      </c>
      <c r="AB97" s="3" t="n">
        <v>3196.14846794234</v>
      </c>
      <c r="AC97" s="3" t="n">
        <v>2225.99967525447</v>
      </c>
      <c r="AJ97" s="7" t="n">
        <v>2038</v>
      </c>
      <c r="AK97" s="6" t="n">
        <v>10253.9575558108</v>
      </c>
      <c r="AL97" s="7" t="n">
        <v>495.821129829569</v>
      </c>
      <c r="AM97" s="7" t="n">
        <v>475.774334427013</v>
      </c>
      <c r="AN97" s="7" t="n">
        <v>431.366374042809</v>
      </c>
      <c r="AO97" s="7" t="n">
        <v>739.663919980886</v>
      </c>
      <c r="AP97" s="7" t="n">
        <v>2038</v>
      </c>
      <c r="AQ97" s="2" t="n">
        <v>46489.885091427</v>
      </c>
      <c r="AR97" s="2" t="n">
        <v>2247.97764435992</v>
      </c>
      <c r="AS97" s="2" t="n">
        <v>1955.74957789749</v>
      </c>
      <c r="AT97" s="2" t="n">
        <v>3353.52379401056</v>
      </c>
      <c r="AU97" s="2" t="n">
        <v>2157.08852085384</v>
      </c>
    </row>
    <row r="98" customFormat="false" ht="15" hidden="false" customHeight="false" outlineLevel="0" collapsed="false">
      <c r="A98" s="6" t="n">
        <v>7371.35496731314</v>
      </c>
      <c r="B98" s="7" t="n">
        <v>530.704223053227</v>
      </c>
      <c r="C98" s="7" t="n">
        <v>506.430676444361</v>
      </c>
      <c r="D98" s="7" t="n">
        <v>455.013744706161</v>
      </c>
      <c r="E98" s="7" t="n">
        <v>720.339619945401</v>
      </c>
      <c r="F98" s="7" t="n">
        <v>2038</v>
      </c>
      <c r="G98" s="4" t="n">
        <v>33420.6030728406</v>
      </c>
      <c r="H98" s="7" t="n">
        <v>2406.13228726484</v>
      </c>
      <c r="I98" s="7" t="n">
        <v>2062.96316239595</v>
      </c>
      <c r="J98" s="2" t="n">
        <v>3265.91035468899</v>
      </c>
      <c r="K98" s="7" t="n">
        <v>2296.07971619991</v>
      </c>
      <c r="R98" s="8" t="n">
        <v>2038</v>
      </c>
      <c r="S98" s="9" t="n">
        <v>8758.29243981613</v>
      </c>
      <c r="T98" s="8" t="n">
        <v>507.592848592024</v>
      </c>
      <c r="U98" s="8" t="n">
        <v>484.775524743469</v>
      </c>
      <c r="V98" s="8" t="n">
        <v>443.525030806298</v>
      </c>
      <c r="W98" s="8" t="n">
        <v>707.011033938453</v>
      </c>
      <c r="X98" s="8" t="n">
        <v>2038</v>
      </c>
      <c r="Y98" s="3" t="n">
        <v>39708.7667769237</v>
      </c>
      <c r="Z98" s="3" t="n">
        <v>2301.34882808254</v>
      </c>
      <c r="AA98" s="3" t="n">
        <v>2010.87507970731</v>
      </c>
      <c r="AB98" s="3" t="n">
        <v>3205.48057150317</v>
      </c>
      <c r="AC98" s="3" t="n">
        <v>2197.89854968617</v>
      </c>
      <c r="AJ98" s="7" t="n">
        <v>2038</v>
      </c>
      <c r="AK98" s="6" t="n">
        <v>10320.9033098827</v>
      </c>
      <c r="AL98" s="7" t="n">
        <v>483.359688054962</v>
      </c>
      <c r="AM98" s="7" t="n">
        <v>472.549600576092</v>
      </c>
      <c r="AN98" s="7" t="n">
        <v>430.401819550929</v>
      </c>
      <c r="AO98" s="7" t="n">
        <v>705.104393148745</v>
      </c>
      <c r="AP98" s="7" t="n">
        <v>2038</v>
      </c>
      <c r="AQ98" s="2" t="n">
        <v>46793.4069655153</v>
      </c>
      <c r="AR98" s="2" t="n">
        <v>2191.47936132903</v>
      </c>
      <c r="AS98" s="2" t="n">
        <v>1951.37643443089</v>
      </c>
      <c r="AT98" s="2" t="n">
        <v>3196.83615194695</v>
      </c>
      <c r="AU98" s="2" t="n">
        <v>2142.46806769088</v>
      </c>
    </row>
    <row r="99" customFormat="false" ht="15" hidden="false" customHeight="false" outlineLevel="0" collapsed="false">
      <c r="A99" s="6" t="n">
        <v>7419.71363149411</v>
      </c>
      <c r="B99" s="7" t="n">
        <v>511.954897946451</v>
      </c>
      <c r="C99" s="7" t="n">
        <v>503.263947022316</v>
      </c>
      <c r="D99" s="7" t="n">
        <v>458.59979741323</v>
      </c>
      <c r="E99" s="7" t="n">
        <v>681.169692001817</v>
      </c>
      <c r="F99" s="7" t="n">
        <v>2038</v>
      </c>
      <c r="G99" s="4" t="n">
        <v>33639.8539063565</v>
      </c>
      <c r="H99" s="7" t="n">
        <v>2321.12569688141</v>
      </c>
      <c r="I99" s="7" t="n">
        <v>2079.22178033698</v>
      </c>
      <c r="J99" s="2" t="n">
        <v>3088.3198547064</v>
      </c>
      <c r="K99" s="7" t="n">
        <v>2281.72224630156</v>
      </c>
      <c r="R99" s="8" t="n">
        <v>2038</v>
      </c>
      <c r="S99" s="9" t="n">
        <v>8823.7043955459</v>
      </c>
      <c r="T99" s="8" t="n">
        <v>513.221604533304</v>
      </c>
      <c r="U99" s="8" t="n">
        <v>496.102615876982</v>
      </c>
      <c r="V99" s="8" t="n">
        <v>452.837933385237</v>
      </c>
      <c r="W99" s="8" t="n">
        <v>713.352587627382</v>
      </c>
      <c r="X99" s="8" t="n">
        <v>2038</v>
      </c>
      <c r="Y99" s="3" t="n">
        <v>40005.334642446</v>
      </c>
      <c r="Z99" s="3" t="n">
        <v>2326.86875202347</v>
      </c>
      <c r="AA99" s="3" t="n">
        <v>2053.09836456157</v>
      </c>
      <c r="AB99" s="3" t="n">
        <v>3234.23221209606</v>
      </c>
      <c r="AC99" s="3" t="n">
        <v>2249.25385931672</v>
      </c>
      <c r="AJ99" s="7" t="n">
        <v>2038</v>
      </c>
      <c r="AK99" s="6" t="n">
        <v>10370.074314286</v>
      </c>
      <c r="AL99" s="7" t="n">
        <v>486.172019172416</v>
      </c>
      <c r="AM99" s="7" t="n">
        <v>471.042854569871</v>
      </c>
      <c r="AN99" s="7" t="n">
        <v>429.065058764389</v>
      </c>
      <c r="AO99" s="7" t="n">
        <v>760.823435351442</v>
      </c>
      <c r="AP99" s="7" t="n">
        <v>2038</v>
      </c>
      <c r="AQ99" s="2" t="n">
        <v>47016.3408261343</v>
      </c>
      <c r="AR99" s="2" t="n">
        <v>2204.23004317824</v>
      </c>
      <c r="AS99" s="2" t="n">
        <v>1945.31576419477</v>
      </c>
      <c r="AT99" s="2" t="n">
        <v>3449.45782073276</v>
      </c>
      <c r="AU99" s="2" t="n">
        <v>2135.63671030424</v>
      </c>
    </row>
    <row r="100" customFormat="false" ht="15" hidden="false" customHeight="false" outlineLevel="0" collapsed="false">
      <c r="A100" s="6" t="n">
        <v>7458.18946163052</v>
      </c>
      <c r="B100" s="7" t="n">
        <v>633.959742133036</v>
      </c>
      <c r="C100" s="7" t="n">
        <v>623.720770689704</v>
      </c>
      <c r="D100" s="7" t="n">
        <v>573.382717027396</v>
      </c>
      <c r="E100" s="7" t="n">
        <v>829.313738819444</v>
      </c>
      <c r="F100" s="7" t="n">
        <v>2039</v>
      </c>
      <c r="G100" s="4" t="n">
        <v>33814.2974723751</v>
      </c>
      <c r="H100" s="7" t="n">
        <v>2874.2771172925</v>
      </c>
      <c r="I100" s="7" t="n">
        <v>2599.63009237423</v>
      </c>
      <c r="J100" s="2" t="n">
        <v>3759.9824470318</v>
      </c>
      <c r="K100" s="7" t="n">
        <v>2827.85517695736</v>
      </c>
      <c r="R100" s="8" t="n">
        <v>2039</v>
      </c>
      <c r="S100" s="9" t="n">
        <v>8832.49978800271</v>
      </c>
      <c r="T100" s="8" t="n">
        <v>631.126961480927</v>
      </c>
      <c r="U100" s="8" t="n">
        <v>621.298634904468</v>
      </c>
      <c r="V100" s="8" t="n">
        <v>570.888949335276</v>
      </c>
      <c r="W100" s="8" t="n">
        <v>823.262621876464</v>
      </c>
      <c r="X100" s="8" t="n">
        <v>2039</v>
      </c>
      <c r="Y100" s="3" t="n">
        <v>40045.2116150612</v>
      </c>
      <c r="Z100" s="3" t="n">
        <v>2861.43372036122</v>
      </c>
      <c r="AA100" s="3" t="n">
        <v>2588.32372867803</v>
      </c>
      <c r="AB100" s="3" t="n">
        <v>3732.54760250248</v>
      </c>
      <c r="AC100" s="3" t="n">
        <v>2816.87358143987</v>
      </c>
      <c r="AJ100" s="7" t="n">
        <v>2039</v>
      </c>
      <c r="AK100" s="6" t="n">
        <v>10401.7690246626</v>
      </c>
      <c r="AL100" s="7" t="n">
        <v>597.999225656213</v>
      </c>
      <c r="AM100" s="7" t="n">
        <v>597.330267323574</v>
      </c>
      <c r="AN100" s="7" t="n">
        <v>555.916605865649</v>
      </c>
      <c r="AO100" s="7" t="n">
        <v>846.625983599179</v>
      </c>
      <c r="AP100" s="7" t="n">
        <v>2039</v>
      </c>
      <c r="AQ100" s="2" t="n">
        <v>47160.0398258028</v>
      </c>
      <c r="AR100" s="2" t="n">
        <v>2711.2376011119</v>
      </c>
      <c r="AS100" s="2" t="n">
        <v>2520.44139898593</v>
      </c>
      <c r="AT100" s="2" t="n">
        <v>3838.47353362972</v>
      </c>
      <c r="AU100" s="2" t="n">
        <v>2708.20464570458</v>
      </c>
    </row>
    <row r="101" customFormat="false" ht="15" hidden="false" customHeight="false" outlineLevel="0" collapsed="false">
      <c r="A101" s="6" t="n">
        <v>7441.94283378831</v>
      </c>
      <c r="B101" s="7" t="n">
        <v>512.754129522998</v>
      </c>
      <c r="C101" s="7" t="n">
        <v>498.876244964032</v>
      </c>
      <c r="D101" s="7" t="n">
        <v>449.50093330375</v>
      </c>
      <c r="E101" s="7" t="n">
        <v>697.6578515276</v>
      </c>
      <c r="F101" s="7" t="n">
        <v>2039</v>
      </c>
      <c r="G101" s="4" t="n">
        <v>33740.6377310122</v>
      </c>
      <c r="H101" s="7" t="n">
        <v>2324.74929137679</v>
      </c>
      <c r="I101" s="7" t="n">
        <v>2037.96891337221</v>
      </c>
      <c r="J101" s="2" t="n">
        <v>3163.07466401302</v>
      </c>
      <c r="K101" s="7" t="n">
        <v>2261.82907204228</v>
      </c>
      <c r="R101" s="8" t="n">
        <v>2039</v>
      </c>
      <c r="S101" s="9" t="n">
        <v>8839.40426480708</v>
      </c>
      <c r="T101" s="8" t="n">
        <v>508.650571559636</v>
      </c>
      <c r="U101" s="8" t="n">
        <v>488.608920837912</v>
      </c>
      <c r="V101" s="8" t="n">
        <v>437.365977383598</v>
      </c>
      <c r="W101" s="8" t="n">
        <v>711.888107939043</v>
      </c>
      <c r="X101" s="8" t="n">
        <v>2039</v>
      </c>
      <c r="Y101" s="3" t="n">
        <v>40076.5154635026</v>
      </c>
      <c r="Z101" s="3" t="n">
        <v>2306.14438325772</v>
      </c>
      <c r="AA101" s="3" t="n">
        <v>1982.95086758386</v>
      </c>
      <c r="AB101" s="3" t="n">
        <v>3227.59248377078</v>
      </c>
      <c r="AC101" s="3" t="n">
        <v>2215.27858495261</v>
      </c>
      <c r="AJ101" s="7" t="n">
        <v>2039</v>
      </c>
      <c r="AK101" s="6" t="n">
        <v>10466.0850843358</v>
      </c>
      <c r="AL101" s="7" t="n">
        <v>491.609228428086</v>
      </c>
      <c r="AM101" s="7" t="n">
        <v>470.607377296253</v>
      </c>
      <c r="AN101" s="7" t="n">
        <v>424.325432847388</v>
      </c>
      <c r="AO101" s="7" t="n">
        <v>772.023074843961</v>
      </c>
      <c r="AP101" s="7" t="n">
        <v>2039</v>
      </c>
      <c r="AQ101" s="2" t="n">
        <v>47451.6390651664</v>
      </c>
      <c r="AR101" s="2" t="n">
        <v>2228.88152355919</v>
      </c>
      <c r="AS101" s="2" t="n">
        <v>1923.82702064786</v>
      </c>
      <c r="AT101" s="2" t="n">
        <v>3500.23528399401</v>
      </c>
      <c r="AU101" s="2" t="n">
        <v>2133.66232253247</v>
      </c>
    </row>
    <row r="102" customFormat="false" ht="15" hidden="false" customHeight="false" outlineLevel="0" collapsed="false">
      <c r="A102" s="6" t="n">
        <v>7443.50945475927</v>
      </c>
      <c r="B102" s="7" t="n">
        <v>522.465716050843</v>
      </c>
      <c r="C102" s="7" t="n">
        <v>505.704512166276</v>
      </c>
      <c r="D102" s="7" t="n">
        <v>458.318211200072</v>
      </c>
      <c r="E102" s="7" t="n">
        <v>691.714294773596</v>
      </c>
      <c r="F102" s="7" t="n">
        <v>2039</v>
      </c>
      <c r="G102" s="4" t="n">
        <v>33747.7405523888</v>
      </c>
      <c r="H102" s="7" t="n">
        <v>2368.78014866068</v>
      </c>
      <c r="I102" s="7" t="n">
        <v>2077.94511124392</v>
      </c>
      <c r="J102" s="2" t="n">
        <v>3136.12748103278</v>
      </c>
      <c r="K102" s="7" t="n">
        <v>2292.78739773049</v>
      </c>
      <c r="R102" s="8" t="n">
        <v>2039</v>
      </c>
      <c r="S102" s="9" t="n">
        <v>8832.7687772907</v>
      </c>
      <c r="T102" s="8" t="n">
        <v>502.911610764319</v>
      </c>
      <c r="U102" s="8" t="n">
        <v>489.259590814145</v>
      </c>
      <c r="V102" s="8" t="n">
        <v>440.830997269626</v>
      </c>
      <c r="W102" s="8" t="n">
        <v>717.534951166105</v>
      </c>
      <c r="X102" s="8" t="n">
        <v>2039</v>
      </c>
      <c r="Y102" s="3" t="n">
        <v>40046.4311716101</v>
      </c>
      <c r="Z102" s="3" t="n">
        <v>2280.12480725828</v>
      </c>
      <c r="AA102" s="3" t="n">
        <v>1998.66074110969</v>
      </c>
      <c r="AB102" s="3" t="n">
        <v>3253.19441271641</v>
      </c>
      <c r="AC102" s="3" t="n">
        <v>2218.22862373158</v>
      </c>
      <c r="AJ102" s="7" t="n">
        <v>2039</v>
      </c>
      <c r="AK102" s="6" t="n">
        <v>10524.0096740448</v>
      </c>
      <c r="AL102" s="7" t="n">
        <v>486.217673947971</v>
      </c>
      <c r="AM102" s="7" t="n">
        <v>467.153293965255</v>
      </c>
      <c r="AN102" s="7" t="n">
        <v>430.127264301951</v>
      </c>
      <c r="AO102" s="7" t="n">
        <v>739.746618167801</v>
      </c>
      <c r="AP102" s="7" t="n">
        <v>2039</v>
      </c>
      <c r="AQ102" s="2" t="n">
        <v>47714.2603511316</v>
      </c>
      <c r="AR102" s="2" t="n">
        <v>2204.43703499168</v>
      </c>
      <c r="AS102" s="2" t="n">
        <v>1950.13164266081</v>
      </c>
      <c r="AT102" s="2" t="n">
        <v>3353.89873502099</v>
      </c>
      <c r="AU102" s="2" t="n">
        <v>2118.00203368494</v>
      </c>
    </row>
    <row r="103" customFormat="false" ht="15" hidden="false" customHeight="false" outlineLevel="0" collapsed="false">
      <c r="A103" s="6" t="n">
        <v>7422.74763740487</v>
      </c>
      <c r="B103" s="7" t="n">
        <v>517.431989422967</v>
      </c>
      <c r="C103" s="7" t="n">
        <v>506.371781515844</v>
      </c>
      <c r="D103" s="7" t="n">
        <v>446.38380240136</v>
      </c>
      <c r="E103" s="7" t="n">
        <v>675.724754690666</v>
      </c>
      <c r="F103" s="7" t="n">
        <v>2039</v>
      </c>
      <c r="G103" s="4" t="n">
        <v>33653.6096280269</v>
      </c>
      <c r="H103" s="7" t="n">
        <v>2345.9579971901</v>
      </c>
      <c r="I103" s="7" t="n">
        <v>2023.83631562366</v>
      </c>
      <c r="J103" s="2" t="n">
        <v>3063.63333649647</v>
      </c>
      <c r="K103" s="7" t="n">
        <v>2295.81269554527</v>
      </c>
      <c r="R103" s="8" t="n">
        <v>2039</v>
      </c>
      <c r="S103" s="9" t="n">
        <v>8840.77358313042</v>
      </c>
      <c r="T103" s="8" t="n">
        <v>505.720239288943</v>
      </c>
      <c r="U103" s="8" t="n">
        <v>495.136651308669</v>
      </c>
      <c r="V103" s="8" t="n">
        <v>447.955501132376</v>
      </c>
      <c r="W103" s="8" t="n">
        <v>738.349874160258</v>
      </c>
      <c r="X103" s="8" t="n">
        <v>2039</v>
      </c>
      <c r="Y103" s="3" t="n">
        <v>40082.7237446623</v>
      </c>
      <c r="Z103" s="3" t="n">
        <v>2292.85870211435</v>
      </c>
      <c r="AA103" s="3" t="n">
        <v>2030.96215879256</v>
      </c>
      <c r="AB103" s="3" t="n">
        <v>3347.5661099775</v>
      </c>
      <c r="AC103" s="3" t="n">
        <v>2244.87432277789</v>
      </c>
      <c r="AJ103" s="7" t="n">
        <v>2039</v>
      </c>
      <c r="AK103" s="6" t="n">
        <v>10608.7348264736</v>
      </c>
      <c r="AL103" s="7" t="n">
        <v>482.521922562316</v>
      </c>
      <c r="AM103" s="7" t="n">
        <v>468.503160120018</v>
      </c>
      <c r="AN103" s="7" t="n">
        <v>425.562184003792</v>
      </c>
      <c r="AO103" s="7" t="n">
        <v>713.498849322904</v>
      </c>
      <c r="AP103" s="7" t="n">
        <v>2039</v>
      </c>
      <c r="AQ103" s="2" t="n">
        <v>48098.3913151355</v>
      </c>
      <c r="AR103" s="2" t="n">
        <v>2187.6810599147</v>
      </c>
      <c r="AS103" s="2" t="n">
        <v>1929.43426242109</v>
      </c>
      <c r="AT103" s="2" t="n">
        <v>3234.89534039371</v>
      </c>
      <c r="AU103" s="2" t="n">
        <v>2124.12212166874</v>
      </c>
    </row>
    <row r="104" customFormat="false" ht="15" hidden="false" customHeight="false" outlineLevel="0" collapsed="false">
      <c r="A104" s="6" t="n">
        <v>7398.30218687012</v>
      </c>
      <c r="B104" s="7" t="n">
        <v>623.537899481219</v>
      </c>
      <c r="C104" s="7" t="n">
        <v>627.370917770041</v>
      </c>
      <c r="D104" s="7" t="n">
        <v>573.224552028464</v>
      </c>
      <c r="E104" s="7" t="n">
        <v>834.457159285641</v>
      </c>
      <c r="F104" s="7" t="n">
        <v>2040</v>
      </c>
      <c r="G104" s="4" t="n">
        <v>33542.7776706892</v>
      </c>
      <c r="H104" s="7" t="n">
        <v>2827.02606669211</v>
      </c>
      <c r="I104" s="7" t="n">
        <v>2598.91299630807</v>
      </c>
      <c r="J104" s="2" t="n">
        <v>3783.3019336933</v>
      </c>
      <c r="K104" s="7" t="n">
        <v>2844.40438904529</v>
      </c>
      <c r="R104" s="8" t="n">
        <v>2040</v>
      </c>
      <c r="S104" s="9" t="n">
        <v>8841.4867858377</v>
      </c>
      <c r="T104" s="8" t="n">
        <v>638.078055551224</v>
      </c>
      <c r="U104" s="8" t="n">
        <v>631.05977505187</v>
      </c>
      <c r="V104" s="8" t="n">
        <v>585.282731168326</v>
      </c>
      <c r="W104" s="8" t="n">
        <v>868.764346902032</v>
      </c>
      <c r="X104" s="8" t="n">
        <v>2040</v>
      </c>
      <c r="Y104" s="3" t="n">
        <v>40085.9572973397</v>
      </c>
      <c r="Z104" s="3" t="n">
        <v>2892.94892440112</v>
      </c>
      <c r="AA104" s="3" t="n">
        <v>2653.58294784365</v>
      </c>
      <c r="AB104" s="3" t="n">
        <v>3938.84550810494</v>
      </c>
      <c r="AC104" s="3" t="n">
        <v>2861.12910730333</v>
      </c>
      <c r="AJ104" s="7" t="n">
        <v>2040</v>
      </c>
      <c r="AK104" s="6" t="n">
        <v>10615.4069388485</v>
      </c>
      <c r="AL104" s="7" t="n">
        <v>607.351915152459</v>
      </c>
      <c r="AM104" s="7" t="n">
        <v>595.787410624852</v>
      </c>
      <c r="AN104" s="7" t="n">
        <v>556.966754527347</v>
      </c>
      <c r="AO104" s="7" t="n">
        <v>877.563400114172</v>
      </c>
      <c r="AP104" s="7" t="n">
        <v>2040</v>
      </c>
      <c r="AQ104" s="2" t="n">
        <v>48128.64165857</v>
      </c>
      <c r="AR104" s="2" t="n">
        <v>2753.64127380214</v>
      </c>
      <c r="AS104" s="2" t="n">
        <v>2525.20261340929</v>
      </c>
      <c r="AT104" s="2" t="n">
        <v>3978.73907802848</v>
      </c>
      <c r="AU104" s="2" t="n">
        <v>2701.20956792649</v>
      </c>
    </row>
    <row r="105" customFormat="false" ht="15" hidden="false" customHeight="false" outlineLevel="0" collapsed="false">
      <c r="A105" s="6" t="n">
        <v>7436.78894930006</v>
      </c>
      <c r="B105" s="7" t="n">
        <v>525.317368561089</v>
      </c>
      <c r="C105" s="7" t="n">
        <v>511.12082576629</v>
      </c>
      <c r="D105" s="7" t="n">
        <v>462.246397029793</v>
      </c>
      <c r="E105" s="7" t="n">
        <v>681.658222767719</v>
      </c>
      <c r="F105" s="7" t="n">
        <v>2040</v>
      </c>
      <c r="G105" s="4" t="n">
        <v>33717.2708020651</v>
      </c>
      <c r="H105" s="7" t="n">
        <v>2381.70910772848</v>
      </c>
      <c r="I105" s="7" t="n">
        <v>2095.75490876332</v>
      </c>
      <c r="J105" s="2" t="n">
        <v>3090.53477894875</v>
      </c>
      <c r="K105" s="7" t="n">
        <v>2317.34414038456</v>
      </c>
      <c r="R105" s="8" t="n">
        <v>2040</v>
      </c>
      <c r="S105" s="9" t="n">
        <v>8895.33631953185</v>
      </c>
      <c r="T105" s="8" t="n">
        <v>510.705977191263</v>
      </c>
      <c r="U105" s="8" t="n">
        <v>498.088192891324</v>
      </c>
      <c r="V105" s="8" t="n">
        <v>444.074229839641</v>
      </c>
      <c r="W105" s="8" t="n">
        <v>712.081810640526</v>
      </c>
      <c r="X105" s="8" t="n">
        <v>2040</v>
      </c>
      <c r="Y105" s="3" t="n">
        <v>40330.1028986884</v>
      </c>
      <c r="Z105" s="3" t="n">
        <v>2315.46327999691</v>
      </c>
      <c r="AA105" s="3" t="n">
        <v>2013.36506465346</v>
      </c>
      <c r="AB105" s="3" t="n">
        <v>3228.47070237904</v>
      </c>
      <c r="AC105" s="3" t="n">
        <v>2258.25616371817</v>
      </c>
      <c r="AJ105" s="7" t="n">
        <v>2040</v>
      </c>
      <c r="AK105" s="6" t="n">
        <v>10708.7460224612</v>
      </c>
      <c r="AL105" s="7" t="n">
        <v>485.954003959532</v>
      </c>
      <c r="AM105" s="7" t="n">
        <v>468.660412813459</v>
      </c>
      <c r="AN105" s="7" t="n">
        <v>424.58630833792</v>
      </c>
      <c r="AO105" s="7" t="n">
        <v>738.57287385095</v>
      </c>
      <c r="AP105" s="7" t="n">
        <v>2040</v>
      </c>
      <c r="AQ105" s="2" t="n">
        <v>48551.8268773575</v>
      </c>
      <c r="AR105" s="2" t="n">
        <v>2203.24159533847</v>
      </c>
      <c r="AS105" s="2" t="n">
        <v>1925.00979047229</v>
      </c>
      <c r="AT105" s="2" t="n">
        <v>3348.57715668208</v>
      </c>
      <c r="AU105" s="2" t="n">
        <v>2124.83508148046</v>
      </c>
    </row>
    <row r="106" customFormat="false" ht="15" hidden="false" customHeight="false" outlineLevel="0" collapsed="false">
      <c r="A106" s="6" t="n">
        <v>7465.2528524393</v>
      </c>
      <c r="B106" s="7" t="n">
        <v>526.195526394907</v>
      </c>
      <c r="C106" s="7" t="n">
        <v>507.874357022902</v>
      </c>
      <c r="D106" s="7" t="n">
        <v>449.139600397154</v>
      </c>
      <c r="E106" s="7" t="n">
        <v>709.595156177259</v>
      </c>
      <c r="F106" s="7" t="n">
        <v>2040</v>
      </c>
      <c r="G106" s="4" t="n">
        <v>33846.3218127597</v>
      </c>
      <c r="H106" s="7" t="n">
        <v>2385.69054187858</v>
      </c>
      <c r="I106" s="7" t="n">
        <v>2036.33068489156</v>
      </c>
      <c r="J106" s="2" t="n">
        <v>3217.19658898134</v>
      </c>
      <c r="K106" s="7" t="n">
        <v>2302.62514452257</v>
      </c>
      <c r="R106" s="8" t="n">
        <v>2040</v>
      </c>
      <c r="S106" s="9" t="n">
        <v>8927.19671936728</v>
      </c>
      <c r="T106" s="8" t="n">
        <v>520.46371932107</v>
      </c>
      <c r="U106" s="8" t="n">
        <v>498.976994757063</v>
      </c>
      <c r="V106" s="8" t="n">
        <v>447.63256985256</v>
      </c>
      <c r="W106" s="8" t="n">
        <v>730.915631191626</v>
      </c>
      <c r="X106" s="8" t="n">
        <v>2040</v>
      </c>
      <c r="Y106" s="3" t="n">
        <v>40474.5531091807</v>
      </c>
      <c r="Z106" s="3" t="n">
        <v>2359.70339976505</v>
      </c>
      <c r="AA106" s="3" t="n">
        <v>2029.49803745118</v>
      </c>
      <c r="AB106" s="3" t="n">
        <v>3313.86038226483</v>
      </c>
      <c r="AC106" s="3" t="n">
        <v>2262.28585629124</v>
      </c>
      <c r="AJ106" s="7" t="n">
        <v>2040</v>
      </c>
      <c r="AK106" s="6" t="n">
        <v>10741.4682752547</v>
      </c>
      <c r="AL106" s="7" t="n">
        <v>500.70432310842</v>
      </c>
      <c r="AM106" s="7" t="n">
        <v>472.534024905367</v>
      </c>
      <c r="AN106" s="7" t="n">
        <v>431.125752447273</v>
      </c>
      <c r="AO106" s="7" t="n">
        <v>772.059984347467</v>
      </c>
      <c r="AP106" s="7" t="n">
        <v>2040</v>
      </c>
      <c r="AQ106" s="2" t="n">
        <v>48700.1845981714</v>
      </c>
      <c r="AR106" s="2" t="n">
        <v>2270.11730050511</v>
      </c>
      <c r="AS106" s="2" t="n">
        <v>1954.65863615464</v>
      </c>
      <c r="AT106" s="2" t="n">
        <v>3500.40262607314</v>
      </c>
      <c r="AU106" s="2" t="n">
        <v>2142.39744996711</v>
      </c>
    </row>
    <row r="107" customFormat="false" ht="15" hidden="false" customHeight="false" outlineLevel="0" collapsed="false">
      <c r="A107" s="6" t="n">
        <v>7449.92997032808</v>
      </c>
      <c r="B107" s="7" t="n">
        <v>512.849175811923</v>
      </c>
      <c r="C107" s="7" t="n">
        <v>496.549826114283</v>
      </c>
      <c r="D107" s="7" t="n">
        <v>442.676503445274</v>
      </c>
      <c r="E107" s="7" t="n">
        <v>688.443259160148</v>
      </c>
      <c r="F107" s="7" t="n">
        <v>2040</v>
      </c>
      <c r="G107" s="4" t="n">
        <v>33776.8501941439</v>
      </c>
      <c r="H107" s="7" t="n">
        <v>2325.18021680499</v>
      </c>
      <c r="I107" s="7" t="n">
        <v>2007.02798561742</v>
      </c>
      <c r="J107" s="2" t="n">
        <v>3121.29710271578</v>
      </c>
      <c r="K107" s="7" t="n">
        <v>2251.28144256257</v>
      </c>
      <c r="R107" s="8" t="n">
        <v>2040</v>
      </c>
      <c r="S107" s="9" t="n">
        <v>8976.3171474327</v>
      </c>
      <c r="T107" s="8" t="n">
        <v>497.646981060594</v>
      </c>
      <c r="U107" s="8" t="n">
        <v>484.655238266261</v>
      </c>
      <c r="V107" s="8" t="n">
        <v>435.606918616281</v>
      </c>
      <c r="W107" s="8" t="n">
        <v>708.097916464227</v>
      </c>
      <c r="X107" s="8" t="n">
        <v>2040</v>
      </c>
      <c r="Y107" s="3" t="n">
        <v>40697.2576643706</v>
      </c>
      <c r="Z107" s="3" t="n">
        <v>2256.25577633603</v>
      </c>
      <c r="AA107" s="3" t="n">
        <v>1974.97556248663</v>
      </c>
      <c r="AB107" s="3" t="n">
        <v>3210.40833168319</v>
      </c>
      <c r="AC107" s="3" t="n">
        <v>2197.35318908047</v>
      </c>
      <c r="AJ107" s="7" t="n">
        <v>2040</v>
      </c>
      <c r="AK107" s="6" t="n">
        <v>10788.9721043652</v>
      </c>
      <c r="AL107" s="7" t="n">
        <v>464.717581885644</v>
      </c>
      <c r="AM107" s="7" t="n">
        <v>455.328972804482</v>
      </c>
      <c r="AN107" s="7" t="n">
        <v>405.942892157348</v>
      </c>
      <c r="AO107" s="7" t="n">
        <v>756.232452226515</v>
      </c>
      <c r="AP107" s="7" t="n">
        <v>2040</v>
      </c>
      <c r="AQ107" s="2" t="n">
        <v>48915.5597394014</v>
      </c>
      <c r="AR107" s="2" t="n">
        <v>2106.95888531217</v>
      </c>
      <c r="AS107" s="2" t="n">
        <v>1840.48337506351</v>
      </c>
      <c r="AT107" s="2" t="n">
        <v>3428.64300101336</v>
      </c>
      <c r="AU107" s="2" t="n">
        <v>2064.39235868322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windowProtection="true" showFormulas="false" showGridLines="true" showRowColHeaders="true" showZeros="true" rightToLeft="false" tabSelected="false" showOutlineSymbols="true" defaultGridColor="true" view="normal" topLeftCell="T1" colorId="64" zoomScale="50" zoomScaleNormal="50" zoomScalePageLayoutView="100" workbookViewId="0">
      <pane xSplit="0" ySplit="2" topLeftCell="A3" activePane="bottomLeft" state="frozen"/>
      <selection pane="topLeft" activeCell="T1" activeCellId="0" sqref="T1"/>
      <selection pane="bottomLeft" activeCell="AI1" activeCellId="0" sqref="AI1"/>
    </sheetView>
  </sheetViews>
  <sheetFormatPr defaultRowHeight="15"/>
  <cols>
    <col collapsed="false" hidden="false" max="2" min="1" style="1" width="10.830985915493"/>
    <col collapsed="false" hidden="false" max="3" min="3" style="1" width="13"/>
    <col collapsed="false" hidden="false" max="7" min="4" style="1" width="10.830985915493"/>
    <col collapsed="false" hidden="false" max="8" min="8" style="1" width="13"/>
    <col collapsed="false" hidden="false" max="9" min="9" style="1" width="11.8356807511737"/>
    <col collapsed="false" hidden="false" max="10" min="10" style="1" width="13"/>
    <col collapsed="false" hidden="false" max="1025" min="11" style="1" width="10.830985915493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  <c r="D1" s="0"/>
      <c r="E1" s="0"/>
      <c r="F1" s="0"/>
      <c r="G1" s="0"/>
      <c r="H1" s="2" t="s">
        <v>2</v>
      </c>
      <c r="I1" s="0"/>
      <c r="J1" s="0"/>
      <c r="K1" s="0"/>
      <c r="L1" s="2"/>
      <c r="M1" s="2"/>
      <c r="N1" s="2"/>
      <c r="O1" s="2"/>
      <c r="P1" s="2"/>
      <c r="Q1" s="2"/>
      <c r="R1" s="3"/>
      <c r="S1" s="3"/>
      <c r="T1" s="3"/>
      <c r="U1" s="3" t="s">
        <v>1</v>
      </c>
      <c r="V1" s="3"/>
      <c r="W1" s="3" t="s">
        <v>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  <c r="AK1" s="2"/>
      <c r="AL1" s="2"/>
      <c r="AM1" s="2" t="s">
        <v>1</v>
      </c>
      <c r="AN1" s="2"/>
      <c r="AO1" s="2" t="s">
        <v>4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customFormat="false" ht="52" hidden="false" customHeight="false" outlineLevel="0" collapsed="false">
      <c r="A2" s="2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2" t="s">
        <v>5</v>
      </c>
      <c r="H2" s="4" t="s">
        <v>6</v>
      </c>
      <c r="I2" s="4" t="s">
        <v>8</v>
      </c>
      <c r="J2" s="4" t="s">
        <v>9</v>
      </c>
      <c r="K2" s="4" t="s">
        <v>7</v>
      </c>
      <c r="L2" s="4"/>
      <c r="M2" s="2" t="s">
        <v>5</v>
      </c>
      <c r="N2" s="4" t="s">
        <v>6</v>
      </c>
      <c r="O2" s="4" t="s">
        <v>8</v>
      </c>
      <c r="P2" s="4" t="s">
        <v>9</v>
      </c>
      <c r="Q2" s="4" t="s">
        <v>7</v>
      </c>
      <c r="R2" s="5" t="s">
        <v>10</v>
      </c>
      <c r="S2" s="3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3" t="s">
        <v>5</v>
      </c>
      <c r="Z2" s="5" t="s">
        <v>6</v>
      </c>
      <c r="AA2" s="5" t="s">
        <v>8</v>
      </c>
      <c r="AB2" s="5" t="s">
        <v>9</v>
      </c>
      <c r="AC2" s="5" t="s">
        <v>7</v>
      </c>
      <c r="AD2" s="5"/>
      <c r="AE2" s="3" t="s">
        <v>5</v>
      </c>
      <c r="AF2" s="5" t="s">
        <v>11</v>
      </c>
      <c r="AG2" s="5" t="s">
        <v>12</v>
      </c>
      <c r="AH2" s="5" t="s">
        <v>13</v>
      </c>
      <c r="AI2" s="5" t="s">
        <v>14</v>
      </c>
      <c r="AJ2" s="4" t="s">
        <v>10</v>
      </c>
      <c r="AK2" s="2" t="s">
        <v>5</v>
      </c>
      <c r="AL2" s="4" t="s">
        <v>6</v>
      </c>
      <c r="AM2" s="4" t="s">
        <v>7</v>
      </c>
      <c r="AN2" s="4" t="s">
        <v>8</v>
      </c>
      <c r="AO2" s="4" t="s">
        <v>9</v>
      </c>
      <c r="AP2" s="4" t="s">
        <v>10</v>
      </c>
      <c r="AQ2" s="2" t="s">
        <v>5</v>
      </c>
      <c r="AR2" s="4" t="s">
        <v>6</v>
      </c>
      <c r="AS2" s="4" t="s">
        <v>8</v>
      </c>
      <c r="AT2" s="4" t="s">
        <v>9</v>
      </c>
      <c r="AU2" s="4" t="s">
        <v>7</v>
      </c>
      <c r="AV2" s="4"/>
      <c r="AW2" s="2" t="s">
        <v>5</v>
      </c>
      <c r="AX2" s="4" t="s">
        <v>6</v>
      </c>
      <c r="AY2" s="4" t="s">
        <v>8</v>
      </c>
      <c r="AZ2" s="4" t="s">
        <v>9</v>
      </c>
      <c r="BA2" s="4" t="s">
        <v>7</v>
      </c>
    </row>
    <row r="3" customFormat="false" ht="15" hidden="false" customHeight="false" outlineLevel="0" collapsed="false">
      <c r="A3" s="2" t="n">
        <f aca="false">[2]'Retirement benefit values'!B4</f>
        <v>6695.92</v>
      </c>
      <c r="B3" s="4"/>
      <c r="C3" s="4"/>
      <c r="D3" s="4"/>
      <c r="E3" s="4"/>
      <c r="F3" s="4"/>
      <c r="G3" s="4" t="n">
        <f aca="false">A3*[2]'Inflation indexes'!I96</f>
        <v>6695.92</v>
      </c>
      <c r="H3" s="4"/>
      <c r="I3" s="4"/>
      <c r="J3" s="0"/>
      <c r="K3" s="4"/>
      <c r="L3" s="2"/>
      <c r="M3" s="2"/>
      <c r="N3" s="2"/>
      <c r="O3" s="2"/>
      <c r="P3" s="2"/>
      <c r="Q3" s="2"/>
      <c r="R3" s="5"/>
      <c r="S3" s="3" t="n">
        <f aca="false">[2]'Retirement benefit values'!R4</f>
        <v>6695.92</v>
      </c>
      <c r="T3" s="5"/>
      <c r="U3" s="5"/>
      <c r="V3" s="5"/>
      <c r="W3" s="5"/>
      <c r="X3" s="5"/>
      <c r="Y3" s="3" t="n">
        <f aca="false">S3*[2]'Inflation indexes'!I96</f>
        <v>6695.92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2" t="n">
        <f aca="false">[2]'Retirement benefit values'!AO4</f>
        <v>6695.92</v>
      </c>
      <c r="AL3" s="4"/>
      <c r="AM3" s="4"/>
      <c r="AN3" s="4"/>
      <c r="AO3" s="4"/>
      <c r="AP3" s="4"/>
      <c r="AQ3" s="2" t="n">
        <f aca="false">AK3*[2]'Inflation indexes'!I96</f>
        <v>6695.92</v>
      </c>
      <c r="AR3" s="2"/>
      <c r="AS3" s="2"/>
      <c r="AT3" s="2"/>
      <c r="AU3" s="2"/>
      <c r="AV3" s="2"/>
      <c r="AW3" s="2"/>
      <c r="AX3" s="2"/>
      <c r="AY3" s="2"/>
      <c r="AZ3" s="2"/>
      <c r="BA3" s="2"/>
    </row>
    <row r="4" customFormat="false" ht="15" hidden="false" customHeight="false" outlineLevel="0" collapsed="false">
      <c r="A4" s="6" t="n">
        <f aca="false">[2]'Retirement benefit values'!B5</f>
        <v>6368.9065332604</v>
      </c>
      <c r="B4" s="7" t="n">
        <v>471.195668332</v>
      </c>
      <c r="C4" s="7" t="n">
        <v>486.9826680117</v>
      </c>
      <c r="D4" s="7" t="n">
        <v>384.4991375649</v>
      </c>
      <c r="E4" s="7" t="n">
        <v>680.1332126914</v>
      </c>
      <c r="F4" s="7" t="n">
        <v>2015</v>
      </c>
      <c r="G4" s="4" t="n">
        <f aca="false">A4*[2]'Inflation indexes'!I97</f>
        <v>6248.35552128482</v>
      </c>
      <c r="H4" s="7" t="n">
        <f aca="false">B4*[2]'Inflation indexes'!I97</f>
        <v>462.276850893043</v>
      </c>
      <c r="I4" s="7" t="n">
        <f aca="false">D4*[2]'Inflation indexes'!I97</f>
        <v>377.221316812606</v>
      </c>
      <c r="J4" s="2" t="n">
        <f aca="false">E4*[2]'Inflation indexes'!I97</f>
        <v>667.259613959818</v>
      </c>
      <c r="K4" s="7" t="n">
        <f aca="false">C4*[2]'Inflation indexes'!I97</f>
        <v>477.765033377435</v>
      </c>
      <c r="L4" s="2" t="n">
        <v>2015</v>
      </c>
      <c r="M4" s="2" t="n">
        <f aca="false">AVERAGE(G4:G7)</f>
        <v>6417.63821809933</v>
      </c>
      <c r="N4" s="2" t="n">
        <f aca="false">AVERAGE(H4:H7)</f>
        <v>450.921524738574</v>
      </c>
      <c r="O4" s="2" t="n">
        <f aca="false">AVERAGE(I4:I7)</f>
        <v>324.944233560672</v>
      </c>
      <c r="P4" s="2" t="n">
        <f aca="false">AVERAGE(J4:J7)</f>
        <v>734.758324116925</v>
      </c>
      <c r="Q4" s="2" t="n">
        <f aca="false">AVERAGE(K4:K7)</f>
        <v>471.788389008872</v>
      </c>
      <c r="R4" s="8" t="n">
        <v>2015</v>
      </c>
      <c r="S4" s="9" t="n">
        <f aca="false">[2]'Retirement benefit values'!R5</f>
        <v>6368.90653326037</v>
      </c>
      <c r="T4" s="8" t="n">
        <v>471.195668332</v>
      </c>
      <c r="U4" s="8" t="n">
        <v>486.9826680117</v>
      </c>
      <c r="V4" s="8" t="n">
        <v>384.4991375649</v>
      </c>
      <c r="W4" s="8" t="n">
        <v>680.1332126914</v>
      </c>
      <c r="X4" s="8" t="n">
        <v>2015</v>
      </c>
      <c r="Y4" s="3" t="n">
        <f aca="false">S4*[2]'Inflation indexes'!I97</f>
        <v>6248.3555212848</v>
      </c>
      <c r="Z4" s="3" t="n">
        <f aca="false">T4*[2]'Inflation indexes'!I97</f>
        <v>462.276850893043</v>
      </c>
      <c r="AA4" s="3" t="n">
        <f aca="false">V4*[2]'Inflation indexes'!I97</f>
        <v>377.221316812606</v>
      </c>
      <c r="AB4" s="3" t="n">
        <f aca="false">W4*[2]'Inflation indexes'!I97</f>
        <v>667.259613959818</v>
      </c>
      <c r="AC4" s="3" t="n">
        <f aca="false">U4*[2]'Inflation indexes'!I97</f>
        <v>477.765033377435</v>
      </c>
      <c r="AD4" s="3" t="n">
        <v>2015</v>
      </c>
      <c r="AE4" s="3" t="n">
        <f aca="false">AVERAGE(Y4:Y7)</f>
        <v>6417.63821809933</v>
      </c>
      <c r="AF4" s="3" t="n">
        <f aca="false">AVERAGE(Z4:Z7)</f>
        <v>450.921524738574</v>
      </c>
      <c r="AG4" s="3" t="n">
        <f aca="false">AVERAGE(AA4:AA7)</f>
        <v>324.944233560672</v>
      </c>
      <c r="AH4" s="3" t="n">
        <f aca="false">AVERAGE(AB4:AB7)</f>
        <v>734.758324116925</v>
      </c>
      <c r="AI4" s="3" t="n">
        <f aca="false">AVERAGE(AC4:AC7)</f>
        <v>471.788389008872</v>
      </c>
      <c r="AJ4" s="7" t="n">
        <v>2015</v>
      </c>
      <c r="AK4" s="6" t="n">
        <f aca="false">[2]'Retirement benefit values'!AO5</f>
        <v>6368.9065332604</v>
      </c>
      <c r="AL4" s="7" t="n">
        <v>471.195668332</v>
      </c>
      <c r="AM4" s="7" t="n">
        <v>486.9826680117</v>
      </c>
      <c r="AN4" s="7" t="n">
        <v>384.4991375649</v>
      </c>
      <c r="AO4" s="7" t="n">
        <v>680.1332126914</v>
      </c>
      <c r="AP4" s="7" t="n">
        <v>2015</v>
      </c>
      <c r="AQ4" s="2" t="n">
        <f aca="false">AK4*[2]'Inflation indexes'!I97</f>
        <v>6248.35552128482</v>
      </c>
      <c r="AR4" s="2" t="n">
        <f aca="false">AL4*[2]'Inflation indexes'!I97</f>
        <v>462.276850893043</v>
      </c>
      <c r="AS4" s="2" t="n">
        <f aca="false">AN4*[2]'Inflation indexes'!I97</f>
        <v>377.221316812606</v>
      </c>
      <c r="AT4" s="2" t="n">
        <f aca="false">AO4*[2]'Inflation indexes'!I97</f>
        <v>667.259613959818</v>
      </c>
      <c r="AU4" s="2" t="n">
        <f aca="false">AM4*[2]'Inflation indexes'!I97</f>
        <v>477.765033377435</v>
      </c>
      <c r="AV4" s="2" t="n">
        <v>2015</v>
      </c>
      <c r="AW4" s="2" t="n">
        <f aca="false">AVERAGE(AQ4:AQ7)</f>
        <v>6417.63821809933</v>
      </c>
      <c r="AX4" s="2" t="n">
        <f aca="false">AVERAGE(AR4:AR7)</f>
        <v>450.921524738574</v>
      </c>
      <c r="AY4" s="2" t="n">
        <f aca="false">AVERAGE(AS4:AS7)</f>
        <v>324.944233560672</v>
      </c>
      <c r="AZ4" s="2" t="n">
        <f aca="false">AVERAGE(AT4:AT7)</f>
        <v>734.758324116925</v>
      </c>
      <c r="BA4" s="2" t="n">
        <f aca="false">AVERAGE(AU4:AU7)</f>
        <v>471.788389008872</v>
      </c>
    </row>
    <row r="5" customFormat="false" ht="15" hidden="false" customHeight="false" outlineLevel="0" collapsed="false">
      <c r="A5" s="6" t="n">
        <f aca="false">[2]'Retirement benefit values'!B6</f>
        <v>6691.6267211456</v>
      </c>
      <c r="B5" s="7" t="n">
        <v>404.0433007799</v>
      </c>
      <c r="C5" s="7" t="n">
        <v>431.5174320563</v>
      </c>
      <c r="D5" s="7" t="n">
        <v>244.5144041989</v>
      </c>
      <c r="E5" s="7" t="n">
        <v>778.5671102443</v>
      </c>
      <c r="F5" s="7" t="n">
        <v>2015</v>
      </c>
      <c r="G5" s="4" t="n">
        <f aca="false">A5*[2]'Inflation indexes'!I98</f>
        <v>6398.73286468949</v>
      </c>
      <c r="H5" s="7" t="n">
        <f aca="false">B5*[2]'Inflation indexes'!I98</f>
        <v>386.358243697036</v>
      </c>
      <c r="I5" s="7" t="n">
        <f aca="false">D5*[2]'Inflation indexes'!I98</f>
        <v>233.811959219629</v>
      </c>
      <c r="J5" s="2" t="n">
        <f aca="false">E5*[2]'Inflation indexes'!I98</f>
        <v>744.489070190341</v>
      </c>
      <c r="K5" s="7" t="n">
        <f aca="false">C5*[2]'Inflation indexes'!I98</f>
        <v>412.629826684707</v>
      </c>
      <c r="L5" s="2" t="n">
        <f aca="false">L4+1</f>
        <v>2016</v>
      </c>
      <c r="M5" s="2" t="n">
        <f aca="false">AVERAGE(G8:G11)</f>
        <v>5983.611423093</v>
      </c>
      <c r="N5" s="2" t="n">
        <f aca="false">AVERAGE(H8:H11)</f>
        <v>492.642199286587</v>
      </c>
      <c r="O5" s="2" t="n">
        <f aca="false">AVERAGE(I8:I11)</f>
        <v>407.506574300343</v>
      </c>
      <c r="P5" s="2" t="n">
        <f aca="false">AVERAGE(J8:J11)</f>
        <v>691.619924320358</v>
      </c>
      <c r="Q5" s="2" t="n">
        <f aca="false">AVERAGE(K8:K11)</f>
        <v>507.642969973769</v>
      </c>
      <c r="R5" s="8" t="n">
        <v>2015</v>
      </c>
      <c r="S5" s="9" t="n">
        <f aca="false">[2]'Retirement benefit values'!R6</f>
        <v>6691.62672114557</v>
      </c>
      <c r="T5" s="8" t="n">
        <v>404.0433007799</v>
      </c>
      <c r="U5" s="8" t="n">
        <v>431.5174320563</v>
      </c>
      <c r="V5" s="8" t="n">
        <v>244.5144041989</v>
      </c>
      <c r="W5" s="8" t="n">
        <v>778.5671102443</v>
      </c>
      <c r="X5" s="8" t="n">
        <v>2015</v>
      </c>
      <c r="Y5" s="3" t="n">
        <f aca="false">S5*[2]'Inflation indexes'!I98</f>
        <v>6398.73286468947</v>
      </c>
      <c r="Z5" s="3" t="n">
        <f aca="false">T5*[2]'Inflation indexes'!I98</f>
        <v>386.358243697036</v>
      </c>
      <c r="AA5" s="3" t="n">
        <f aca="false">V5*[2]'Inflation indexes'!I98</f>
        <v>233.811959219629</v>
      </c>
      <c r="AB5" s="3" t="n">
        <f aca="false">W5*[2]'Inflation indexes'!I98</f>
        <v>744.489070190341</v>
      </c>
      <c r="AC5" s="3" t="n">
        <f aca="false">U5*[2]'Inflation indexes'!I98</f>
        <v>412.629826684707</v>
      </c>
      <c r="AD5" s="3" t="n">
        <f aca="false">AD4+1</f>
        <v>2016</v>
      </c>
      <c r="AE5" s="3" t="n">
        <f aca="false">AVERAGE(Y8:Y11)</f>
        <v>5983.61142309297</v>
      </c>
      <c r="AF5" s="3" t="n">
        <f aca="false">AVERAGE(Z8:Z11)</f>
        <v>492.642199286587</v>
      </c>
      <c r="AG5" s="3" t="n">
        <f aca="false">AVERAGE(AA8:AA11)</f>
        <v>407.506574300343</v>
      </c>
      <c r="AH5" s="3" t="n">
        <f aca="false">AVERAGE(AB8:AB11)</f>
        <v>691.619924320358</v>
      </c>
      <c r="AI5" s="3" t="n">
        <f aca="false">AVERAGE(AC8:AC11)</f>
        <v>507.642969973769</v>
      </c>
      <c r="AJ5" s="7" t="n">
        <v>2015</v>
      </c>
      <c r="AK5" s="6" t="n">
        <f aca="false">[2]'Retirement benefit values'!AO6</f>
        <v>6691.6267211456</v>
      </c>
      <c r="AL5" s="7" t="n">
        <v>404.0433007799</v>
      </c>
      <c r="AM5" s="7" t="n">
        <v>431.5174320563</v>
      </c>
      <c r="AN5" s="7" t="n">
        <v>244.5144041989</v>
      </c>
      <c r="AO5" s="7" t="n">
        <v>778.5671102443</v>
      </c>
      <c r="AP5" s="7" t="n">
        <v>2015</v>
      </c>
      <c r="AQ5" s="2" t="n">
        <f aca="false">AK5*[2]'Inflation indexes'!I98</f>
        <v>6398.73286468949</v>
      </c>
      <c r="AR5" s="2" t="n">
        <f aca="false">AL5*[2]'Inflation indexes'!I98</f>
        <v>386.358243697036</v>
      </c>
      <c r="AS5" s="2" t="n">
        <f aca="false">AN5*[2]'Inflation indexes'!I98</f>
        <v>233.811959219629</v>
      </c>
      <c r="AT5" s="2" t="n">
        <f aca="false">AO5*[2]'Inflation indexes'!I98</f>
        <v>744.489070190341</v>
      </c>
      <c r="AU5" s="2" t="n">
        <f aca="false">AM5*[2]'Inflation indexes'!I98</f>
        <v>412.629826684707</v>
      </c>
      <c r="AV5" s="2" t="n">
        <f aca="false">AV4+1</f>
        <v>2016</v>
      </c>
      <c r="AW5" s="2" t="n">
        <f aca="false">AVERAGE(AQ8:AQ11)</f>
        <v>5983.611423093</v>
      </c>
      <c r="AX5" s="2" t="n">
        <f aca="false">AVERAGE(AR8:AR11)</f>
        <v>492.642199286587</v>
      </c>
      <c r="AY5" s="2" t="n">
        <f aca="false">AVERAGE(AS8:AS11)</f>
        <v>407.506574300343</v>
      </c>
      <c r="AZ5" s="2" t="n">
        <f aca="false">AVERAGE(AT8:AT11)</f>
        <v>691.619924320358</v>
      </c>
      <c r="BA5" s="2" t="n">
        <f aca="false">AVERAGE(AU8:AU11)</f>
        <v>507.642969973769</v>
      </c>
    </row>
    <row r="6" customFormat="false" ht="15" hidden="false" customHeight="false" outlineLevel="0" collapsed="false">
      <c r="A6" s="6" t="n">
        <f aca="false">[2]'Retirement benefit values'!B7</f>
        <v>6984.1911310188</v>
      </c>
      <c r="B6" s="7" t="n">
        <v>517.6940682948</v>
      </c>
      <c r="C6" s="7" t="n">
        <v>541.8794483793</v>
      </c>
      <c r="D6" s="7" t="n">
        <v>376.5867960417</v>
      </c>
      <c r="E6" s="7" t="n">
        <v>823.1785852337</v>
      </c>
      <c r="F6" s="7" t="n">
        <v>2015</v>
      </c>
      <c r="G6" s="4" t="n">
        <f aca="false">A6*[2]'Inflation indexes'!I99</f>
        <v>6562.16934766773</v>
      </c>
      <c r="H6" s="7" t="n">
        <f aca="false">B6*[2]'Inflation indexes'!I99</f>
        <v>486.412253431269</v>
      </c>
      <c r="I6" s="7" t="n">
        <f aca="false">D6*[2]'Inflation indexes'!I99</f>
        <v>353.831429203851</v>
      </c>
      <c r="J6" s="2" t="n">
        <f aca="false">E6*[2]'Inflation indexes'!I99</f>
        <v>773.437779456802</v>
      </c>
      <c r="K6" s="7" t="n">
        <f aca="false">C6*[2]'Inflation indexes'!I99</f>
        <v>509.136224879778</v>
      </c>
      <c r="L6" s="2" t="n">
        <f aca="false">L5+1</f>
        <v>2017</v>
      </c>
      <c r="M6" s="2" t="n">
        <f aca="false">AVERAGE(G12:G15)</f>
        <v>6163.289117964</v>
      </c>
      <c r="N6" s="2" t="n">
        <f aca="false">AVERAGE(H12:H15)</f>
        <v>545.815316546677</v>
      </c>
      <c r="O6" s="2" t="n">
        <f aca="false">AVERAGE(I12:I15)</f>
        <v>500.873436381271</v>
      </c>
      <c r="P6" s="2" t="n">
        <f aca="false">AVERAGE(J12:J15)</f>
        <v>724.505669913243</v>
      </c>
      <c r="Q6" s="2" t="n">
        <f aca="false">AVERAGE(K12:K15)</f>
        <v>557.338649051489</v>
      </c>
      <c r="R6" s="8" t="n">
        <v>2015</v>
      </c>
      <c r="S6" s="9" t="n">
        <f aca="false">[2]'Retirement benefit values'!R7</f>
        <v>6984.19113101881</v>
      </c>
      <c r="T6" s="8" t="n">
        <v>517.6940682948</v>
      </c>
      <c r="U6" s="8" t="n">
        <v>541.8794483793</v>
      </c>
      <c r="V6" s="8" t="n">
        <v>376.5867960417</v>
      </c>
      <c r="W6" s="8" t="n">
        <v>823.1785852337</v>
      </c>
      <c r="X6" s="8" t="n">
        <v>2015</v>
      </c>
      <c r="Y6" s="3" t="n">
        <f aca="false">S6*[2]'Inflation indexes'!I99</f>
        <v>6562.16934766774</v>
      </c>
      <c r="Z6" s="3" t="n">
        <f aca="false">T6*[2]'Inflation indexes'!I99</f>
        <v>486.412253431269</v>
      </c>
      <c r="AA6" s="3" t="n">
        <f aca="false">V6*[2]'Inflation indexes'!I99</f>
        <v>353.831429203851</v>
      </c>
      <c r="AB6" s="3" t="n">
        <f aca="false">W6*[2]'Inflation indexes'!I99</f>
        <v>773.437779456802</v>
      </c>
      <c r="AC6" s="3" t="n">
        <f aca="false">U6*[2]'Inflation indexes'!I99</f>
        <v>509.136224879778</v>
      </c>
      <c r="AD6" s="3" t="n">
        <f aca="false">AD5+1</f>
        <v>2017</v>
      </c>
      <c r="AE6" s="3" t="n">
        <f aca="false">AVERAGE(Y12:Y15)</f>
        <v>6163.28911796399</v>
      </c>
      <c r="AF6" s="3" t="n">
        <f aca="false">AVERAGE(Z12:Z15)</f>
        <v>545.815316546677</v>
      </c>
      <c r="AG6" s="3" t="n">
        <f aca="false">AVERAGE(AA12:AA15)</f>
        <v>500.873436381271</v>
      </c>
      <c r="AH6" s="3" t="n">
        <f aca="false">AVERAGE(AB12:AB15)</f>
        <v>724.505669913243</v>
      </c>
      <c r="AI6" s="3" t="n">
        <f aca="false">AVERAGE(AC12:AC15)</f>
        <v>557.338649051489</v>
      </c>
      <c r="AJ6" s="7" t="n">
        <v>2015</v>
      </c>
      <c r="AK6" s="6" t="n">
        <f aca="false">[2]'Retirement benefit values'!AO7</f>
        <v>6984.1911310188</v>
      </c>
      <c r="AL6" s="7" t="n">
        <v>517.6940682948</v>
      </c>
      <c r="AM6" s="7" t="n">
        <v>541.8794483793</v>
      </c>
      <c r="AN6" s="7" t="n">
        <v>376.5867960417</v>
      </c>
      <c r="AO6" s="7" t="n">
        <v>823.1785852337</v>
      </c>
      <c r="AP6" s="7" t="n">
        <v>2015</v>
      </c>
      <c r="AQ6" s="2" t="n">
        <f aca="false">AK6*[2]'Inflation indexes'!I99</f>
        <v>6562.16934766773</v>
      </c>
      <c r="AR6" s="2" t="n">
        <f aca="false">AL6*[2]'Inflation indexes'!I99</f>
        <v>486.412253431269</v>
      </c>
      <c r="AS6" s="2" t="n">
        <f aca="false">AN6*[2]'Inflation indexes'!I99</f>
        <v>353.831429203851</v>
      </c>
      <c r="AT6" s="2" t="n">
        <f aca="false">AO6*[2]'Inflation indexes'!I99</f>
        <v>773.437779456802</v>
      </c>
      <c r="AU6" s="2" t="n">
        <f aca="false">AM6*[2]'Inflation indexes'!I99</f>
        <v>509.136224879778</v>
      </c>
      <c r="AV6" s="2" t="n">
        <f aca="false">AV5+1</f>
        <v>2017</v>
      </c>
      <c r="AW6" s="2" t="n">
        <f aca="false">AVERAGE(AQ12:AQ15)</f>
        <v>6163.289117964</v>
      </c>
      <c r="AX6" s="2" t="n">
        <f aca="false">AVERAGE(AR12:AR15)</f>
        <v>545.815316546677</v>
      </c>
      <c r="AY6" s="2" t="n">
        <f aca="false">AVERAGE(AS12:AS15)</f>
        <v>500.873436381271</v>
      </c>
      <c r="AZ6" s="2" t="n">
        <f aca="false">AVERAGE(AT12:AT15)</f>
        <v>724.505669913243</v>
      </c>
      <c r="BA6" s="2" t="n">
        <f aca="false">AVERAGE(AU12:AU15)</f>
        <v>557.338649051489</v>
      </c>
    </row>
    <row r="7" customFormat="false" ht="15" hidden="false" customHeight="false" outlineLevel="0" collapsed="false">
      <c r="A7" s="6" t="n">
        <f aca="false">[2]'Retirement benefit values'!B8</f>
        <v>6967.8308273951</v>
      </c>
      <c r="B7" s="7" t="n">
        <v>505.3778639636</v>
      </c>
      <c r="C7" s="7" t="n">
        <v>525.8498200828</v>
      </c>
      <c r="D7" s="7" t="n">
        <v>361.1678005152</v>
      </c>
      <c r="E7" s="7" t="n">
        <v>812.9449418949</v>
      </c>
      <c r="F7" s="7" t="n">
        <v>2015</v>
      </c>
      <c r="G7" s="4" t="n">
        <f aca="false">A7*[2]'Inflation indexes'!I100</f>
        <v>6461.29513875529</v>
      </c>
      <c r="H7" s="7" t="n">
        <f aca="false">B7*[2]'Inflation indexes'!I100</f>
        <v>468.63875093295</v>
      </c>
      <c r="I7" s="7" t="n">
        <f aca="false">D7*[2]'Inflation indexes'!I100</f>
        <v>334.912229006601</v>
      </c>
      <c r="J7" s="2" t="n">
        <f aca="false">E7*[2]'Inflation indexes'!I100</f>
        <v>753.846832860739</v>
      </c>
      <c r="K7" s="7" t="n">
        <f aca="false">C7*[2]'Inflation indexes'!I100</f>
        <v>487.622471093568</v>
      </c>
      <c r="L7" s="2" t="n">
        <f aca="false">L6+1</f>
        <v>2018</v>
      </c>
      <c r="M7" s="2" t="n">
        <f aca="false">AVERAGE(G16:G19)</f>
        <v>6170.39922094016</v>
      </c>
      <c r="N7" s="2" t="n">
        <f aca="false">AVERAGE(H16:H19)</f>
        <v>505.544032875412</v>
      </c>
      <c r="O7" s="2" t="n">
        <f aca="false">AVERAGE(I16:I19)</f>
        <v>460.776929238966</v>
      </c>
      <c r="P7" s="2" t="n">
        <f aca="false">AVERAGE(J16:J19)</f>
        <v>670.913606709629</v>
      </c>
      <c r="Q7" s="2" t="n">
        <f aca="false">AVERAGE(K16:K19)</f>
        <v>514.581039428419</v>
      </c>
      <c r="R7" s="8" t="n">
        <v>2015</v>
      </c>
      <c r="S7" s="9" t="n">
        <f aca="false">[2]'Retirement benefit values'!R8</f>
        <v>6967.83082739512</v>
      </c>
      <c r="T7" s="8" t="n">
        <v>505.3778639636</v>
      </c>
      <c r="U7" s="8" t="n">
        <v>525.8498200828</v>
      </c>
      <c r="V7" s="8" t="n">
        <v>361.1678005152</v>
      </c>
      <c r="W7" s="8" t="n">
        <v>812.9449418949</v>
      </c>
      <c r="X7" s="8" t="n">
        <v>2015</v>
      </c>
      <c r="Y7" s="3" t="n">
        <f aca="false">S7*[2]'Inflation indexes'!I100</f>
        <v>6461.29513875531</v>
      </c>
      <c r="Z7" s="3" t="n">
        <f aca="false">T7*[2]'Inflation indexes'!I100</f>
        <v>468.63875093295</v>
      </c>
      <c r="AA7" s="3" t="n">
        <f aca="false">V7*[2]'Inflation indexes'!I100</f>
        <v>334.912229006601</v>
      </c>
      <c r="AB7" s="3" t="n">
        <f aca="false">W7*[2]'Inflation indexes'!I100</f>
        <v>753.846832860739</v>
      </c>
      <c r="AC7" s="3" t="n">
        <f aca="false">U7*[2]'Inflation indexes'!I100</f>
        <v>487.622471093568</v>
      </c>
      <c r="AD7" s="3" t="n">
        <f aca="false">AD6+1</f>
        <v>2018</v>
      </c>
      <c r="AE7" s="3" t="n">
        <f aca="false">AVERAGE(Y16:Y19)</f>
        <v>6173.29678625735</v>
      </c>
      <c r="AF7" s="3" t="n">
        <f aca="false">AVERAGE(Z16:Z19)</f>
        <v>505.466344331121</v>
      </c>
      <c r="AG7" s="3" t="n">
        <f aca="false">AVERAGE(AA16:AA19)</f>
        <v>460.672182295368</v>
      </c>
      <c r="AH7" s="3" t="n">
        <f aca="false">AVERAGE(AB16:AB19)</f>
        <v>670.913606709629</v>
      </c>
      <c r="AI7" s="3" t="n">
        <f aca="false">AVERAGE(AC16:AC19)</f>
        <v>514.516129925359</v>
      </c>
      <c r="AJ7" s="7" t="n">
        <v>2015</v>
      </c>
      <c r="AK7" s="6" t="n">
        <f aca="false">[2]'Retirement benefit values'!AO8</f>
        <v>6967.8308273951</v>
      </c>
      <c r="AL7" s="7" t="n">
        <v>505.3778639636</v>
      </c>
      <c r="AM7" s="7" t="n">
        <v>525.8498200828</v>
      </c>
      <c r="AN7" s="7" t="n">
        <v>361.1678005152</v>
      </c>
      <c r="AO7" s="7" t="n">
        <v>812.9449418949</v>
      </c>
      <c r="AP7" s="7" t="n">
        <v>2015</v>
      </c>
      <c r="AQ7" s="2" t="n">
        <f aca="false">AK7*[2]'Inflation indexes'!I100</f>
        <v>6461.29513875529</v>
      </c>
      <c r="AR7" s="2" t="n">
        <f aca="false">AL7*[2]'Inflation indexes'!I100</f>
        <v>468.63875093295</v>
      </c>
      <c r="AS7" s="2" t="n">
        <f aca="false">AN7*[2]'Inflation indexes'!I100</f>
        <v>334.912229006601</v>
      </c>
      <c r="AT7" s="2" t="n">
        <f aca="false">AO7*[2]'Inflation indexes'!I100</f>
        <v>753.846832860739</v>
      </c>
      <c r="AU7" s="2" t="n">
        <f aca="false">AM7*[2]'Inflation indexes'!I100</f>
        <v>487.622471093568</v>
      </c>
      <c r="AV7" s="2" t="n">
        <f aca="false">AV6+1</f>
        <v>2018</v>
      </c>
      <c r="AW7" s="2" t="n">
        <f aca="false">AVERAGE(AQ16:AQ19)</f>
        <v>6176.17821897292</v>
      </c>
      <c r="AX7" s="2" t="n">
        <f aca="false">AVERAGE(AR16:AR19)</f>
        <v>505.312148739902</v>
      </c>
      <c r="AY7" s="2" t="n">
        <f aca="false">AVERAGE(AS16:AS19)</f>
        <v>460.496281031198</v>
      </c>
      <c r="AZ7" s="2" t="n">
        <f aca="false">AVERAGE(AT16:AT19)</f>
        <v>670.913606709629</v>
      </c>
      <c r="BA7" s="2" t="n">
        <f aca="false">AVERAGE(AU16:AU19)</f>
        <v>514.404590229343</v>
      </c>
    </row>
    <row r="8" customFormat="false" ht="15" hidden="false" customHeight="false" outlineLevel="0" collapsed="false">
      <c r="A8" s="6" t="n">
        <f aca="false">[2]'Retirement benefit values'!B9</f>
        <v>6546.8359095505</v>
      </c>
      <c r="B8" s="7" t="n">
        <v>571.6642059147</v>
      </c>
      <c r="C8" s="7" t="n">
        <v>594.4529614108</v>
      </c>
      <c r="D8" s="7" t="n">
        <v>420.6142182158</v>
      </c>
      <c r="E8" s="7" t="n">
        <v>857.5128072996</v>
      </c>
      <c r="F8" s="7" t="n">
        <f aca="false">F4+1</f>
        <v>2016</v>
      </c>
      <c r="G8" s="4" t="n">
        <f aca="false">A8*[2]'Inflation indexes'!I101</f>
        <v>6070.82398978779</v>
      </c>
      <c r="H8" s="7" t="n">
        <f aca="false">B8*[2]'Inflation indexes'!I101</f>
        <v>530.09924539383</v>
      </c>
      <c r="I8" s="7" t="n">
        <f aca="false">D8*[2]'Inflation indexes'!I101</f>
        <v>390.031905743248</v>
      </c>
      <c r="J8" s="2" t="n">
        <f aca="false">E8*[2]'Inflation indexes'!I101</f>
        <v>795.164166939096</v>
      </c>
      <c r="K8" s="7" t="n">
        <f aca="false">C8*[2]'Inflation indexes'!I101</f>
        <v>551.2310601322</v>
      </c>
      <c r="L8" s="2" t="n">
        <f aca="false">L7+1</f>
        <v>2019</v>
      </c>
      <c r="M8" s="2" t="n">
        <f aca="false">AVERAGE(G20:G23)</f>
        <v>6201.35947105634</v>
      </c>
      <c r="N8" s="2" t="n">
        <f aca="false">AVERAGE(H20:H23)</f>
        <v>476.565276875812</v>
      </c>
      <c r="O8" s="2" t="n">
        <f aca="false">AVERAGE(I20:I23)</f>
        <v>427.159043185162</v>
      </c>
      <c r="P8" s="2" t="n">
        <f aca="false">AVERAGE(J20:J23)</f>
        <v>625.665922052372</v>
      </c>
      <c r="Q8" s="2" t="n">
        <f aca="false">AVERAGE(K20:K23)</f>
        <v>481.287781063315</v>
      </c>
      <c r="R8" s="8" t="n">
        <f aca="false">R4+1</f>
        <v>2016</v>
      </c>
      <c r="S8" s="9" t="n">
        <f aca="false">[2]'Retirement benefit values'!R9</f>
        <v>6546.83590955045</v>
      </c>
      <c r="T8" s="8" t="n">
        <v>571.6642059147</v>
      </c>
      <c r="U8" s="8" t="n">
        <v>594.4529614108</v>
      </c>
      <c r="V8" s="8" t="n">
        <v>420.6142182158</v>
      </c>
      <c r="W8" s="8" t="n">
        <v>857.5128072996</v>
      </c>
      <c r="X8" s="8" t="n">
        <f aca="false">X4+1</f>
        <v>2016</v>
      </c>
      <c r="Y8" s="3" t="n">
        <f aca="false">S8*[2]'Inflation indexes'!I101</f>
        <v>6070.82398978774</v>
      </c>
      <c r="Z8" s="3" t="n">
        <f aca="false">T8*[2]'Inflation indexes'!I101</f>
        <v>530.09924539383</v>
      </c>
      <c r="AA8" s="3" t="n">
        <f aca="false">V8*[2]'Inflation indexes'!I101</f>
        <v>390.031905743248</v>
      </c>
      <c r="AB8" s="3" t="n">
        <f aca="false">W8*[2]'Inflation indexes'!I101</f>
        <v>795.164166939096</v>
      </c>
      <c r="AC8" s="3" t="n">
        <f aca="false">U8*[2]'Inflation indexes'!I101</f>
        <v>551.2310601322</v>
      </c>
      <c r="AD8" s="3" t="n">
        <f aca="false">AD7+1</f>
        <v>2019</v>
      </c>
      <c r="AE8" s="3" t="n">
        <f aca="false">AVERAGE(Y20:Y23)</f>
        <v>6247.27193573713</v>
      </c>
      <c r="AF8" s="3" t="n">
        <f aca="false">AVERAGE(Z20:Z23)</f>
        <v>476.608101210973</v>
      </c>
      <c r="AG8" s="3" t="n">
        <f aca="false">AVERAGE(AA20:AA23)</f>
        <v>427.086091410837</v>
      </c>
      <c r="AH8" s="3" t="n">
        <f aca="false">AVERAGE(AB20:AB23)</f>
        <v>625.825716526643</v>
      </c>
      <c r="AI8" s="3" t="n">
        <f aca="false">AVERAGE(AC20:AC23)</f>
        <v>481.294283257222</v>
      </c>
      <c r="AJ8" s="7" t="n">
        <f aca="false">AJ4+1</f>
        <v>2016</v>
      </c>
      <c r="AK8" s="6" t="n">
        <f aca="false">[2]'Retirement benefit values'!AO9</f>
        <v>6546.8359095505</v>
      </c>
      <c r="AL8" s="7" t="n">
        <v>571.6642059147</v>
      </c>
      <c r="AM8" s="7" t="n">
        <v>594.4529614108</v>
      </c>
      <c r="AN8" s="7" t="n">
        <v>420.6142182158</v>
      </c>
      <c r="AO8" s="7" t="n">
        <v>857.5128072996</v>
      </c>
      <c r="AP8" s="7" t="n">
        <f aca="false">AP4+1</f>
        <v>2016</v>
      </c>
      <c r="AQ8" s="2" t="n">
        <f aca="false">AK8*[2]'Inflation indexes'!I101</f>
        <v>6070.82398978779</v>
      </c>
      <c r="AR8" s="2" t="n">
        <f aca="false">AL8*[2]'Inflation indexes'!I101</f>
        <v>530.09924539383</v>
      </c>
      <c r="AS8" s="2" t="n">
        <f aca="false">AN8*[2]'Inflation indexes'!I101</f>
        <v>390.031905743248</v>
      </c>
      <c r="AT8" s="2" t="n">
        <f aca="false">AO8*[2]'Inflation indexes'!I101</f>
        <v>795.164166939096</v>
      </c>
      <c r="AU8" s="2" t="n">
        <f aca="false">AM8*[2]'Inflation indexes'!I101</f>
        <v>551.2310601322</v>
      </c>
      <c r="AV8" s="2" t="n">
        <f aca="false">AV7+1</f>
        <v>2019</v>
      </c>
      <c r="AW8" s="2" t="n">
        <f aca="false">AVERAGE(AQ20:AQ23)</f>
        <v>6296.06735388721</v>
      </c>
      <c r="AX8" s="2" t="n">
        <f aca="false">AVERAGE(AR20:AR23)</f>
        <v>477.054362149322</v>
      </c>
      <c r="AY8" s="2" t="n">
        <f aca="false">AVERAGE(AS20:AS23)</f>
        <v>427.264094766707</v>
      </c>
      <c r="AZ8" s="2" t="n">
        <f aca="false">AVERAGE(AT20:AT23)</f>
        <v>627.713129722083</v>
      </c>
      <c r="BA8" s="2" t="n">
        <f aca="false">AVERAGE(AU20:AU23)</f>
        <v>481.834093986251</v>
      </c>
    </row>
    <row r="9" customFormat="false" ht="15" hidden="false" customHeight="false" outlineLevel="0" collapsed="false">
      <c r="A9" s="6" t="n">
        <f aca="false">[2]'Retirement benefit values'!B10</f>
        <v>6356.2046503346</v>
      </c>
      <c r="B9" s="7" t="n">
        <v>499.9892025331</v>
      </c>
      <c r="C9" s="7" t="n">
        <v>517.000941748</v>
      </c>
      <c r="D9" s="7" t="n">
        <v>412.1990040699</v>
      </c>
      <c r="E9" s="7" t="n">
        <v>705.3950504784</v>
      </c>
      <c r="F9" s="7" t="n">
        <f aca="false">F5+1</f>
        <v>2016</v>
      </c>
      <c r="G9" s="4" t="n">
        <f aca="false">A9*[2]'Inflation indexes'!I102</f>
        <v>5894.39501418657</v>
      </c>
      <c r="H9" s="7" t="n">
        <f aca="false">B9*[2]'Inflation indexes'!I102</f>
        <v>463.662519488431</v>
      </c>
      <c r="I9" s="7" t="n">
        <f aca="false">D9*[2]'Inflation indexes'!I102</f>
        <v>382.250712194169</v>
      </c>
      <c r="J9" s="2" t="n">
        <f aca="false">E9*[2]'Inflation indexes'!I102</f>
        <v>654.144618888708</v>
      </c>
      <c r="K9" s="7" t="n">
        <f aca="false">C9*[2]'Inflation indexes'!I102</f>
        <v>479.438271895281</v>
      </c>
      <c r="L9" s="2" t="n">
        <f aca="false">L8+1</f>
        <v>2020</v>
      </c>
      <c r="M9" s="2" t="n">
        <f aca="false">AVERAGE(G24:G27)</f>
        <v>6166.69662750392</v>
      </c>
      <c r="N9" s="2" t="n">
        <f aca="false">AVERAGE(H24:H27)</f>
        <v>481.061558629565</v>
      </c>
      <c r="O9" s="2" t="n">
        <f aca="false">AVERAGE(I24:I27)</f>
        <v>428.588560882449</v>
      </c>
      <c r="P9" s="2" t="n">
        <f aca="false">AVERAGE(J24:J27)</f>
        <v>643.859002628679</v>
      </c>
      <c r="Q9" s="2" t="n">
        <f aca="false">AVERAGE(K24:K27)</f>
        <v>484.839160481747</v>
      </c>
      <c r="R9" s="8" t="n">
        <f aca="false">R5+1</f>
        <v>2016</v>
      </c>
      <c r="S9" s="9" t="n">
        <f aca="false">[2]'Retirement benefit values'!R10</f>
        <v>6356.20465033455</v>
      </c>
      <c r="T9" s="8" t="n">
        <v>499.9892025331</v>
      </c>
      <c r="U9" s="8" t="n">
        <v>517.000941748</v>
      </c>
      <c r="V9" s="8" t="n">
        <v>412.1990040699</v>
      </c>
      <c r="W9" s="8" t="n">
        <v>705.3950504784</v>
      </c>
      <c r="X9" s="8" t="n">
        <f aca="false">X5+1</f>
        <v>2016</v>
      </c>
      <c r="Y9" s="3" t="n">
        <f aca="false">S9*[2]'Inflation indexes'!I102</f>
        <v>5894.39501418652</v>
      </c>
      <c r="Z9" s="3" t="n">
        <f aca="false">T9*[2]'Inflation indexes'!I102</f>
        <v>463.662519488431</v>
      </c>
      <c r="AA9" s="3" t="n">
        <f aca="false">V9*[2]'Inflation indexes'!I102</f>
        <v>382.250712194169</v>
      </c>
      <c r="AB9" s="3" t="n">
        <f aca="false">W9*[2]'Inflation indexes'!I102</f>
        <v>654.144618888708</v>
      </c>
      <c r="AC9" s="3" t="n">
        <f aca="false">U9*[2]'Inflation indexes'!I102</f>
        <v>479.438271895281</v>
      </c>
      <c r="AD9" s="3" t="n">
        <f aca="false">AD8+1</f>
        <v>2020</v>
      </c>
      <c r="AE9" s="3" t="n">
        <f aca="false">AVERAGE(Y24:Y27)</f>
        <v>6272.23165916312</v>
      </c>
      <c r="AF9" s="3" t="n">
        <f aca="false">AVERAGE(Z24:Z27)</f>
        <v>483.716845360717</v>
      </c>
      <c r="AG9" s="3" t="n">
        <f aca="false">AVERAGE(AA24:AA27)</f>
        <v>432.238637950472</v>
      </c>
      <c r="AH9" s="3" t="n">
        <f aca="false">AVERAGE(AB24:AB27)</f>
        <v>650.354003003481</v>
      </c>
      <c r="AI9" s="3" t="n">
        <f aca="false">AVERAGE(AC24:AC27)</f>
        <v>487.717413740714</v>
      </c>
      <c r="AJ9" s="7" t="n">
        <f aca="false">AJ5+1</f>
        <v>2016</v>
      </c>
      <c r="AK9" s="6" t="n">
        <f aca="false">[2]'Retirement benefit values'!AO10</f>
        <v>6356.2046503346</v>
      </c>
      <c r="AL9" s="7" t="n">
        <v>499.9892025331</v>
      </c>
      <c r="AM9" s="7" t="n">
        <v>517.000941748</v>
      </c>
      <c r="AN9" s="7" t="n">
        <v>412.1990040699</v>
      </c>
      <c r="AO9" s="7" t="n">
        <v>705.3950504784</v>
      </c>
      <c r="AP9" s="7" t="n">
        <f aca="false">AP5+1</f>
        <v>2016</v>
      </c>
      <c r="AQ9" s="2" t="n">
        <f aca="false">AK9*[2]'Inflation indexes'!I102</f>
        <v>5894.39501418657</v>
      </c>
      <c r="AR9" s="2" t="n">
        <f aca="false">AL9*[2]'Inflation indexes'!I102</f>
        <v>463.662519488431</v>
      </c>
      <c r="AS9" s="2" t="n">
        <f aca="false">AN9*[2]'Inflation indexes'!I102</f>
        <v>382.250712194169</v>
      </c>
      <c r="AT9" s="2" t="n">
        <f aca="false">AO9*[2]'Inflation indexes'!I102</f>
        <v>654.144618888708</v>
      </c>
      <c r="AU9" s="2" t="n">
        <f aca="false">AM9*[2]'Inflation indexes'!I102</f>
        <v>479.438271895281</v>
      </c>
      <c r="AV9" s="2" t="n">
        <f aca="false">AV8+1</f>
        <v>2020</v>
      </c>
      <c r="AW9" s="2" t="n">
        <f aca="false">AVERAGE(AQ24:AQ27)</f>
        <v>6382.37319211624</v>
      </c>
      <c r="AX9" s="2" t="n">
        <f aca="false">AVERAGE(AR24:AR27)</f>
        <v>485.841870214463</v>
      </c>
      <c r="AY9" s="2" t="n">
        <f aca="false">AVERAGE(AS24:AS27)</f>
        <v>433.310298922747</v>
      </c>
      <c r="AZ9" s="2" t="n">
        <f aca="false">AVERAGE(AT24:AT27)</f>
        <v>661.981370726475</v>
      </c>
      <c r="BA9" s="2" t="n">
        <f aca="false">AVERAGE(AU24:AU27)</f>
        <v>489.908101124942</v>
      </c>
    </row>
    <row r="10" customFormat="false" ht="15" hidden="false" customHeight="false" outlineLevel="0" collapsed="false">
      <c r="A10" s="6" t="n">
        <f aca="false">[2]'Retirement benefit values'!B11</f>
        <v>6421.7509021331</v>
      </c>
      <c r="B10" s="7" t="n">
        <v>489.9770971329</v>
      </c>
      <c r="C10" s="7" t="n">
        <v>503.0512913467</v>
      </c>
      <c r="D10" s="7" t="n">
        <v>397.0412159743</v>
      </c>
      <c r="E10" s="7" t="n">
        <v>683.3725033401</v>
      </c>
      <c r="F10" s="7" t="n">
        <f aca="false">F6+1</f>
        <v>2016</v>
      </c>
      <c r="G10" s="4" t="n">
        <f aca="false">A10*[2]'Inflation indexes'!I103</f>
        <v>5954.93724126656</v>
      </c>
      <c r="H10" s="7" t="n">
        <f aca="false">B10*[2]'Inflation indexes'!I103</f>
        <v>454.359396300344</v>
      </c>
      <c r="I10" s="7" t="n">
        <f aca="false">D10*[2]'Inflation indexes'!I103</f>
        <v>368.179264402447</v>
      </c>
      <c r="J10" s="2" t="n">
        <f aca="false">E10*[2]'Inflation indexes'!I103</f>
        <v>633.696390877725</v>
      </c>
      <c r="K10" s="7" t="n">
        <f aca="false">C10*[2]'Inflation indexes'!I103</f>
        <v>466.483193565269</v>
      </c>
      <c r="L10" s="2" t="n">
        <f aca="false">L9+1</f>
        <v>2021</v>
      </c>
      <c r="M10" s="2" t="n">
        <f aca="false">AVERAGE(G28:G31)</f>
        <v>6165.55553754369</v>
      </c>
      <c r="N10" s="2" t="n">
        <f aca="false">AVERAGE(H28:H31)</f>
        <v>477.641336644406</v>
      </c>
      <c r="O10" s="2" t="n">
        <f aca="false">AVERAGE(I28:I31)</f>
        <v>428.769196887988</v>
      </c>
      <c r="P10" s="2" t="n">
        <f aca="false">AVERAGE(J28:J31)</f>
        <v>639.791960142856</v>
      </c>
      <c r="Q10" s="2" t="n">
        <f aca="false">AVERAGE(K28:K31)</f>
        <v>484.199274306007</v>
      </c>
      <c r="R10" s="8" t="n">
        <f aca="false">R6+1</f>
        <v>2016</v>
      </c>
      <c r="S10" s="9" t="n">
        <f aca="false">[2]'Retirement benefit values'!R11</f>
        <v>6421.7509021331</v>
      </c>
      <c r="T10" s="8" t="n">
        <v>489.9770971329</v>
      </c>
      <c r="U10" s="8" t="n">
        <v>503.0512913467</v>
      </c>
      <c r="V10" s="8" t="n">
        <v>397.0412159743</v>
      </c>
      <c r="W10" s="8" t="n">
        <v>683.3725033401</v>
      </c>
      <c r="X10" s="8" t="n">
        <f aca="false">X6+1</f>
        <v>2016</v>
      </c>
      <c r="Y10" s="3" t="n">
        <f aca="false">S10*[2]'Inflation indexes'!I103</f>
        <v>5954.93724126656</v>
      </c>
      <c r="Z10" s="3" t="n">
        <f aca="false">T10*[2]'Inflation indexes'!I103</f>
        <v>454.359396300344</v>
      </c>
      <c r="AA10" s="3" t="n">
        <f aca="false">V10*[2]'Inflation indexes'!I103</f>
        <v>368.179264402447</v>
      </c>
      <c r="AB10" s="3" t="n">
        <f aca="false">W10*[2]'Inflation indexes'!I103</f>
        <v>633.696390877725</v>
      </c>
      <c r="AC10" s="3" t="n">
        <f aca="false">U10*[2]'Inflation indexes'!I103</f>
        <v>466.483193565269</v>
      </c>
      <c r="AD10" s="3" t="n">
        <f aca="false">AD9+1</f>
        <v>2021</v>
      </c>
      <c r="AE10" s="3" t="n">
        <f aca="false">AVERAGE(Y28:Y31)</f>
        <v>6296.21639311559</v>
      </c>
      <c r="AF10" s="3" t="n">
        <f aca="false">AVERAGE(Z28:Z31)</f>
        <v>486.757944772068</v>
      </c>
      <c r="AG10" s="3" t="n">
        <f aca="false">AVERAGE(AA28:AA31)</f>
        <v>436.722236110415</v>
      </c>
      <c r="AH10" s="3" t="n">
        <f aca="false">AVERAGE(AB28:AB31)</f>
        <v>658.867096305019</v>
      </c>
      <c r="AI10" s="3" t="n">
        <f aca="false">AVERAGE(AC28:AC31)</f>
        <v>492.799789373055</v>
      </c>
      <c r="AJ10" s="7" t="n">
        <f aca="false">AJ6+1</f>
        <v>2016</v>
      </c>
      <c r="AK10" s="6" t="n">
        <f aca="false">[2]'Retirement benefit values'!AO11</f>
        <v>6421.7509021331</v>
      </c>
      <c r="AL10" s="7" t="n">
        <v>489.9770971329</v>
      </c>
      <c r="AM10" s="7" t="n">
        <v>503.0512913467</v>
      </c>
      <c r="AN10" s="7" t="n">
        <v>397.0412159743</v>
      </c>
      <c r="AO10" s="7" t="n">
        <v>683.3725033401</v>
      </c>
      <c r="AP10" s="7" t="n">
        <f aca="false">AP6+1</f>
        <v>2016</v>
      </c>
      <c r="AQ10" s="2" t="n">
        <f aca="false">AK10*[2]'Inflation indexes'!I103</f>
        <v>5954.93724126656</v>
      </c>
      <c r="AR10" s="2" t="n">
        <f aca="false">AL10*[2]'Inflation indexes'!I103</f>
        <v>454.359396300344</v>
      </c>
      <c r="AS10" s="2" t="n">
        <f aca="false">AN10*[2]'Inflation indexes'!I103</f>
        <v>368.179264402447</v>
      </c>
      <c r="AT10" s="2" t="n">
        <f aca="false">AO10*[2]'Inflation indexes'!I103</f>
        <v>633.696390877725</v>
      </c>
      <c r="AU10" s="2" t="n">
        <f aca="false">AM10*[2]'Inflation indexes'!I103</f>
        <v>466.483193565269</v>
      </c>
      <c r="AV10" s="2" t="n">
        <f aca="false">AV9+1</f>
        <v>2021</v>
      </c>
      <c r="AW10" s="2" t="n">
        <f aca="false">AVERAGE(AQ28:AQ31)</f>
        <v>6478.04695492771</v>
      </c>
      <c r="AX10" s="2" t="n">
        <f aca="false">AVERAGE(AR28:AR31)</f>
        <v>494.426188257982</v>
      </c>
      <c r="AY10" s="2" t="n">
        <f aca="false">AVERAGE(AS28:AS31)</f>
        <v>439.409908598554</v>
      </c>
      <c r="AZ10" s="2" t="n">
        <f aca="false">AVERAGE(AT28:AT31)</f>
        <v>667.95851823486</v>
      </c>
      <c r="BA10" s="2" t="n">
        <f aca="false">AVERAGE(AU28:AU31)</f>
        <v>495.976116266443</v>
      </c>
    </row>
    <row r="11" customFormat="false" ht="15" hidden="false" customHeight="false" outlineLevel="0" collapsed="false">
      <c r="A11" s="6" t="n">
        <f aca="false">[2]'Retirement benefit values'!B12</f>
        <v>6485.7556979743</v>
      </c>
      <c r="B11" s="7" t="n">
        <v>563.4028361341</v>
      </c>
      <c r="C11" s="7" t="n">
        <v>575.2346386033</v>
      </c>
      <c r="D11" s="7" t="n">
        <v>527.9418659719</v>
      </c>
      <c r="E11" s="7" t="n">
        <v>737.0527815817</v>
      </c>
      <c r="F11" s="7" t="n">
        <f aca="false">F7+1</f>
        <v>2016</v>
      </c>
      <c r="G11" s="4" t="n">
        <f aca="false">A11*[2]'Inflation indexes'!I104</f>
        <v>6014.28944713108</v>
      </c>
      <c r="H11" s="7" t="n">
        <f aca="false">B11*[2]'Inflation indexes'!I104</f>
        <v>522.447635963741</v>
      </c>
      <c r="I11" s="7" t="n">
        <f aca="false">D11*[2]'Inflation indexes'!I104</f>
        <v>489.564414861509</v>
      </c>
      <c r="J11" s="2" t="n">
        <f aca="false">E11*[2]'Inflation indexes'!I104</f>
        <v>683.474520575905</v>
      </c>
      <c r="K11" s="7" t="n">
        <f aca="false">C11*[2]'Inflation indexes'!I104</f>
        <v>533.419354302327</v>
      </c>
      <c r="L11" s="2" t="n">
        <f aca="false">L10+1</f>
        <v>2022</v>
      </c>
      <c r="M11" s="2" t="n">
        <f aca="false">AVERAGE(G32:G35)</f>
        <v>6134.2306912903</v>
      </c>
      <c r="N11" s="2" t="n">
        <f aca="false">AVERAGE(H32:H35)</f>
        <v>474.202312018654</v>
      </c>
      <c r="O11" s="2" t="n">
        <f aca="false">AVERAGE(I32:I35)</f>
        <v>418.435247940354</v>
      </c>
      <c r="P11" s="2" t="n">
        <f aca="false">AVERAGE(J32:J35)</f>
        <v>643.547293469534</v>
      </c>
      <c r="Q11" s="2" t="n">
        <f aca="false">AVERAGE(K32:K35)</f>
        <v>479.270402990799</v>
      </c>
      <c r="R11" s="8" t="n">
        <f aca="false">R7+1</f>
        <v>2016</v>
      </c>
      <c r="S11" s="9" t="n">
        <f aca="false">[2]'Retirement benefit values'!R12</f>
        <v>6485.75569797426</v>
      </c>
      <c r="T11" s="8" t="n">
        <v>563.4028361341</v>
      </c>
      <c r="U11" s="8" t="n">
        <v>575.2346386033</v>
      </c>
      <c r="V11" s="8" t="n">
        <v>527.9418659719</v>
      </c>
      <c r="W11" s="8" t="n">
        <v>737.0527815817</v>
      </c>
      <c r="X11" s="8" t="n">
        <f aca="false">X7+1</f>
        <v>2016</v>
      </c>
      <c r="Y11" s="3" t="n">
        <f aca="false">S11*[2]'Inflation indexes'!I104</f>
        <v>6014.28944713104</v>
      </c>
      <c r="Z11" s="3" t="n">
        <f aca="false">T11*[2]'Inflation indexes'!I104</f>
        <v>522.447635963741</v>
      </c>
      <c r="AA11" s="3" t="n">
        <f aca="false">V11*[2]'Inflation indexes'!I104</f>
        <v>489.564414861509</v>
      </c>
      <c r="AB11" s="3" t="n">
        <f aca="false">W11*[2]'Inflation indexes'!I104</f>
        <v>683.474520575905</v>
      </c>
      <c r="AC11" s="3" t="n">
        <f aca="false">U11*[2]'Inflation indexes'!I104</f>
        <v>533.419354302327</v>
      </c>
      <c r="AD11" s="3" t="n">
        <f aca="false">AD10+1</f>
        <v>2022</v>
      </c>
      <c r="AE11" s="3" t="n">
        <f aca="false">AVERAGE(Y32:Y35)</f>
        <v>6361.30528629113</v>
      </c>
      <c r="AF11" s="3" t="n">
        <f aca="false">AVERAGE(Z32:Z35)</f>
        <v>484.328719236169</v>
      </c>
      <c r="AG11" s="3" t="n">
        <f aca="false">AVERAGE(AA32:AA35)</f>
        <v>437.456048433013</v>
      </c>
      <c r="AH11" s="3" t="n">
        <f aca="false">AVERAGE(AB32:AB35)</f>
        <v>666.432163791995</v>
      </c>
      <c r="AI11" s="3" t="n">
        <f aca="false">AVERAGE(AC32:AC35)</f>
        <v>492.790059504595</v>
      </c>
      <c r="AJ11" s="7" t="n">
        <f aca="false">AJ7+1</f>
        <v>2016</v>
      </c>
      <c r="AK11" s="6" t="n">
        <f aca="false">[2]'Retirement benefit values'!AO12</f>
        <v>6485.7556979743</v>
      </c>
      <c r="AL11" s="7" t="n">
        <v>563.4028361341</v>
      </c>
      <c r="AM11" s="7" t="n">
        <v>575.2346386033</v>
      </c>
      <c r="AN11" s="7" t="n">
        <v>527.9418659719</v>
      </c>
      <c r="AO11" s="7" t="n">
        <v>737.0527815817</v>
      </c>
      <c r="AP11" s="7" t="n">
        <f aca="false">AP7+1</f>
        <v>2016</v>
      </c>
      <c r="AQ11" s="2" t="n">
        <f aca="false">AK11*[2]'Inflation indexes'!I104</f>
        <v>6014.28944713108</v>
      </c>
      <c r="AR11" s="2" t="n">
        <f aca="false">AL11*[2]'Inflation indexes'!I104</f>
        <v>522.447635963741</v>
      </c>
      <c r="AS11" s="2" t="n">
        <f aca="false">AN11*[2]'Inflation indexes'!I104</f>
        <v>489.564414861509</v>
      </c>
      <c r="AT11" s="2" t="n">
        <f aca="false">AO11*[2]'Inflation indexes'!I104</f>
        <v>683.474520575905</v>
      </c>
      <c r="AU11" s="2" t="n">
        <f aca="false">AM11*[2]'Inflation indexes'!I104</f>
        <v>533.419354302327</v>
      </c>
      <c r="AV11" s="2" t="n">
        <f aca="false">AV10+1</f>
        <v>2022</v>
      </c>
      <c r="AW11" s="2" t="n">
        <f aca="false">AVERAGE(AQ32:AQ35)</f>
        <v>6587.67500935612</v>
      </c>
      <c r="AX11" s="2" t="n">
        <f aca="false">AVERAGE(AR32:AR35)</f>
        <v>499.762673700702</v>
      </c>
      <c r="AY11" s="2" t="n">
        <f aca="false">AVERAGE(AS32:AS35)</f>
        <v>447.696543362335</v>
      </c>
      <c r="AZ11" s="2" t="n">
        <f aca="false">AVERAGE(AT32:AT35)</f>
        <v>673.245514997645</v>
      </c>
      <c r="BA11" s="2" t="n">
        <f aca="false">AVERAGE(AU32:AU35)</f>
        <v>503.17358611572</v>
      </c>
    </row>
    <row r="12" customFormat="false" ht="15" hidden="false" customHeight="false" outlineLevel="0" collapsed="false">
      <c r="A12" s="6" t="n">
        <f aca="false">[2]'Retirement benefit values'!B13</f>
        <v>6583.2437564606</v>
      </c>
      <c r="B12" s="7" t="n">
        <v>661.1672192019</v>
      </c>
      <c r="C12" s="7" t="n">
        <v>674.2930925963</v>
      </c>
      <c r="D12" s="7" t="n">
        <v>610.1906516266</v>
      </c>
      <c r="E12" s="7" t="n">
        <v>854.0601350143</v>
      </c>
      <c r="F12" s="7" t="n">
        <f aca="false">F8+1</f>
        <v>2017</v>
      </c>
      <c r="G12" s="4" t="n">
        <f aca="false">A12*[2]'Inflation indexes'!I105</f>
        <v>6104.27794697637</v>
      </c>
      <c r="H12" s="7" t="n">
        <f aca="false">B12*[2]'Inflation indexes'!I105</f>
        <v>613.063806345783</v>
      </c>
      <c r="I12" s="7" t="n">
        <f aca="false">D12*[2]'Inflation indexes'!I105</f>
        <v>565.796053734151</v>
      </c>
      <c r="J12" s="2" t="n">
        <f aca="false">E12*[2]'Inflation indexes'!I105</f>
        <v>791.922742104628</v>
      </c>
      <c r="K12" s="7" t="n">
        <f aca="false">C12*[2]'Inflation indexes'!I105</f>
        <v>625.234703013191</v>
      </c>
      <c r="L12" s="2" t="n">
        <f aca="false">L11+1</f>
        <v>2023</v>
      </c>
      <c r="M12" s="2" t="n">
        <f aca="false">AVERAGE(G36:G39)</f>
        <v>6116.63234577955</v>
      </c>
      <c r="N12" s="2" t="n">
        <f aca="false">AVERAGE(H36:H39)</f>
        <v>473.940027872296</v>
      </c>
      <c r="O12" s="2" t="n">
        <f aca="false">AVERAGE(I36:I39)</f>
        <v>417.666084596015</v>
      </c>
      <c r="P12" s="2" t="n">
        <f aca="false">AVERAGE(J36:J39)</f>
        <v>629.126072580776</v>
      </c>
      <c r="Q12" s="2" t="n">
        <f aca="false">AVERAGE(K36:K39)</f>
        <v>477.008579083233</v>
      </c>
      <c r="R12" s="8" t="n">
        <f aca="false">R8+1</f>
        <v>2017</v>
      </c>
      <c r="S12" s="9" t="n">
        <f aca="false">[2]'Retirement benefit values'!R13</f>
        <v>6583.24375646055</v>
      </c>
      <c r="T12" s="8" t="n">
        <v>661.1672192019</v>
      </c>
      <c r="U12" s="8" t="n">
        <v>674.2930925963</v>
      </c>
      <c r="V12" s="8" t="n">
        <v>610.1906516266</v>
      </c>
      <c r="W12" s="8" t="n">
        <v>854.0601350143</v>
      </c>
      <c r="X12" s="8" t="n">
        <f aca="false">X8+1</f>
        <v>2017</v>
      </c>
      <c r="Y12" s="3" t="n">
        <f aca="false">S12*[2]'Inflation indexes'!I105</f>
        <v>6104.27794697632</v>
      </c>
      <c r="Z12" s="3" t="n">
        <f aca="false">T12*[2]'Inflation indexes'!I105</f>
        <v>613.063806345783</v>
      </c>
      <c r="AA12" s="3" t="n">
        <f aca="false">V12*[2]'Inflation indexes'!I105</f>
        <v>565.796053734151</v>
      </c>
      <c r="AB12" s="3" t="n">
        <f aca="false">W12*[2]'Inflation indexes'!I105</f>
        <v>791.922742104628</v>
      </c>
      <c r="AC12" s="3" t="n">
        <f aca="false">U12*[2]'Inflation indexes'!I105</f>
        <v>625.234703013191</v>
      </c>
      <c r="AD12" s="3" t="n">
        <f aca="false">AD11+1</f>
        <v>2023</v>
      </c>
      <c r="AE12" s="3" t="n">
        <f aca="false">AVERAGE(Y36:Y39)</f>
        <v>6408.79234748035</v>
      </c>
      <c r="AF12" s="3" t="n">
        <f aca="false">AVERAGE(Z36:Z39)</f>
        <v>486.593092786466</v>
      </c>
      <c r="AG12" s="3" t="n">
        <f aca="false">AVERAGE(AA36:AA39)</f>
        <v>429.316812105207</v>
      </c>
      <c r="AH12" s="3" t="n">
        <f aca="false">AVERAGE(AB36:AB39)</f>
        <v>654.832577028072</v>
      </c>
      <c r="AI12" s="3" t="n">
        <f aca="false">AVERAGE(AC36:AC39)</f>
        <v>486.600712299987</v>
      </c>
      <c r="AJ12" s="7" t="n">
        <f aca="false">AJ8+1</f>
        <v>2017</v>
      </c>
      <c r="AK12" s="6" t="n">
        <f aca="false">[2]'Retirement benefit values'!AO13</f>
        <v>6583.2437564606</v>
      </c>
      <c r="AL12" s="7" t="n">
        <v>661.1672192019</v>
      </c>
      <c r="AM12" s="7" t="n">
        <v>674.2930925963</v>
      </c>
      <c r="AN12" s="7" t="n">
        <v>610.1906516266</v>
      </c>
      <c r="AO12" s="7" t="n">
        <v>854.0601350143</v>
      </c>
      <c r="AP12" s="7" t="n">
        <f aca="false">AP8+1</f>
        <v>2017</v>
      </c>
      <c r="AQ12" s="2" t="n">
        <f aca="false">AK12*[2]'Inflation indexes'!I105</f>
        <v>6104.27794697637</v>
      </c>
      <c r="AR12" s="2" t="n">
        <f aca="false">AL12*[2]'Inflation indexes'!I105</f>
        <v>613.063806345783</v>
      </c>
      <c r="AS12" s="2" t="n">
        <f aca="false">AN12*[2]'Inflation indexes'!I105</f>
        <v>565.796053734151</v>
      </c>
      <c r="AT12" s="2" t="n">
        <f aca="false">AO12*[2]'Inflation indexes'!I105</f>
        <v>791.922742104628</v>
      </c>
      <c r="AU12" s="2" t="n">
        <f aca="false">AM12*[2]'Inflation indexes'!I105</f>
        <v>625.234703013191</v>
      </c>
      <c r="AV12" s="2" t="n">
        <f aca="false">AV11+1</f>
        <v>2023</v>
      </c>
      <c r="AW12" s="2" t="n">
        <f aca="false">AVERAGE(AQ36:AQ39)</f>
        <v>6695.58302231091</v>
      </c>
      <c r="AX12" s="2" t="n">
        <f aca="false">AVERAGE(AR36:AR39)</f>
        <v>498.571376375768</v>
      </c>
      <c r="AY12" s="2" t="n">
        <f aca="false">AVERAGE(AS36:AS39)</f>
        <v>438.934795615267</v>
      </c>
      <c r="AZ12" s="2" t="n">
        <f aca="false">AVERAGE(AT36:AT39)</f>
        <v>676.633474916216</v>
      </c>
      <c r="BA12" s="2" t="n">
        <f aca="false">AVERAGE(AU36:AU39)</f>
        <v>499.108834713664</v>
      </c>
    </row>
    <row r="13" customFormat="false" ht="15" hidden="false" customHeight="false" outlineLevel="0" collapsed="false">
      <c r="A13" s="6" t="n">
        <f aca="false">[2]'Retirement benefit values'!B14</f>
        <v>6550.8123021847</v>
      </c>
      <c r="B13" s="7" t="n">
        <v>559.2856255023</v>
      </c>
      <c r="C13" s="7" t="n">
        <v>570.5574048461</v>
      </c>
      <c r="D13" s="7" t="n">
        <v>511.6847348607</v>
      </c>
      <c r="E13" s="7" t="n">
        <v>739.0391510364</v>
      </c>
      <c r="F13" s="7" t="n">
        <f aca="false">F9+1</f>
        <v>2017</v>
      </c>
      <c r="G13" s="4" t="n">
        <f aca="false">A13*[2]'Inflation indexes'!I106</f>
        <v>6074.49239567285</v>
      </c>
      <c r="H13" s="7" t="n">
        <f aca="false">B13*[2]'Inflation indexes'!I106</f>
        <v>518.61908453549</v>
      </c>
      <c r="I13" s="7" t="n">
        <f aca="false">D13*[2]'Inflation indexes'!I106</f>
        <v>474.479329816335</v>
      </c>
      <c r="J13" s="2" t="n">
        <f aca="false">E13*[2]'Inflation indexes'!I106</f>
        <v>685.302447389303</v>
      </c>
      <c r="K13" s="7" t="n">
        <f aca="false">C13*[2]'Inflation indexes'!I106</f>
        <v>529.071275004568</v>
      </c>
      <c r="L13" s="2" t="n">
        <f aca="false">L12+1</f>
        <v>2024</v>
      </c>
      <c r="M13" s="2" t="n">
        <f aca="false">AVERAGE(G40:G43)</f>
        <v>6070.27378079522</v>
      </c>
      <c r="N13" s="2" t="n">
        <f aca="false">AVERAGE(H40:H43)</f>
        <v>475.297116316662</v>
      </c>
      <c r="O13" s="2" t="n">
        <f aca="false">AVERAGE(I40:I43)</f>
        <v>421.16285510036</v>
      </c>
      <c r="P13" s="2" t="n">
        <f aca="false">AVERAGE(J40:J43)</f>
        <v>630.958465979682</v>
      </c>
      <c r="Q13" s="2" t="n">
        <f aca="false">AVERAGE(K40:K43)</f>
        <v>478.415449018974</v>
      </c>
      <c r="R13" s="8" t="n">
        <f aca="false">R9+1</f>
        <v>2017</v>
      </c>
      <c r="S13" s="9" t="n">
        <f aca="false">[2]'Retirement benefit values'!R14</f>
        <v>6550.81230218472</v>
      </c>
      <c r="T13" s="8" t="n">
        <v>559.2856255023</v>
      </c>
      <c r="U13" s="8" t="n">
        <v>570.5574048461</v>
      </c>
      <c r="V13" s="8" t="n">
        <v>511.6847348607</v>
      </c>
      <c r="W13" s="8" t="n">
        <v>739.0391510364</v>
      </c>
      <c r="X13" s="8" t="n">
        <f aca="false">X9+1</f>
        <v>2017</v>
      </c>
      <c r="Y13" s="3" t="n">
        <f aca="false">S13*[2]'Inflation indexes'!I106</f>
        <v>6074.49239567287</v>
      </c>
      <c r="Z13" s="3" t="n">
        <f aca="false">T13*[2]'Inflation indexes'!I106</f>
        <v>518.61908453549</v>
      </c>
      <c r="AA13" s="3" t="n">
        <f aca="false">V13*[2]'Inflation indexes'!I106</f>
        <v>474.479329816335</v>
      </c>
      <c r="AB13" s="3" t="n">
        <f aca="false">W13*[2]'Inflation indexes'!I106</f>
        <v>685.302447389303</v>
      </c>
      <c r="AC13" s="3" t="n">
        <f aca="false">U13*[2]'Inflation indexes'!I106</f>
        <v>529.071275004568</v>
      </c>
      <c r="AD13" s="3" t="n">
        <f aca="false">AD12+1</f>
        <v>2024</v>
      </c>
      <c r="AE13" s="3" t="n">
        <f aca="false">AVERAGE(Y40:Y43)</f>
        <v>6442.66766892813</v>
      </c>
      <c r="AF13" s="3" t="n">
        <f aca="false">AVERAGE(Z40:Z43)</f>
        <v>486.819604142303</v>
      </c>
      <c r="AG13" s="3" t="n">
        <f aca="false">AVERAGE(AA40:AA43)</f>
        <v>423.10335306284</v>
      </c>
      <c r="AH13" s="3" t="n">
        <f aca="false">AVERAGE(AB40:AB43)</f>
        <v>669.486896752713</v>
      </c>
      <c r="AI13" s="3" t="n">
        <f aca="false">AVERAGE(AC40:AC43)</f>
        <v>483.44921356512</v>
      </c>
      <c r="AJ13" s="7" t="n">
        <f aca="false">AJ9+1</f>
        <v>2017</v>
      </c>
      <c r="AK13" s="6" t="n">
        <f aca="false">[2]'Retirement benefit values'!AO14</f>
        <v>6550.8123021847</v>
      </c>
      <c r="AL13" s="7" t="n">
        <v>559.2856255023</v>
      </c>
      <c r="AM13" s="7" t="n">
        <v>570.5574048461</v>
      </c>
      <c r="AN13" s="7" t="n">
        <v>511.6847348607</v>
      </c>
      <c r="AO13" s="7" t="n">
        <v>739.0391510364</v>
      </c>
      <c r="AP13" s="7" t="n">
        <f aca="false">AP9+1</f>
        <v>2017</v>
      </c>
      <c r="AQ13" s="2" t="n">
        <f aca="false">AK13*[2]'Inflation indexes'!I106</f>
        <v>6074.49239567285</v>
      </c>
      <c r="AR13" s="2" t="n">
        <f aca="false">AL13*[2]'Inflation indexes'!I106</f>
        <v>518.61908453549</v>
      </c>
      <c r="AS13" s="2" t="n">
        <f aca="false">AN13*[2]'Inflation indexes'!I106</f>
        <v>474.479329816335</v>
      </c>
      <c r="AT13" s="2" t="n">
        <f aca="false">AO13*[2]'Inflation indexes'!I106</f>
        <v>685.302447389303</v>
      </c>
      <c r="AU13" s="2" t="n">
        <f aca="false">AM13*[2]'Inflation indexes'!I106</f>
        <v>529.071275004568</v>
      </c>
      <c r="AV13" s="2" t="n">
        <f aca="false">AV12+1</f>
        <v>2024</v>
      </c>
      <c r="AW13" s="2" t="n">
        <f aca="false">AVERAGE(AQ40:AQ43)</f>
        <v>6819.18044265142</v>
      </c>
      <c r="AX13" s="2" t="n">
        <f aca="false">AVERAGE(AR40:AR43)</f>
        <v>501.85279660911</v>
      </c>
      <c r="AY13" s="2" t="n">
        <f aca="false">AVERAGE(AS40:AS43)</f>
        <v>440.251190276593</v>
      </c>
      <c r="AZ13" s="2" t="n">
        <f aca="false">AVERAGE(AT40:AT43)</f>
        <v>706.189822651974</v>
      </c>
      <c r="BA13" s="2" t="n">
        <f aca="false">AVERAGE(AU40:AU43)</f>
        <v>500.271822254634</v>
      </c>
    </row>
    <row r="14" customFormat="false" ht="15" hidden="false" customHeight="false" outlineLevel="0" collapsed="false">
      <c r="A14" s="6" t="n">
        <f aca="false">[2]'Retirement benefit values'!B15</f>
        <v>6730.5417200481</v>
      </c>
      <c r="B14" s="7" t="n">
        <v>529.8045397733</v>
      </c>
      <c r="C14" s="7" t="n">
        <v>542.5676996619</v>
      </c>
      <c r="D14" s="7" t="n">
        <v>475.7321345823</v>
      </c>
      <c r="E14" s="7" t="n">
        <v>744.4853597226</v>
      </c>
      <c r="F14" s="7" t="n">
        <f aca="false">F10+1</f>
        <v>2017</v>
      </c>
      <c r="G14" s="4" t="n">
        <f aca="false">A14*[2]'Inflation indexes'!I107</f>
        <v>6241.62087257564</v>
      </c>
      <c r="H14" s="7" t="n">
        <f aca="false">B14*[2]'Inflation indexes'!I107</f>
        <v>491.318412600335</v>
      </c>
      <c r="I14" s="7" t="n">
        <f aca="false">D14*[2]'Inflation indexes'!I107</f>
        <v>441.173941782301</v>
      </c>
      <c r="J14" s="2" t="n">
        <f aca="false">E14*[2]'Inflation indexes'!I107</f>
        <v>690.404361766345</v>
      </c>
      <c r="K14" s="7" t="n">
        <f aca="false">C14*[2]'Inflation indexes'!I107</f>
        <v>503.154429443291</v>
      </c>
      <c r="L14" s="2" t="n">
        <f aca="false">L13+1</f>
        <v>2025</v>
      </c>
      <c r="M14" s="2" t="n">
        <f aca="false">AVERAGE(G44:G47)</f>
        <v>6055.11278663516</v>
      </c>
      <c r="N14" s="2" t="n">
        <f aca="false">AVERAGE(H44:H47)</f>
        <v>476.761245506934</v>
      </c>
      <c r="O14" s="2" t="n">
        <f aca="false">AVERAGE(I44:I47)</f>
        <v>418.915930449067</v>
      </c>
      <c r="P14" s="2" t="n">
        <f aca="false">AVERAGE(J44:J47)</f>
        <v>636.859869416853</v>
      </c>
      <c r="Q14" s="2" t="n">
        <f aca="false">AVERAGE(K44:K47)</f>
        <v>476.49216803263</v>
      </c>
      <c r="R14" s="8" t="n">
        <f aca="false">R10+1</f>
        <v>2017</v>
      </c>
      <c r="S14" s="9" t="n">
        <f aca="false">[2]'Retirement benefit values'!R15</f>
        <v>6730.5417200481</v>
      </c>
      <c r="T14" s="8" t="n">
        <v>529.8045397733</v>
      </c>
      <c r="U14" s="8" t="n">
        <v>542.5676996619</v>
      </c>
      <c r="V14" s="8" t="n">
        <v>475.7321345823</v>
      </c>
      <c r="W14" s="8" t="n">
        <v>744.4853597226</v>
      </c>
      <c r="X14" s="8" t="n">
        <f aca="false">X10+1</f>
        <v>2017</v>
      </c>
      <c r="Y14" s="3" t="n">
        <f aca="false">S14*[2]'Inflation indexes'!I107</f>
        <v>6241.62087257564</v>
      </c>
      <c r="Z14" s="3" t="n">
        <f aca="false">T14*[2]'Inflation indexes'!I107</f>
        <v>491.318412600335</v>
      </c>
      <c r="AA14" s="3" t="n">
        <f aca="false">V14*[2]'Inflation indexes'!I107</f>
        <v>441.173941782301</v>
      </c>
      <c r="AB14" s="3" t="n">
        <f aca="false">W14*[2]'Inflation indexes'!I107</f>
        <v>690.404361766345</v>
      </c>
      <c r="AC14" s="3" t="n">
        <f aca="false">U14*[2]'Inflation indexes'!I107</f>
        <v>503.154429443291</v>
      </c>
      <c r="AD14" s="3" t="n">
        <f aca="false">AD13+1</f>
        <v>2025</v>
      </c>
      <c r="AE14" s="3" t="n">
        <f aca="false">AVERAGE(Y44:Y47)</f>
        <v>6471.63346175437</v>
      </c>
      <c r="AF14" s="3" t="n">
        <f aca="false">AVERAGE(Z44:Z47)</f>
        <v>491.808165374455</v>
      </c>
      <c r="AG14" s="3" t="n">
        <f aca="false">AVERAGE(AA44:AA47)</f>
        <v>430.476164084222</v>
      </c>
      <c r="AH14" s="3" t="n">
        <f aca="false">AVERAGE(AB44:AB47)</f>
        <v>672.912531720274</v>
      </c>
      <c r="AI14" s="3" t="n">
        <f aca="false">AVERAGE(AC44:AC47)</f>
        <v>490.278171833869</v>
      </c>
      <c r="AJ14" s="7" t="n">
        <f aca="false">AJ10+1</f>
        <v>2017</v>
      </c>
      <c r="AK14" s="6" t="n">
        <f aca="false">[2]'Retirement benefit values'!AO15</f>
        <v>6730.5417200481</v>
      </c>
      <c r="AL14" s="7" t="n">
        <v>529.8045397733</v>
      </c>
      <c r="AM14" s="7" t="n">
        <v>542.5676996619</v>
      </c>
      <c r="AN14" s="7" t="n">
        <v>475.7321345823</v>
      </c>
      <c r="AO14" s="7" t="n">
        <v>744.4853597226</v>
      </c>
      <c r="AP14" s="7" t="n">
        <f aca="false">AP10+1</f>
        <v>2017</v>
      </c>
      <c r="AQ14" s="2" t="n">
        <f aca="false">AK14*[2]'Inflation indexes'!I107</f>
        <v>6241.62087257564</v>
      </c>
      <c r="AR14" s="2" t="n">
        <f aca="false">AL14*[2]'Inflation indexes'!I107</f>
        <v>491.318412600335</v>
      </c>
      <c r="AS14" s="2" t="n">
        <f aca="false">AN14*[2]'Inflation indexes'!I107</f>
        <v>441.173941782301</v>
      </c>
      <c r="AT14" s="2" t="n">
        <f aca="false">AO14*[2]'Inflation indexes'!I107</f>
        <v>690.404361766345</v>
      </c>
      <c r="AU14" s="2" t="n">
        <f aca="false">AM14*[2]'Inflation indexes'!I107</f>
        <v>503.154429443291</v>
      </c>
      <c r="AV14" s="2" t="n">
        <f aca="false">AV13+1</f>
        <v>2025</v>
      </c>
      <c r="AW14" s="2" t="n">
        <f aca="false">AVERAGE(AQ44:AQ47)</f>
        <v>6959.13082246455</v>
      </c>
      <c r="AX14" s="2" t="n">
        <f aca="false">AVERAGE(AR44:AR47)</f>
        <v>501.081726742377</v>
      </c>
      <c r="AY14" s="2" t="n">
        <f aca="false">AVERAGE(AS44:AS47)</f>
        <v>438.569717277604</v>
      </c>
      <c r="AZ14" s="2" t="n">
        <f aca="false">AVERAGE(AT44:AT47)</f>
        <v>701.028381200416</v>
      </c>
      <c r="BA14" s="2" t="n">
        <f aca="false">AVERAGE(AU44:AU47)</f>
        <v>499.197185163111</v>
      </c>
    </row>
    <row r="15" customFormat="false" ht="15" hidden="false" customHeight="false" outlineLevel="0" collapsed="false">
      <c r="A15" s="6" t="n">
        <f aca="false">[2]'Retirement benefit values'!B16</f>
        <v>6722.1339140824</v>
      </c>
      <c r="B15" s="7" t="n">
        <v>604.2490517344</v>
      </c>
      <c r="C15" s="7" t="n">
        <v>616.7967448058</v>
      </c>
      <c r="D15" s="7" t="n">
        <v>563.0329969348</v>
      </c>
      <c r="E15" s="7" t="n">
        <v>787.7403073632</v>
      </c>
      <c r="F15" s="7" t="n">
        <f aca="false">F11+1</f>
        <v>2017</v>
      </c>
      <c r="G15" s="4" t="n">
        <f aca="false">A15*[2]'Inflation indexes'!I108</f>
        <v>6232.76525663114</v>
      </c>
      <c r="H15" s="7" t="n">
        <f aca="false">B15*[2]'Inflation indexes'!I108</f>
        <v>560.259962705098</v>
      </c>
      <c r="I15" s="7" t="n">
        <f aca="false">D15*[2]'Inflation indexes'!I108</f>
        <v>522.044420192298</v>
      </c>
      <c r="J15" s="2" t="n">
        <f aca="false">E15*[2]'Inflation indexes'!I108</f>
        <v>730.393128392697</v>
      </c>
      <c r="K15" s="7" t="n">
        <f aca="false">C15*[2]'Inflation indexes'!I108</f>
        <v>571.894188744906</v>
      </c>
      <c r="L15" s="2" t="n">
        <f aca="false">L14+1</f>
        <v>2026</v>
      </c>
      <c r="M15" s="2" t="n">
        <f aca="false">AVERAGE(G48:G51)</f>
        <v>6026.73636433417</v>
      </c>
      <c r="N15" s="2" t="n">
        <f aca="false">AVERAGE(H48:H51)</f>
        <v>482.450380113233</v>
      </c>
      <c r="O15" s="2" t="n">
        <f aca="false">AVERAGE(I48:I51)</f>
        <v>415.012015478725</v>
      </c>
      <c r="P15" s="2" t="n">
        <f aca="false">AVERAGE(J48:J51)</f>
        <v>650.90546793922</v>
      </c>
      <c r="Q15" s="2" t="n">
        <f aca="false">AVERAGE(K48:K51)</f>
        <v>480.007949121778</v>
      </c>
      <c r="R15" s="8" t="n">
        <f aca="false">R11+1</f>
        <v>2017</v>
      </c>
      <c r="S15" s="9" t="n">
        <f aca="false">[2]'Retirement benefit values'!R16</f>
        <v>6722.1339140824</v>
      </c>
      <c r="T15" s="8" t="n">
        <v>604.2490517344</v>
      </c>
      <c r="U15" s="8" t="n">
        <v>616.7967448058</v>
      </c>
      <c r="V15" s="8" t="n">
        <v>563.0329969348</v>
      </c>
      <c r="W15" s="8" t="n">
        <v>787.7403073632</v>
      </c>
      <c r="X15" s="8" t="n">
        <f aca="false">X11+1</f>
        <v>2017</v>
      </c>
      <c r="Y15" s="3" t="n">
        <f aca="false">S15*[2]'Inflation indexes'!I108</f>
        <v>6232.76525663114</v>
      </c>
      <c r="Z15" s="3" t="n">
        <f aca="false">T15*[2]'Inflation indexes'!I108</f>
        <v>560.259962705098</v>
      </c>
      <c r="AA15" s="3" t="n">
        <f aca="false">V15*[2]'Inflation indexes'!I108</f>
        <v>522.044420192298</v>
      </c>
      <c r="AB15" s="3" t="n">
        <f aca="false">W15*[2]'Inflation indexes'!I108</f>
        <v>730.393128392697</v>
      </c>
      <c r="AC15" s="3" t="n">
        <f aca="false">U15*[2]'Inflation indexes'!I108</f>
        <v>571.894188744906</v>
      </c>
      <c r="AD15" s="3" t="n">
        <f aca="false">AD14+1</f>
        <v>2026</v>
      </c>
      <c r="AE15" s="3" t="n">
        <f aca="false">AVERAGE(Y48:Y51)</f>
        <v>6509.42113855966</v>
      </c>
      <c r="AF15" s="3" t="n">
        <f aca="false">AVERAGE(Z48:Z51)</f>
        <v>489.31423338263</v>
      </c>
      <c r="AG15" s="3" t="n">
        <f aca="false">AVERAGE(AA48:AA51)</f>
        <v>428.324289687843</v>
      </c>
      <c r="AH15" s="3" t="n">
        <f aca="false">AVERAGE(AB48:AB51)</f>
        <v>676.213270882201</v>
      </c>
      <c r="AI15" s="3" t="n">
        <f aca="false">AVERAGE(AC48:AC51)</f>
        <v>488.927448451065</v>
      </c>
      <c r="AJ15" s="7" t="n">
        <f aca="false">AJ11+1</f>
        <v>2017</v>
      </c>
      <c r="AK15" s="6" t="n">
        <f aca="false">[2]'Retirement benefit values'!AO16</f>
        <v>6722.1339140824</v>
      </c>
      <c r="AL15" s="7" t="n">
        <v>604.2490517344</v>
      </c>
      <c r="AM15" s="7" t="n">
        <v>616.7967448058</v>
      </c>
      <c r="AN15" s="7" t="n">
        <v>563.0329969348</v>
      </c>
      <c r="AO15" s="7" t="n">
        <v>787.7403073632</v>
      </c>
      <c r="AP15" s="7" t="n">
        <f aca="false">AP11+1</f>
        <v>2017</v>
      </c>
      <c r="AQ15" s="2" t="n">
        <f aca="false">AK15*[2]'Inflation indexes'!I108</f>
        <v>6232.76525663114</v>
      </c>
      <c r="AR15" s="2" t="n">
        <f aca="false">AL15*[2]'Inflation indexes'!I108</f>
        <v>560.259962705098</v>
      </c>
      <c r="AS15" s="2" t="n">
        <f aca="false">AN15*[2]'Inflation indexes'!I108</f>
        <v>522.044420192298</v>
      </c>
      <c r="AT15" s="2" t="n">
        <f aca="false">AO15*[2]'Inflation indexes'!I108</f>
        <v>730.393128392697</v>
      </c>
      <c r="AU15" s="2" t="n">
        <f aca="false">AM15*[2]'Inflation indexes'!I108</f>
        <v>571.894188744906</v>
      </c>
      <c r="AV15" s="2" t="n">
        <f aca="false">AV14+1</f>
        <v>2026</v>
      </c>
      <c r="AW15" s="2" t="n">
        <f aca="false">AVERAGE(AQ48:AQ51)</f>
        <v>7067.54686578066</v>
      </c>
      <c r="AX15" s="2" t="n">
        <f aca="false">AVERAGE(AR48:AR51)</f>
        <v>511.097634403602</v>
      </c>
      <c r="AY15" s="2" t="n">
        <f aca="false">AVERAGE(AS48:AS51)</f>
        <v>443.527086000022</v>
      </c>
      <c r="AZ15" s="2" t="n">
        <f aca="false">AVERAGE(AT48:AT51)</f>
        <v>723.741881450854</v>
      </c>
      <c r="BA15" s="2" t="n">
        <f aca="false">AVERAGE(AU48:AU51)</f>
        <v>508.396260968833</v>
      </c>
    </row>
    <row r="16" customFormat="false" ht="15" hidden="false" customHeight="false" outlineLevel="0" collapsed="false">
      <c r="A16" s="6" t="n">
        <f aca="false">[2]'Retirement benefit values'!B17</f>
        <v>6643.9742604884</v>
      </c>
      <c r="B16" s="7" t="n">
        <v>693.4700814733</v>
      </c>
      <c r="C16" s="7" t="n">
        <v>694.9315391036</v>
      </c>
      <c r="D16" s="7" t="n">
        <v>633.7283196406</v>
      </c>
      <c r="E16" s="7" t="n">
        <v>873.6374343574</v>
      </c>
      <c r="F16" s="7" t="n">
        <f aca="false">F12+1</f>
        <v>2018</v>
      </c>
      <c r="G16" s="4" t="n">
        <f aca="false">A16*[2]'Inflation indexes'!I109</f>
        <v>6162.68562191298</v>
      </c>
      <c r="H16" s="7" t="n">
        <f aca="false">B16*[2]'Inflation indexes'!I109</f>
        <v>643.235198206227</v>
      </c>
      <c r="I16" s="7" t="n">
        <f aca="false">D16*[2]'Inflation indexes'!I109</f>
        <v>587.821121895964</v>
      </c>
      <c r="J16" s="2" t="n">
        <f aca="false">E16*[2]'Inflation indexes'!I109</f>
        <v>810.351251283071</v>
      </c>
      <c r="K16" s="7" t="n">
        <f aca="false">C16*[2]'Inflation indexes'!I109</f>
        <v>644.590788034268</v>
      </c>
      <c r="L16" s="2" t="n">
        <f aca="false">L15+1</f>
        <v>2027</v>
      </c>
      <c r="M16" s="2" t="n">
        <f aca="false">AVERAGE(G52:G55)</f>
        <v>6029.2158295991</v>
      </c>
      <c r="N16" s="2" t="n">
        <f aca="false">AVERAGE(H52:H55)</f>
        <v>481.189081008097</v>
      </c>
      <c r="O16" s="2" t="n">
        <f aca="false">AVERAGE(I52:I55)</f>
        <v>409.437875774608</v>
      </c>
      <c r="P16" s="2" t="n">
        <f aca="false">AVERAGE(J52:J55)</f>
        <v>649.102539999084</v>
      </c>
      <c r="Q16" s="2" t="n">
        <f aca="false">AVERAGE(K52:K55)</f>
        <v>475.352515703404</v>
      </c>
      <c r="R16" s="8" t="n">
        <f aca="false">R12+1</f>
        <v>2018</v>
      </c>
      <c r="S16" s="9" t="n">
        <f aca="false">[2]'Retirement benefit values'!R17</f>
        <v>6643.97426048846</v>
      </c>
      <c r="T16" s="8" t="n">
        <v>693.4700814733</v>
      </c>
      <c r="U16" s="8" t="n">
        <v>694.9315391036</v>
      </c>
      <c r="V16" s="8" t="n">
        <v>633.7283196406</v>
      </c>
      <c r="W16" s="8" t="n">
        <v>873.6374343574</v>
      </c>
      <c r="X16" s="8" t="n">
        <f aca="false">X12+1</f>
        <v>2018</v>
      </c>
      <c r="Y16" s="3" t="n">
        <f aca="false">S16*[2]'Inflation indexes'!I109</f>
        <v>6162.68562191303</v>
      </c>
      <c r="Z16" s="3" t="n">
        <f aca="false">T16*[2]'Inflation indexes'!I109</f>
        <v>643.235198206227</v>
      </c>
      <c r="AA16" s="3" t="n">
        <f aca="false">V16*[2]'Inflation indexes'!I109</f>
        <v>587.821121895964</v>
      </c>
      <c r="AB16" s="3" t="n">
        <f aca="false">W16*[2]'Inflation indexes'!I109</f>
        <v>810.351251283071</v>
      </c>
      <c r="AC16" s="3" t="n">
        <f aca="false">U16*[2]'Inflation indexes'!I109</f>
        <v>644.590788034268</v>
      </c>
      <c r="AD16" s="3" t="n">
        <f aca="false">AD15+1</f>
        <v>2027</v>
      </c>
      <c r="AE16" s="3" t="n">
        <f aca="false">AVERAGE(Y52:Y55)</f>
        <v>6559.34296027974</v>
      </c>
      <c r="AF16" s="3" t="n">
        <f aca="false">AVERAGE(Z52:Z55)</f>
        <v>496.762671315223</v>
      </c>
      <c r="AG16" s="3" t="n">
        <f aca="false">AVERAGE(AA52:AA55)</f>
        <v>433.418014243828</v>
      </c>
      <c r="AH16" s="3" t="n">
        <f aca="false">AVERAGE(AB52:AB55)</f>
        <v>687.95686034339</v>
      </c>
      <c r="AI16" s="3" t="n">
        <f aca="false">AVERAGE(AC52:AC55)</f>
        <v>495.803497927919</v>
      </c>
      <c r="AJ16" s="7" t="n">
        <f aca="false">AJ12+1</f>
        <v>2018</v>
      </c>
      <c r="AK16" s="6" t="n">
        <f aca="false">[2]'Retirement benefit values'!AO17</f>
        <v>6643.9742604885</v>
      </c>
      <c r="AL16" s="7" t="n">
        <v>693.4700814733</v>
      </c>
      <c r="AM16" s="7" t="n">
        <v>694.9315391036</v>
      </c>
      <c r="AN16" s="7" t="n">
        <v>633.7283196406</v>
      </c>
      <c r="AO16" s="7" t="n">
        <v>873.6374343574</v>
      </c>
      <c r="AP16" s="7" t="n">
        <f aca="false">AP12+1</f>
        <v>2018</v>
      </c>
      <c r="AQ16" s="2" t="n">
        <f aca="false">AK16*[2]'Inflation indexes'!I109</f>
        <v>6162.68562191307</v>
      </c>
      <c r="AR16" s="2" t="n">
        <f aca="false">AL16*[2]'Inflation indexes'!I109</f>
        <v>643.235198206227</v>
      </c>
      <c r="AS16" s="2" t="n">
        <f aca="false">AN16*[2]'Inflation indexes'!I109</f>
        <v>587.821121895964</v>
      </c>
      <c r="AT16" s="2" t="n">
        <f aca="false">AO16*[2]'Inflation indexes'!I109</f>
        <v>810.351251283071</v>
      </c>
      <c r="AU16" s="2" t="n">
        <f aca="false">AM16*[2]'Inflation indexes'!I109</f>
        <v>644.590788034268</v>
      </c>
      <c r="AV16" s="2" t="n">
        <f aca="false">AV15+1</f>
        <v>2027</v>
      </c>
      <c r="AW16" s="2" t="n">
        <f aca="false">AVERAGE(AQ52:AQ55)</f>
        <v>7184.98823280064</v>
      </c>
      <c r="AX16" s="2" t="n">
        <f aca="false">AVERAGE(AR52:AR55)</f>
        <v>512.250974758358</v>
      </c>
      <c r="AY16" s="2" t="n">
        <f aca="false">AVERAGE(AS52:AS55)</f>
        <v>447.052374568736</v>
      </c>
      <c r="AZ16" s="2" t="n">
        <f aca="false">AVERAGE(AT52:AT55)</f>
        <v>748.36567962188</v>
      </c>
      <c r="BA16" s="2" t="n">
        <f aca="false">AVERAGE(AU52:AU55)</f>
        <v>509.700807548541</v>
      </c>
    </row>
    <row r="17" customFormat="false" ht="15" hidden="false" customHeight="false" outlineLevel="0" collapsed="false">
      <c r="A17" s="6" t="n">
        <f aca="false">[2]'Retirement benefit values'!B18</f>
        <v>6608.6374037279</v>
      </c>
      <c r="B17" s="7" t="n">
        <v>501.4123320596</v>
      </c>
      <c r="C17" s="7" t="n">
        <v>512.411510104</v>
      </c>
      <c r="D17" s="7" t="n">
        <v>458.5199293008</v>
      </c>
      <c r="E17" s="7" t="n">
        <v>668.9392391435</v>
      </c>
      <c r="F17" s="7" t="n">
        <f aca="false">F13+1</f>
        <v>2018</v>
      </c>
      <c r="G17" s="4" t="n">
        <f aca="false">A17*[2]'Inflation indexes'!I110</f>
        <v>6129.90856249891</v>
      </c>
      <c r="H17" s="7" t="n">
        <f aca="false">B17*[2]'Inflation indexes'!I110</f>
        <v>465.090087390917</v>
      </c>
      <c r="I17" s="7" t="n">
        <f aca="false">D17*[2]'Inflation indexes'!I110</f>
        <v>425.304804756254</v>
      </c>
      <c r="J17" s="2" t="n">
        <f aca="false">E17*[2]'Inflation indexes'!I110</f>
        <v>620.481366931125</v>
      </c>
      <c r="K17" s="7" t="n">
        <f aca="false">C17*[2]'Inflation indexes'!I110</f>
        <v>475.292486396313</v>
      </c>
      <c r="L17" s="2" t="n">
        <f aca="false">L16+1</f>
        <v>2028</v>
      </c>
      <c r="M17" s="2" t="n">
        <f aca="false">AVERAGE(G56:G59)</f>
        <v>5996.90654637986</v>
      </c>
      <c r="N17" s="2" t="n">
        <f aca="false">AVERAGE(H56:H59)</f>
        <v>478.212029671491</v>
      </c>
      <c r="O17" s="2" t="n">
        <f aca="false">AVERAGE(I56:I59)</f>
        <v>410.959303042115</v>
      </c>
      <c r="P17" s="2" t="n">
        <f aca="false">AVERAGE(J56:J59)</f>
        <v>637.449927965863</v>
      </c>
      <c r="Q17" s="2" t="n">
        <f aca="false">AVERAGE(K56:K59)</f>
        <v>472.564025586511</v>
      </c>
      <c r="R17" s="8" t="n">
        <f aca="false">R13+1</f>
        <v>2018</v>
      </c>
      <c r="S17" s="9" t="n">
        <f aca="false">[2]'Retirement benefit values'!R18</f>
        <v>6608.63740372784</v>
      </c>
      <c r="T17" s="8" t="n">
        <v>501.4123320596</v>
      </c>
      <c r="U17" s="8" t="n">
        <v>512.411510104</v>
      </c>
      <c r="V17" s="8" t="n">
        <v>458.5199293008</v>
      </c>
      <c r="W17" s="8" t="n">
        <v>668.9392391435</v>
      </c>
      <c r="X17" s="8" t="n">
        <f aca="false">X13+1</f>
        <v>2018</v>
      </c>
      <c r="Y17" s="3" t="n">
        <f aca="false">S17*[2]'Inflation indexes'!I110</f>
        <v>6129.90856249886</v>
      </c>
      <c r="Z17" s="3" t="n">
        <f aca="false">T17*[2]'Inflation indexes'!I110</f>
        <v>465.090087390917</v>
      </c>
      <c r="AA17" s="3" t="n">
        <f aca="false">V17*[2]'Inflation indexes'!I110</f>
        <v>425.304804756254</v>
      </c>
      <c r="AB17" s="3" t="n">
        <f aca="false">W17*[2]'Inflation indexes'!I110</f>
        <v>620.481366931125</v>
      </c>
      <c r="AC17" s="3" t="n">
        <f aca="false">U17*[2]'Inflation indexes'!I110</f>
        <v>475.292486396313</v>
      </c>
      <c r="AD17" s="3" t="n">
        <f aca="false">AD16+1</f>
        <v>2028</v>
      </c>
      <c r="AE17" s="3" t="n">
        <f aca="false">AVERAGE(Y56:Y59)</f>
        <v>6594.60927506393</v>
      </c>
      <c r="AF17" s="3" t="n">
        <f aca="false">AVERAGE(Z56:Z59)</f>
        <v>493.91806575954</v>
      </c>
      <c r="AG17" s="3" t="n">
        <f aca="false">AVERAGE(AA56:AA59)</f>
        <v>434.682883665898</v>
      </c>
      <c r="AH17" s="3" t="n">
        <f aca="false">AVERAGE(AB56:AB59)</f>
        <v>685.216627882299</v>
      </c>
      <c r="AI17" s="3" t="n">
        <f aca="false">AVERAGE(AC56:AC59)</f>
        <v>495.181170355666</v>
      </c>
      <c r="AJ17" s="7" t="n">
        <f aca="false">AJ13+1</f>
        <v>2018</v>
      </c>
      <c r="AK17" s="6" t="n">
        <f aca="false">[2]'Retirement benefit values'!AO18</f>
        <v>6608.6374037279</v>
      </c>
      <c r="AL17" s="7" t="n">
        <v>501.4123320596</v>
      </c>
      <c r="AM17" s="7" t="n">
        <v>512.411510104</v>
      </c>
      <c r="AN17" s="7" t="n">
        <v>458.5199293008</v>
      </c>
      <c r="AO17" s="7" t="n">
        <v>668.9392391435</v>
      </c>
      <c r="AP17" s="7" t="n">
        <f aca="false">AP13+1</f>
        <v>2018</v>
      </c>
      <c r="AQ17" s="2" t="n">
        <f aca="false">AK17*[2]'Inflation indexes'!I110</f>
        <v>6129.90856249891</v>
      </c>
      <c r="AR17" s="2" t="n">
        <f aca="false">AL17*[2]'Inflation indexes'!I110</f>
        <v>465.090087390917</v>
      </c>
      <c r="AS17" s="2" t="n">
        <f aca="false">AN17*[2]'Inflation indexes'!I110</f>
        <v>425.304804756254</v>
      </c>
      <c r="AT17" s="2" t="n">
        <f aca="false">AO17*[2]'Inflation indexes'!I110</f>
        <v>620.481366931125</v>
      </c>
      <c r="AU17" s="2" t="n">
        <f aca="false">AM17*[2]'Inflation indexes'!I110</f>
        <v>475.292486396313</v>
      </c>
      <c r="AV17" s="2" t="n">
        <f aca="false">AV16+1</f>
        <v>2028</v>
      </c>
      <c r="AW17" s="2" t="n">
        <f aca="false">AVERAGE(AQ56:AQ59)</f>
        <v>7294.30050602172</v>
      </c>
      <c r="AX17" s="2" t="n">
        <f aca="false">AVERAGE(AR56:AR59)</f>
        <v>516.887692034621</v>
      </c>
      <c r="AY17" s="2" t="n">
        <f aca="false">AVERAGE(AS56:AS59)</f>
        <v>455.163154623053</v>
      </c>
      <c r="AZ17" s="2" t="n">
        <f aca="false">AVERAGE(AT56:AT59)</f>
        <v>738.770889429728</v>
      </c>
      <c r="BA17" s="2" t="n">
        <f aca="false">AVERAGE(AU56:AU59)</f>
        <v>514.087318417112</v>
      </c>
    </row>
    <row r="18" customFormat="false" ht="15" hidden="false" customHeight="false" outlineLevel="0" collapsed="false">
      <c r="A18" s="6" t="n">
        <f aca="false">[2]'Retirement benefit values'!B19</f>
        <v>6673.6069185641</v>
      </c>
      <c r="B18" s="7" t="n">
        <v>494.9374252683</v>
      </c>
      <c r="C18" s="7" t="n">
        <v>506.9016369556</v>
      </c>
      <c r="D18" s="7" t="n">
        <v>446.0748400482</v>
      </c>
      <c r="E18" s="7" t="n">
        <v>685.8342770341</v>
      </c>
      <c r="F18" s="7" t="n">
        <f aca="false">F14+1</f>
        <v>2018</v>
      </c>
      <c r="G18" s="4" t="n">
        <f aca="false">A18*[2]'Inflation indexes'!I111</f>
        <v>6190.17169405931</v>
      </c>
      <c r="H18" s="7" t="n">
        <f aca="false">B18*[2]'Inflation indexes'!I111</f>
        <v>459.084222012528</v>
      </c>
      <c r="I18" s="7" t="n">
        <f aca="false">D18*[2]'Inflation indexes'!I111</f>
        <v>413.761236164105</v>
      </c>
      <c r="J18" s="2" t="n">
        <f aca="false">E18*[2]'Inflation indexes'!I111</f>
        <v>636.152530455835</v>
      </c>
      <c r="K18" s="7" t="n">
        <f aca="false">C18*[2]'Inflation indexes'!I111</f>
        <v>470.181747748191</v>
      </c>
      <c r="L18" s="2" t="n">
        <f aca="false">L17+1</f>
        <v>2029</v>
      </c>
      <c r="M18" s="2" t="n">
        <f aca="false">AVERAGE(G60:G63)</f>
        <v>5962.74528538439</v>
      </c>
      <c r="N18" s="2" t="n">
        <f aca="false">AVERAGE(H60:H63)</f>
        <v>478.859149496667</v>
      </c>
      <c r="O18" s="2" t="n">
        <f aca="false">AVERAGE(I60:I63)</f>
        <v>408.979933205956</v>
      </c>
      <c r="P18" s="2" t="n">
        <f aca="false">AVERAGE(J60:J63)</f>
        <v>648.592538736436</v>
      </c>
      <c r="Q18" s="2" t="n">
        <f aca="false">AVERAGE(K60:K63)</f>
        <v>471.274527022039</v>
      </c>
      <c r="R18" s="8" t="n">
        <f aca="false">R14+1</f>
        <v>2018</v>
      </c>
      <c r="S18" s="9" t="n">
        <f aca="false">[2]'Retirement benefit values'!R19</f>
        <v>6673.60691856413</v>
      </c>
      <c r="T18" s="8" t="n">
        <v>494.9374252683</v>
      </c>
      <c r="U18" s="8" t="n">
        <v>506.9016369556</v>
      </c>
      <c r="V18" s="8" t="n">
        <v>446.0748400482</v>
      </c>
      <c r="W18" s="8" t="n">
        <v>685.8342770341</v>
      </c>
      <c r="X18" s="8" t="n">
        <f aca="false">X14+1</f>
        <v>2018</v>
      </c>
      <c r="Y18" s="3" t="n">
        <f aca="false">S18*[2]'Inflation indexes'!I111</f>
        <v>6190.17169405934</v>
      </c>
      <c r="Z18" s="3" t="n">
        <f aca="false">T18*[2]'Inflation indexes'!I111</f>
        <v>459.084222012528</v>
      </c>
      <c r="AA18" s="3" t="n">
        <f aca="false">V18*[2]'Inflation indexes'!I111</f>
        <v>413.761236164105</v>
      </c>
      <c r="AB18" s="3" t="n">
        <f aca="false">W18*[2]'Inflation indexes'!I111</f>
        <v>636.152530455835</v>
      </c>
      <c r="AC18" s="3" t="n">
        <f aca="false">U18*[2]'Inflation indexes'!I111</f>
        <v>470.181747748191</v>
      </c>
      <c r="AD18" s="3" t="n">
        <f aca="false">AD17+1</f>
        <v>2029</v>
      </c>
      <c r="AE18" s="3" t="n">
        <f aca="false">AVERAGE(Y60:Y63)</f>
        <v>6634.42320987691</v>
      </c>
      <c r="AF18" s="3" t="n">
        <f aca="false">AVERAGE(Z60:Z63)</f>
        <v>502.454539309647</v>
      </c>
      <c r="AG18" s="3" t="n">
        <f aca="false">AVERAGE(AA60:AA63)</f>
        <v>435.733129782987</v>
      </c>
      <c r="AH18" s="3" t="n">
        <f aca="false">AVERAGE(AB60:AB63)</f>
        <v>702.632443861702</v>
      </c>
      <c r="AI18" s="3" t="n">
        <f aca="false">AVERAGE(AC60:AC63)</f>
        <v>497.965523865766</v>
      </c>
      <c r="AJ18" s="7" t="n">
        <f aca="false">AJ14+1</f>
        <v>2018</v>
      </c>
      <c r="AK18" s="6" t="n">
        <f aca="false">[2]'Retirement benefit values'!AO19</f>
        <v>6673.6069185641</v>
      </c>
      <c r="AL18" s="7" t="n">
        <v>494.9374252683</v>
      </c>
      <c r="AM18" s="7" t="n">
        <v>506.9016369556</v>
      </c>
      <c r="AN18" s="7" t="n">
        <v>446.0748400482</v>
      </c>
      <c r="AO18" s="7" t="n">
        <v>685.8342770341</v>
      </c>
      <c r="AP18" s="7" t="n">
        <f aca="false">AP14+1</f>
        <v>2018</v>
      </c>
      <c r="AQ18" s="2" t="n">
        <f aca="false">AK18*[2]'Inflation indexes'!I111</f>
        <v>6190.17169405931</v>
      </c>
      <c r="AR18" s="2" t="n">
        <f aca="false">AL18*[2]'Inflation indexes'!I111</f>
        <v>459.084222012528</v>
      </c>
      <c r="AS18" s="2" t="n">
        <f aca="false">AN18*[2]'Inflation indexes'!I111</f>
        <v>413.761236164105</v>
      </c>
      <c r="AT18" s="2" t="n">
        <f aca="false">AO18*[2]'Inflation indexes'!I111</f>
        <v>636.152530455835</v>
      </c>
      <c r="AU18" s="2" t="n">
        <f aca="false">AM18*[2]'Inflation indexes'!I111</f>
        <v>470.181747748191</v>
      </c>
      <c r="AV18" s="2" t="n">
        <f aca="false">AV17+1</f>
        <v>2029</v>
      </c>
      <c r="AW18" s="2" t="n">
        <f aca="false">AVERAGE(AQ60:AQ63)</f>
        <v>7411.17564943453</v>
      </c>
      <c r="AX18" s="2" t="n">
        <f aca="false">AVERAGE(AR60:AR63)</f>
        <v>523.702055469063</v>
      </c>
      <c r="AY18" s="2" t="n">
        <f aca="false">AVERAGE(AS60:AS63)</f>
        <v>455.200890723958</v>
      </c>
      <c r="AZ18" s="2" t="n">
        <f aca="false">AVERAGE(AT60:AT63)</f>
        <v>753.667560628238</v>
      </c>
      <c r="BA18" s="2" t="n">
        <f aca="false">AVERAGE(AU60:AU63)</f>
        <v>518.108065011274</v>
      </c>
    </row>
    <row r="19" customFormat="false" ht="15" hidden="false" customHeight="false" outlineLevel="0" collapsed="false">
      <c r="A19" s="6" t="n">
        <f aca="false">[2]'Retirement benefit values'!B20</f>
        <v>6682.9424979618</v>
      </c>
      <c r="B19" s="7" t="n">
        <v>490.2826347208</v>
      </c>
      <c r="C19" s="7" t="n">
        <v>504.8288740659</v>
      </c>
      <c r="D19" s="7" t="n">
        <v>448.7262239301</v>
      </c>
      <c r="E19" s="7" t="n">
        <v>664.8294368314</v>
      </c>
      <c r="F19" s="7" t="n">
        <f aca="false">F15+1</f>
        <v>2018</v>
      </c>
      <c r="G19" s="4" t="n">
        <f aca="false">A19*[2]'Inflation indexes'!I112</f>
        <v>6198.83100528943</v>
      </c>
      <c r="H19" s="7" t="n">
        <f aca="false">B19*[2]'Inflation indexes'!I112</f>
        <v>454.766623891974</v>
      </c>
      <c r="I19" s="7" t="n">
        <f aca="false">D19*[2]'Inflation indexes'!I112</f>
        <v>416.220554139541</v>
      </c>
      <c r="J19" s="2" t="n">
        <f aca="false">E19*[2]'Inflation indexes'!I112</f>
        <v>616.669278168484</v>
      </c>
      <c r="K19" s="7" t="n">
        <f aca="false">C19*[2]'Inflation indexes'!I112</f>
        <v>468.259135534902</v>
      </c>
      <c r="L19" s="2" t="n">
        <f aca="false">L18+1</f>
        <v>2030</v>
      </c>
      <c r="M19" s="2" t="n">
        <f aca="false">AVERAGE(G64:G67)</f>
        <v>5957.03313881175</v>
      </c>
      <c r="N19" s="2" t="n">
        <f aca="false">AVERAGE(H64:H67)</f>
        <v>483.376414833694</v>
      </c>
      <c r="O19" s="2" t="n">
        <f aca="false">AVERAGE(I64:I67)</f>
        <v>412.734678787312</v>
      </c>
      <c r="P19" s="2" t="n">
        <f aca="false">AVERAGE(J64:J67)</f>
        <v>651.891804673323</v>
      </c>
      <c r="Q19" s="2" t="n">
        <f aca="false">AVERAGE(K64:K67)</f>
        <v>473.415626933759</v>
      </c>
      <c r="R19" s="8" t="n">
        <f aca="false">R15+1</f>
        <v>2018</v>
      </c>
      <c r="S19" s="9" t="n">
        <f aca="false">[2]'Retirement benefit values'!R20</f>
        <v>6695.43792645942</v>
      </c>
      <c r="T19" s="8" t="n">
        <v>489.9476115051</v>
      </c>
      <c r="U19" s="8" t="n">
        <v>504.5489590457</v>
      </c>
      <c r="V19" s="8" t="n">
        <v>448.2745143737</v>
      </c>
      <c r="W19" s="8" t="n">
        <v>664.8294368314</v>
      </c>
      <c r="X19" s="8" t="n">
        <f aca="false">X15+1</f>
        <v>2018</v>
      </c>
      <c r="Y19" s="3" t="n">
        <f aca="false">S19*[2]'Inflation indexes'!I112</f>
        <v>6210.42126655818</v>
      </c>
      <c r="Z19" s="3" t="n">
        <f aca="false">T19*[2]'Inflation indexes'!I112</f>
        <v>454.455869714813</v>
      </c>
      <c r="AA19" s="3" t="n">
        <f aca="false">V19*[2]'Inflation indexes'!I112</f>
        <v>415.801566365151</v>
      </c>
      <c r="AB19" s="3" t="n">
        <f aca="false">W19*[2]'Inflation indexes'!I112</f>
        <v>616.669278168484</v>
      </c>
      <c r="AC19" s="3" t="n">
        <f aca="false">U19*[2]'Inflation indexes'!I112</f>
        <v>467.999497522666</v>
      </c>
      <c r="AD19" s="3" t="n">
        <f aca="false">AD18+1</f>
        <v>2030</v>
      </c>
      <c r="AE19" s="3" t="n">
        <f aca="false">AVERAGE(Y64:Y67)</f>
        <v>6703.16257595476</v>
      </c>
      <c r="AF19" s="3" t="n">
        <f aca="false">AVERAGE(Z64:Z67)</f>
        <v>501.394850245879</v>
      </c>
      <c r="AG19" s="3" t="n">
        <f aca="false">AVERAGE(AA64:AA67)</f>
        <v>431.559732782804</v>
      </c>
      <c r="AH19" s="3" t="n">
        <f aca="false">AVERAGE(AB64:AB67)</f>
        <v>706.058494558025</v>
      </c>
      <c r="AI19" s="3" t="n">
        <f aca="false">AVERAGE(AC64:AC67)</f>
        <v>495.065725120538</v>
      </c>
      <c r="AJ19" s="7" t="n">
        <f aca="false">AJ15+1</f>
        <v>2018</v>
      </c>
      <c r="AK19" s="6" t="n">
        <f aca="false">[2]'Retirement benefit values'!AO20</f>
        <v>6707.8637849049</v>
      </c>
      <c r="AL19" s="7" t="n">
        <v>489.2826601498</v>
      </c>
      <c r="AM19" s="7" t="n">
        <v>504.0679564992</v>
      </c>
      <c r="AN19" s="7" t="n">
        <v>447.5159597154</v>
      </c>
      <c r="AO19" s="7" t="n">
        <v>664.8294368314</v>
      </c>
      <c r="AP19" s="7" t="n">
        <f aca="false">AP15+1</f>
        <v>2018</v>
      </c>
      <c r="AQ19" s="2" t="n">
        <f aca="false">AK19*[2]'Inflation indexes'!I112</f>
        <v>6221.9469974204</v>
      </c>
      <c r="AR19" s="2" t="n">
        <f aca="false">AL19*[2]'Inflation indexes'!I112</f>
        <v>453.839087349934</v>
      </c>
      <c r="AS19" s="2" t="n">
        <f aca="false">AN19*[2]'Inflation indexes'!I112</f>
        <v>415.09796130847</v>
      </c>
      <c r="AT19" s="2" t="n">
        <f aca="false">AO19*[2]'Inflation indexes'!I112</f>
        <v>616.669278168484</v>
      </c>
      <c r="AU19" s="2" t="n">
        <f aca="false">AM19*[2]'Inflation indexes'!I112</f>
        <v>467.553338738601</v>
      </c>
      <c r="AV19" s="2" t="n">
        <f aca="false">AV18+1</f>
        <v>2030</v>
      </c>
      <c r="AW19" s="2" t="n">
        <f aca="false">AVERAGE(AQ64:AQ67)</f>
        <v>7539.77439338766</v>
      </c>
      <c r="AX19" s="2" t="n">
        <f aca="false">AVERAGE(AR64:AR67)</f>
        <v>531.946457975871</v>
      </c>
      <c r="AY19" s="2" t="n">
        <f aca="false">AVERAGE(AS64:AS67)</f>
        <v>463.544699202814</v>
      </c>
      <c r="AZ19" s="2" t="n">
        <f aca="false">AVERAGE(AT64:AT67)</f>
        <v>773.65947365257</v>
      </c>
      <c r="BA19" s="2" t="n">
        <f aca="false">AVERAGE(AU64:AU67)</f>
        <v>521.290948804119</v>
      </c>
    </row>
    <row r="20" customFormat="false" ht="15" hidden="false" customHeight="false" outlineLevel="0" collapsed="false">
      <c r="A20" s="6" t="n">
        <f aca="false">[2]'Retirement benefit values'!B21</f>
        <v>6686.7914815715</v>
      </c>
      <c r="B20" s="7" t="n">
        <v>615.5125331032</v>
      </c>
      <c r="C20" s="7" t="n">
        <v>609.2057488548</v>
      </c>
      <c r="D20" s="7" t="n">
        <v>551.9369678291</v>
      </c>
      <c r="E20" s="7" t="n">
        <v>763.1349635658</v>
      </c>
      <c r="F20" s="7" t="n">
        <f aca="false">F16+1</f>
        <v>2019</v>
      </c>
      <c r="G20" s="4" t="n">
        <f aca="false">A20*[2]'Inflation indexes'!I113</f>
        <v>6202.40116902283</v>
      </c>
      <c r="H20" s="7" t="n">
        <f aca="false">B20*[2]'Inflation indexes'!I113</f>
        <v>570.924884586095</v>
      </c>
      <c r="I20" s="7" t="n">
        <f aca="false">D20*[2]'Inflation indexes'!I113</f>
        <v>511.954725061292</v>
      </c>
      <c r="J20" s="2" t="n">
        <f aca="false">E20*[2]'Inflation indexes'!I113</f>
        <v>707.853565224427</v>
      </c>
      <c r="K20" s="7" t="n">
        <f aca="false">C20*[2]'Inflation indexes'!I113</f>
        <v>565.074962975281</v>
      </c>
      <c r="L20" s="2" t="n">
        <f aca="false">L19+1</f>
        <v>2031</v>
      </c>
      <c r="M20" s="2" t="n">
        <f aca="false">AVERAGE(G68:G71)</f>
        <v>5927.26400982223</v>
      </c>
      <c r="N20" s="2" t="n">
        <f aca="false">AVERAGE(H68:H71)</f>
        <v>477.816479382252</v>
      </c>
      <c r="O20" s="2" t="n">
        <f aca="false">AVERAGE(I68:I71)</f>
        <v>410.041255922154</v>
      </c>
      <c r="P20" s="2" t="n">
        <f aca="false">AVERAGE(J68:J71)</f>
        <v>627.695431560705</v>
      </c>
      <c r="Q20" s="2" t="n">
        <f aca="false">AVERAGE(K68:K71)</f>
        <v>467.682837843839</v>
      </c>
      <c r="R20" s="8" t="n">
        <f aca="false">R16+1</f>
        <v>2019</v>
      </c>
      <c r="S20" s="9" t="n">
        <f aca="false">[2]'Retirement benefit values'!R21</f>
        <v>6713.61999430074</v>
      </c>
      <c r="T20" s="8" t="n">
        <v>614.428490059</v>
      </c>
      <c r="U20" s="8" t="n">
        <v>608.3275868151</v>
      </c>
      <c r="V20" s="8" t="n">
        <v>550.5714688006</v>
      </c>
      <c r="W20" s="8" t="n">
        <v>763.1349635658</v>
      </c>
      <c r="X20" s="8" t="n">
        <f aca="false">X16+1</f>
        <v>2019</v>
      </c>
      <c r="Y20" s="3" t="n">
        <f aca="false">S20*[2]'Inflation indexes'!I113</f>
        <v>6227.28622774996</v>
      </c>
      <c r="Z20" s="3" t="n">
        <f aca="false">T20*[2]'Inflation indexes'!I113</f>
        <v>569.919369480211</v>
      </c>
      <c r="AA20" s="3" t="n">
        <f aca="false">V20*[2]'Inflation indexes'!I113</f>
        <v>510.688142606312</v>
      </c>
      <c r="AB20" s="3" t="n">
        <f aca="false">W20*[2]'Inflation indexes'!I113</f>
        <v>707.853565224427</v>
      </c>
      <c r="AC20" s="3" t="n">
        <f aca="false">U20*[2]'Inflation indexes'!I113</f>
        <v>564.260414880483</v>
      </c>
      <c r="AD20" s="3" t="n">
        <f aca="false">AD19+1</f>
        <v>2031</v>
      </c>
      <c r="AE20" s="3" t="n">
        <f aca="false">AVERAGE(Y68:Y71)</f>
        <v>6757.11086997753</v>
      </c>
      <c r="AF20" s="3" t="n">
        <f aca="false">AVERAGE(Z68:Z71)</f>
        <v>503.333323395335</v>
      </c>
      <c r="AG20" s="3" t="n">
        <f aca="false">AVERAGE(AA68:AA71)</f>
        <v>436.135731096551</v>
      </c>
      <c r="AH20" s="3" t="n">
        <f aca="false">AVERAGE(AB68:AB71)</f>
        <v>702.37028321761</v>
      </c>
      <c r="AI20" s="3" t="n">
        <f aca="false">AVERAGE(AC68:AC71)</f>
        <v>494.455003341064</v>
      </c>
      <c r="AJ20" s="7" t="n">
        <f aca="false">AJ16+1</f>
        <v>2019</v>
      </c>
      <c r="AK20" s="6" t="n">
        <f aca="false">[2]'Retirement benefit values'!AO21</f>
        <v>6738.5623216729</v>
      </c>
      <c r="AL20" s="7" t="n">
        <v>614.2141650189</v>
      </c>
      <c r="AM20" s="7" t="n">
        <v>608.2125131629</v>
      </c>
      <c r="AN20" s="7" t="n">
        <v>550.1974189192</v>
      </c>
      <c r="AO20" s="7" t="n">
        <v>763.1349635658</v>
      </c>
      <c r="AP20" s="7" t="n">
        <f aca="false">AP16+1</f>
        <v>2019</v>
      </c>
      <c r="AQ20" s="2" t="n">
        <f aca="false">AK20*[2]'Inflation indexes'!I113</f>
        <v>6250.42173614402</v>
      </c>
      <c r="AR20" s="2" t="n">
        <f aca="false">AL20*[2]'Inflation indexes'!I113</f>
        <v>569.720570118375</v>
      </c>
      <c r="AS20" s="2" t="n">
        <f aca="false">AN20*[2]'Inflation indexes'!I113</f>
        <v>510.341188850081</v>
      </c>
      <c r="AT20" s="2" t="n">
        <f aca="false">AO20*[2]'Inflation indexes'!I113</f>
        <v>707.853565224427</v>
      </c>
      <c r="AU20" s="2" t="n">
        <f aca="false">AM20*[2]'Inflation indexes'!I113</f>
        <v>564.153677148808</v>
      </c>
      <c r="AV20" s="2" t="n">
        <f aca="false">AV19+1</f>
        <v>2031</v>
      </c>
      <c r="AW20" s="2" t="n">
        <f aca="false">AVERAGE(AQ68:AQ71)</f>
        <v>7678.87287477147</v>
      </c>
      <c r="AX20" s="2" t="n">
        <f aca="false">AVERAGE(AR68:AR71)</f>
        <v>535.398748353203</v>
      </c>
      <c r="AY20" s="2" t="n">
        <f aca="false">AVERAGE(AS68:AS71)</f>
        <v>466.94990571753</v>
      </c>
      <c r="AZ20" s="2" t="n">
        <f aca="false">AVERAGE(AT68:AT71)</f>
        <v>759.262662449986</v>
      </c>
      <c r="BA20" s="2" t="n">
        <f aca="false">AVERAGE(AU68:AU71)</f>
        <v>521.235302166462</v>
      </c>
    </row>
    <row r="21" customFormat="false" ht="15" hidden="false" customHeight="false" outlineLevel="0" collapsed="false">
      <c r="A21" s="6" t="n">
        <f aca="false">[2]'Retirement benefit values'!B22</f>
        <v>6694.5982601992</v>
      </c>
      <c r="B21" s="7" t="n">
        <v>481.3804555448</v>
      </c>
      <c r="C21" s="7" t="n">
        <v>491.4537338003</v>
      </c>
      <c r="D21" s="7" t="n">
        <v>435.8413316848</v>
      </c>
      <c r="E21" s="7" t="n">
        <v>652.8786181783</v>
      </c>
      <c r="F21" s="7" t="n">
        <f aca="false">F17+1</f>
        <v>2019</v>
      </c>
      <c r="G21" s="4" t="n">
        <f aca="false">A21*[2]'Inflation indexes'!I114</f>
        <v>6209.64242561356</v>
      </c>
      <c r="H21" s="7" t="n">
        <f aca="false">B21*[2]'Inflation indexes'!I114</f>
        <v>446.509317427395</v>
      </c>
      <c r="I21" s="7" t="n">
        <f aca="false">D21*[2]'Inflation indexes'!I114</f>
        <v>404.269041826763</v>
      </c>
      <c r="J21" s="2" t="n">
        <f aca="false">E21*[2]'Inflation indexes'!I114</f>
        <v>605.584175277352</v>
      </c>
      <c r="K21" s="7" t="n">
        <f aca="false">C21*[2]'Inflation indexes'!I114</f>
        <v>455.852888705189</v>
      </c>
      <c r="L21" s="2" t="n">
        <f aca="false">L20+1</f>
        <v>2032</v>
      </c>
      <c r="M21" s="2" t="n">
        <f aca="false">AVERAGE(G72:G75)</f>
        <v>5891.93680460613</v>
      </c>
      <c r="N21" s="2" t="n">
        <f aca="false">AVERAGE(H72:H75)</f>
        <v>471.523261834602</v>
      </c>
      <c r="O21" s="2" t="n">
        <f aca="false">AVERAGE(I72:I75)</f>
        <v>403.936295442266</v>
      </c>
      <c r="P21" s="2" t="n">
        <f aca="false">AVERAGE(J72:J75)</f>
        <v>623.420831640057</v>
      </c>
      <c r="Q21" s="2" t="n">
        <f aca="false">AVERAGE(K72:K75)</f>
        <v>463.05962760398</v>
      </c>
      <c r="R21" s="8" t="n">
        <f aca="false">R17+1</f>
        <v>2019</v>
      </c>
      <c r="S21" s="9" t="n">
        <f aca="false">[2]'Retirement benefit values'!R22</f>
        <v>6738.16144059175</v>
      </c>
      <c r="T21" s="8" t="n">
        <v>481.0854842032</v>
      </c>
      <c r="U21" s="8" t="n">
        <v>490.9855874848</v>
      </c>
      <c r="V21" s="8" t="n">
        <v>434.7364926262</v>
      </c>
      <c r="W21" s="8" t="n">
        <v>653.4798097823</v>
      </c>
      <c r="X21" s="8" t="n">
        <f aca="false">X17+1</f>
        <v>2019</v>
      </c>
      <c r="Y21" s="3" t="n">
        <f aca="false">S21*[2]'Inflation indexes'!I114</f>
        <v>6250.04989483669</v>
      </c>
      <c r="Z21" s="3" t="n">
        <f aca="false">T21*[2]'Inflation indexes'!I114</f>
        <v>446.235713771739</v>
      </c>
      <c r="AA21" s="3" t="n">
        <f aca="false">V21*[2]'Inflation indexes'!I114</f>
        <v>403.24423716708</v>
      </c>
      <c r="AB21" s="3" t="n">
        <f aca="false">W21*[2]'Inflation indexes'!I114</f>
        <v>606.141816639092</v>
      </c>
      <c r="AC21" s="3" t="n">
        <f aca="false">U21*[2]'Inflation indexes'!I114</f>
        <v>455.418654848408</v>
      </c>
      <c r="AD21" s="3" t="n">
        <f aca="false">AD20+1</f>
        <v>2032</v>
      </c>
      <c r="AE21" s="3" t="n">
        <f aca="false">AVERAGE(Y72:Y75)</f>
        <v>6821.21937445394</v>
      </c>
      <c r="AF21" s="3" t="n">
        <f aca="false">AVERAGE(Z72:Z75)</f>
        <v>509.151350834302</v>
      </c>
      <c r="AG21" s="3" t="n">
        <f aca="false">AVERAGE(AA72:AA75)</f>
        <v>439.615666683555</v>
      </c>
      <c r="AH21" s="3" t="n">
        <f aca="false">AVERAGE(AB72:AB75)</f>
        <v>703.925538003608</v>
      </c>
      <c r="AI21" s="3" t="n">
        <f aca="false">AVERAGE(AC72:AC75)</f>
        <v>498.346712266989</v>
      </c>
      <c r="AJ21" s="7" t="n">
        <f aca="false">AJ17+1</f>
        <v>2019</v>
      </c>
      <c r="AK21" s="6" t="n">
        <f aca="false">[2]'Retirement benefit values'!AO22</f>
        <v>6778.9700489263</v>
      </c>
      <c r="AL21" s="7" t="n">
        <v>481.0480436301</v>
      </c>
      <c r="AM21" s="7" t="n">
        <v>491.5576453185</v>
      </c>
      <c r="AN21" s="7" t="n">
        <v>434.8203868938</v>
      </c>
      <c r="AO21" s="7" t="n">
        <v>654.4922405429</v>
      </c>
      <c r="AP21" s="7" t="n">
        <f aca="false">AP17+1</f>
        <v>2019</v>
      </c>
      <c r="AQ21" s="2" t="n">
        <f aca="false">AK21*[2]'Inflation indexes'!I114</f>
        <v>6287.90233284646</v>
      </c>
      <c r="AR21" s="2" t="n">
        <f aca="false">AL21*[2]'Inflation indexes'!I114</f>
        <v>446.200985388926</v>
      </c>
      <c r="AS21" s="2" t="n">
        <f aca="false">AN21*[2]'Inflation indexes'!I114</f>
        <v>403.322054144755</v>
      </c>
      <c r="AT21" s="2" t="n">
        <f aca="false">AO21*[2]'Inflation indexes'!I114</f>
        <v>607.080907045965</v>
      </c>
      <c r="AU21" s="2" t="n">
        <f aca="false">AM21*[2]'Inflation indexes'!I114</f>
        <v>455.949272886411</v>
      </c>
      <c r="AV21" s="2" t="n">
        <f aca="false">AV20+1</f>
        <v>2032</v>
      </c>
      <c r="AW21" s="2" t="n">
        <f aca="false">AVERAGE(AQ72:AQ75)</f>
        <v>7806.7752484512</v>
      </c>
      <c r="AX21" s="2" t="n">
        <f aca="false">AVERAGE(AR72:AR75)</f>
        <v>527.158638106845</v>
      </c>
      <c r="AY21" s="2" t="n">
        <f aca="false">AVERAGE(AS72:AS75)</f>
        <v>459.986668654511</v>
      </c>
      <c r="AZ21" s="2" t="n">
        <f aca="false">AVERAGE(AT72:AT75)</f>
        <v>756.62421582184</v>
      </c>
      <c r="BA21" s="2" t="n">
        <f aca="false">AVERAGE(AU72:AU75)</f>
        <v>514.211952556943</v>
      </c>
    </row>
    <row r="22" customFormat="false" ht="15" hidden="false" customHeight="false" outlineLevel="0" collapsed="false">
      <c r="A22" s="6" t="n">
        <f aca="false">[2]'Retirement benefit values'!B23</f>
        <v>6676.8124577299</v>
      </c>
      <c r="B22" s="7" t="n">
        <v>477.1541489035</v>
      </c>
      <c r="C22" s="7" t="n">
        <v>488.8771455699</v>
      </c>
      <c r="D22" s="7" t="n">
        <v>428.8442853705</v>
      </c>
      <c r="E22" s="7" t="n">
        <v>649.0471521566</v>
      </c>
      <c r="F22" s="7" t="n">
        <f aca="false">F18+1</f>
        <v>2019</v>
      </c>
      <c r="G22" s="4" t="n">
        <f aca="false">A22*[2]'Inflation indexes'!I115</f>
        <v>6193.14502438135</v>
      </c>
      <c r="H22" s="7" t="n">
        <f aca="false">B22*[2]'Inflation indexes'!I115</f>
        <v>442.589163894136</v>
      </c>
      <c r="I22" s="7" t="n">
        <f aca="false">D22*[2]'Inflation indexes'!I115</f>
        <v>397.778860645082</v>
      </c>
      <c r="J22" s="2" t="n">
        <f aca="false">E22*[2]'Inflation indexes'!I115</f>
        <v>602.030260160131</v>
      </c>
      <c r="K22" s="7" t="n">
        <f aca="false">C22*[2]'Inflation indexes'!I115</f>
        <v>453.462948193904</v>
      </c>
      <c r="L22" s="2" t="n">
        <f aca="false">L21+1</f>
        <v>2033</v>
      </c>
      <c r="M22" s="2" t="n">
        <f aca="false">AVERAGE(G76:G79)</f>
        <v>5887.42688101478</v>
      </c>
      <c r="N22" s="2" t="n">
        <f aca="false">AVERAGE(H76:H79)</f>
        <v>471.78417692185</v>
      </c>
      <c r="O22" s="2" t="n">
        <f aca="false">AVERAGE(I76:I79)</f>
        <v>401.22803036205</v>
      </c>
      <c r="P22" s="2" t="n">
        <f aca="false">AVERAGE(J76:J79)</f>
        <v>659.835517725923</v>
      </c>
      <c r="Q22" s="2" t="n">
        <f aca="false">AVERAGE(K76:K79)</f>
        <v>460.18604926244</v>
      </c>
      <c r="R22" s="8" t="n">
        <f aca="false">R18+1</f>
        <v>2019</v>
      </c>
      <c r="S22" s="9" t="n">
        <f aca="false">[2]'Retirement benefit values'!R23</f>
        <v>6730.3819615687</v>
      </c>
      <c r="T22" s="8" t="n">
        <v>477.7424207355</v>
      </c>
      <c r="U22" s="8" t="n">
        <v>489.2565378961</v>
      </c>
      <c r="V22" s="8" t="n">
        <v>430.4777075043</v>
      </c>
      <c r="W22" s="8" t="n">
        <v>645.1556395722</v>
      </c>
      <c r="X22" s="8" t="n">
        <f aca="false">X18+1</f>
        <v>2019</v>
      </c>
      <c r="Y22" s="3" t="n">
        <f aca="false">S22*[2]'Inflation indexes'!I115</f>
        <v>6242.83396027078</v>
      </c>
      <c r="Z22" s="3" t="n">
        <f aca="false">T22*[2]'Inflation indexes'!I115</f>
        <v>443.134821390494</v>
      </c>
      <c r="AA22" s="3" t="n">
        <f aca="false">V22*[2]'Inflation indexes'!I115</f>
        <v>399.293957890167</v>
      </c>
      <c r="AB22" s="3" t="n">
        <f aca="false">W22*[2]'Inflation indexes'!I115</f>
        <v>598.420648245467</v>
      </c>
      <c r="AC22" s="3" t="n">
        <f aca="false">U22*[2]'Inflation indexes'!I115</f>
        <v>453.814857388923</v>
      </c>
      <c r="AD22" s="3" t="n">
        <f aca="false">AD21+1</f>
        <v>2033</v>
      </c>
      <c r="AE22" s="3" t="n">
        <f aca="false">AVERAGE(Y76:Y79)</f>
        <v>6845.83476910474</v>
      </c>
      <c r="AF22" s="3" t="n">
        <f aca="false">AVERAGE(Z76:Z79)</f>
        <v>518.326843012952</v>
      </c>
      <c r="AG22" s="3" t="n">
        <f aca="false">AVERAGE(AA76:AA79)</f>
        <v>443.978141821092</v>
      </c>
      <c r="AH22" s="3" t="n">
        <f aca="false">AVERAGE(AB76:AB79)</f>
        <v>721.415170412284</v>
      </c>
      <c r="AI22" s="3" t="n">
        <f aca="false">AVERAGE(AC76:AC79)</f>
        <v>502.761050593706</v>
      </c>
      <c r="AJ22" s="7" t="n">
        <f aca="false">AJ18+1</f>
        <v>2019</v>
      </c>
      <c r="AK22" s="6" t="n">
        <f aca="false">[2]'Retirement benefit values'!AO23</f>
        <v>6794.6446881955</v>
      </c>
      <c r="AL22" s="7" t="n">
        <v>478.2594884699</v>
      </c>
      <c r="AM22" s="7" t="n">
        <v>489.6015612288</v>
      </c>
      <c r="AN22" s="7" t="n">
        <v>430.0887794512</v>
      </c>
      <c r="AO22" s="7" t="n">
        <v>648.2748700661</v>
      </c>
      <c r="AP22" s="7" t="n">
        <f aca="false">AP18+1</f>
        <v>2019</v>
      </c>
      <c r="AQ22" s="2" t="n">
        <f aca="false">AK22*[2]'Inflation indexes'!I115</f>
        <v>6302.44150326851</v>
      </c>
      <c r="AR22" s="2" t="n">
        <f aca="false">AL22*[2]'Inflation indexes'!I115</f>
        <v>443.614432804899</v>
      </c>
      <c r="AS22" s="2" t="n">
        <f aca="false">AN22*[2]'Inflation indexes'!I115</f>
        <v>398.933203735075</v>
      </c>
      <c r="AT22" s="2" t="n">
        <f aca="false">AO22*[2]'Inflation indexes'!I115</f>
        <v>601.313922084668</v>
      </c>
      <c r="AU22" s="2" t="n">
        <f aca="false">AM22*[2]'Inflation indexes'!I115</f>
        <v>454.134887275899</v>
      </c>
      <c r="AV22" s="2" t="n">
        <f aca="false">AV21+1</f>
        <v>2033</v>
      </c>
      <c r="AW22" s="2" t="n">
        <f aca="false">AVERAGE(AQ76:AQ79)</f>
        <v>7934.2337017768</v>
      </c>
      <c r="AX22" s="2" t="n">
        <f aca="false">AVERAGE(AR76:AR79)</f>
        <v>528.070139505238</v>
      </c>
      <c r="AY22" s="2" t="n">
        <f aca="false">AVERAGE(AS76:AS79)</f>
        <v>462.166864438909</v>
      </c>
      <c r="AZ22" s="2" t="n">
        <f aca="false">AVERAGE(AT76:AT79)</f>
        <v>775.086849366904</v>
      </c>
      <c r="BA22" s="2" t="n">
        <f aca="false">AVERAGE(AU76:AU79)</f>
        <v>515.543292141735</v>
      </c>
    </row>
    <row r="23" customFormat="false" ht="15" hidden="false" customHeight="false" outlineLevel="0" collapsed="false">
      <c r="A23" s="6" t="n">
        <f aca="false">[2]'Retirement benefit values'!B24</f>
        <v>6684.4715200423</v>
      </c>
      <c r="B23" s="7" t="n">
        <v>481.0876703945</v>
      </c>
      <c r="C23" s="7" t="n">
        <v>485.9634543378</v>
      </c>
      <c r="D23" s="7" t="n">
        <v>425.4533295291</v>
      </c>
      <c r="E23" s="7" t="n">
        <v>633.0540406059</v>
      </c>
      <c r="F23" s="7" t="n">
        <f aca="false">F19+1</f>
        <v>2019</v>
      </c>
      <c r="G23" s="4" t="n">
        <f aca="false">A23*[2]'Inflation indexes'!I116</f>
        <v>6200.24926520761</v>
      </c>
      <c r="H23" s="7" t="n">
        <f aca="false">B23*[2]'Inflation indexes'!I116</f>
        <v>446.237741595623</v>
      </c>
      <c r="I23" s="7" t="n">
        <f aca="false">D23*[2]'Inflation indexes'!I116</f>
        <v>394.633545207511</v>
      </c>
      <c r="J23" s="2" t="n">
        <f aca="false">E23*[2]'Inflation indexes'!I116</f>
        <v>587.195687547578</v>
      </c>
      <c r="K23" s="7" t="n">
        <f aca="false">C23*[2]'Inflation indexes'!I116</f>
        <v>450.760324378887</v>
      </c>
      <c r="L23" s="2" t="n">
        <f aca="false">L22+1</f>
        <v>2034</v>
      </c>
      <c r="M23" s="2" t="n">
        <f aca="false">AVERAGE(G80:G83)</f>
        <v>5892.35375218832</v>
      </c>
      <c r="N23" s="2" t="n">
        <f aca="false">AVERAGE(H80:H83)</f>
        <v>470.178829505169</v>
      </c>
      <c r="O23" s="2" t="n">
        <f aca="false">AVERAGE(I80:I83)</f>
        <v>400.974658787014</v>
      </c>
      <c r="P23" s="2" t="n">
        <f aca="false">AVERAGE(J80:J83)</f>
        <v>644.510468751639</v>
      </c>
      <c r="Q23" s="2" t="n">
        <f aca="false">AVERAGE(K80:K83)</f>
        <v>457.39343048486</v>
      </c>
      <c r="R23" s="8" t="n">
        <f aca="false">R19+1</f>
        <v>2019</v>
      </c>
      <c r="S23" s="9" t="n">
        <f aca="false">[2]'Retirement benefit values'!R24</f>
        <v>6758.50272593288</v>
      </c>
      <c r="T23" s="8" t="n">
        <v>482.0630881357</v>
      </c>
      <c r="U23" s="8" t="n">
        <v>486.9584103556</v>
      </c>
      <c r="V23" s="8" t="n">
        <v>425.9756490609</v>
      </c>
      <c r="W23" s="8" t="n">
        <v>637.0334575027</v>
      </c>
      <c r="X23" s="8" t="n">
        <f aca="false">X19+1</f>
        <v>2019</v>
      </c>
      <c r="Y23" s="3" t="n">
        <f aca="false">S23*[2]'Inflation indexes'!I116</f>
        <v>6268.91766009107</v>
      </c>
      <c r="Z23" s="3" t="n">
        <f aca="false">T23*[2]'Inflation indexes'!I116</f>
        <v>447.142500201448</v>
      </c>
      <c r="AA23" s="3" t="n">
        <f aca="false">V23*[2]'Inflation indexes'!I116</f>
        <v>395.11802797979</v>
      </c>
      <c r="AB23" s="3" t="n">
        <f aca="false">W23*[2]'Inflation indexes'!I116</f>
        <v>590.886835997587</v>
      </c>
      <c r="AC23" s="3" t="n">
        <f aca="false">U23*[2]'Inflation indexes'!I116</f>
        <v>451.683205911074</v>
      </c>
      <c r="AD23" s="3" t="n">
        <f aca="false">AD22+1</f>
        <v>2034</v>
      </c>
      <c r="AE23" s="3" t="n">
        <f aca="false">AVERAGE(Y80:Y83)</f>
        <v>6896.38023640663</v>
      </c>
      <c r="AF23" s="3" t="n">
        <f aca="false">AVERAGE(Z80:Z83)</f>
        <v>508.47895859058</v>
      </c>
      <c r="AG23" s="3" t="n">
        <f aca="false">AVERAGE(AA80:AA83)</f>
        <v>439.97977209614</v>
      </c>
      <c r="AH23" s="3" t="n">
        <f aca="false">AVERAGE(AB80:AB83)</f>
        <v>712.484074801582</v>
      </c>
      <c r="AI23" s="3" t="n">
        <f aca="false">AVERAGE(AC80:AC83)</f>
        <v>498.086810483481</v>
      </c>
      <c r="AJ23" s="7" t="n">
        <f aca="false">AJ19+1</f>
        <v>2019</v>
      </c>
      <c r="AK23" s="6" t="n">
        <f aca="false">[2]'Retirement benefit values'!AO24</f>
        <v>6838.9138829776</v>
      </c>
      <c r="AL23" s="7" t="n">
        <v>483.7222367295</v>
      </c>
      <c r="AM23" s="7" t="n">
        <v>488.4842766349</v>
      </c>
      <c r="AN23" s="7" t="n">
        <v>427.422352423</v>
      </c>
      <c r="AO23" s="7" t="n">
        <v>641.0410559533</v>
      </c>
      <c r="AP23" s="7" t="n">
        <f aca="false">AP19+1</f>
        <v>2019</v>
      </c>
      <c r="AQ23" s="2" t="n">
        <f aca="false">AK23*[2]'Inflation indexes'!I116</f>
        <v>6343.50384328987</v>
      </c>
      <c r="AR23" s="2" t="n">
        <f aca="false">AL23*[2]'Inflation indexes'!I116</f>
        <v>448.681460285088</v>
      </c>
      <c r="AS23" s="2" t="n">
        <f aca="false">AN23*[2]'Inflation indexes'!I116</f>
        <v>396.459932336916</v>
      </c>
      <c r="AT23" s="2" t="n">
        <f aca="false">AO23*[2]'Inflation indexes'!I116</f>
        <v>594.604124533274</v>
      </c>
      <c r="AU23" s="2" t="n">
        <f aca="false">AM23*[2]'Inflation indexes'!I116</f>
        <v>453.098538633888</v>
      </c>
      <c r="AV23" s="2" t="n">
        <f aca="false">AV22+1</f>
        <v>2034</v>
      </c>
      <c r="AW23" s="2" t="n">
        <f aca="false">AVERAGE(AQ80:AQ83)</f>
        <v>8075.43393733223</v>
      </c>
      <c r="AX23" s="2" t="n">
        <f aca="false">AVERAGE(AR80:AR83)</f>
        <v>544.376773849939</v>
      </c>
      <c r="AY23" s="2" t="n">
        <f aca="false">AVERAGE(AS80:AS83)</f>
        <v>465.35139912915</v>
      </c>
      <c r="AZ23" s="2" t="n">
        <f aca="false">AVERAGE(AT80:AT83)</f>
        <v>803.235478002505</v>
      </c>
      <c r="BA23" s="2" t="n">
        <f aca="false">AVERAGE(AU80:AU83)</f>
        <v>521.508360515385</v>
      </c>
    </row>
    <row r="24" customFormat="false" ht="15" hidden="false" customHeight="false" outlineLevel="0" collapsed="false">
      <c r="A24" s="6" t="n">
        <f aca="false">[2]'Retirement benefit values'!B25</f>
        <v>6671.3692603312</v>
      </c>
      <c r="B24" s="7" t="n">
        <v>617.4006279447</v>
      </c>
      <c r="C24" s="7" t="n">
        <v>609.2530741993</v>
      </c>
      <c r="D24" s="7" t="n">
        <v>546.9758071018</v>
      </c>
      <c r="E24" s="7" t="n">
        <v>787.1913594308</v>
      </c>
      <c r="F24" s="7" t="n">
        <f aca="false">F20+1</f>
        <v>2020</v>
      </c>
      <c r="G24" s="4" t="n">
        <f aca="false">A24*[2]'Inflation indexes'!I117</f>
        <v>6188.09613150022</v>
      </c>
      <c r="H24" s="7" t="n">
        <f aca="false">B24*[2]'Inflation indexes'!I117</f>
        <v>572.676206080779</v>
      </c>
      <c r="I24" s="7" t="n">
        <f aca="false">D24*[2]'Inflation indexes'!I117</f>
        <v>507.352950177251</v>
      </c>
      <c r="J24" s="2" t="n">
        <f aca="false">E24*[2]'Inflation indexes'!I117</f>
        <v>730.167318875451</v>
      </c>
      <c r="K24" s="7" t="n">
        <f aca="false">C24*[2]'Inflation indexes'!I117</f>
        <v>565.118860077929</v>
      </c>
      <c r="L24" s="2" t="n">
        <f aca="false">L23+1</f>
        <v>2035</v>
      </c>
      <c r="M24" s="2" t="n">
        <f aca="false">AVERAGE(G84:G87)</f>
        <v>5843.94933077981</v>
      </c>
      <c r="N24" s="2" t="n">
        <f aca="false">AVERAGE(H84:H87)</f>
        <v>462.864686860975</v>
      </c>
      <c r="O24" s="2" t="n">
        <f aca="false">AVERAGE(I84:I87)</f>
        <v>396.401197686925</v>
      </c>
      <c r="P24" s="2" t="n">
        <f aca="false">AVERAGE(J84:J87)</f>
        <v>638.993569369832</v>
      </c>
      <c r="Q24" s="2" t="n">
        <f aca="false">AVERAGE(K84:K87)</f>
        <v>454.426029778499</v>
      </c>
      <c r="R24" s="8" t="n">
        <f aca="false">R20+1</f>
        <v>2020</v>
      </c>
      <c r="S24" s="9" t="n">
        <f aca="false">[2]'Retirement benefit values'!R25</f>
        <v>6764.48466151459</v>
      </c>
      <c r="T24" s="8" t="n">
        <v>619.2010078098</v>
      </c>
      <c r="U24" s="8" t="n">
        <v>611.6343298787</v>
      </c>
      <c r="V24" s="8" t="n">
        <v>549.6654252553</v>
      </c>
      <c r="W24" s="8" t="n">
        <v>794.2793191739</v>
      </c>
      <c r="X24" s="8" t="n">
        <f aca="false">X20+1</f>
        <v>2020</v>
      </c>
      <c r="Y24" s="3" t="n">
        <f aca="false">S24*[2]'Inflation indexes'!I117</f>
        <v>6274.46626503071</v>
      </c>
      <c r="Z24" s="3" t="n">
        <f aca="false">T24*[2]'Inflation indexes'!I117</f>
        <v>574.346166660641</v>
      </c>
      <c r="AA24" s="3" t="n">
        <f aca="false">V24*[2]'Inflation indexes'!I117</f>
        <v>509.847732738584</v>
      </c>
      <c r="AB24" s="3" t="n">
        <f aca="false">W24*[2]'Inflation indexes'!I117</f>
        <v>736.741827728875</v>
      </c>
      <c r="AC24" s="3" t="n">
        <f aca="false">U24*[2]'Inflation indexes'!I117</f>
        <v>567.327617903017</v>
      </c>
      <c r="AD24" s="3" t="n">
        <f aca="false">AD23+1</f>
        <v>2035</v>
      </c>
      <c r="AE24" s="3" t="n">
        <f aca="false">AVERAGE(Y84:Y87)</f>
        <v>6939.36642552618</v>
      </c>
      <c r="AF24" s="3" t="n">
        <f aca="false">AVERAGE(Z84:Z87)</f>
        <v>508.342762292347</v>
      </c>
      <c r="AG24" s="3" t="n">
        <f aca="false">AVERAGE(AA84:AA87)</f>
        <v>443.353272152251</v>
      </c>
      <c r="AH24" s="3" t="n">
        <f aca="false">AVERAGE(AB84:AB87)</f>
        <v>720.145345519936</v>
      </c>
      <c r="AI24" s="3" t="n">
        <f aca="false">AVERAGE(AC84:AC87)</f>
        <v>499.897623509941</v>
      </c>
      <c r="AJ24" s="7" t="n">
        <f aca="false">AJ20+1</f>
        <v>2020</v>
      </c>
      <c r="AK24" s="6" t="n">
        <f aca="false">[2]'Retirement benefit values'!AO25</f>
        <v>6860.6154959382</v>
      </c>
      <c r="AL24" s="7" t="n">
        <v>622.8087122315</v>
      </c>
      <c r="AM24" s="7" t="n">
        <v>614.7194355539</v>
      </c>
      <c r="AN24" s="7" t="n">
        <v>552.9793525117</v>
      </c>
      <c r="AO24" s="7" t="n">
        <v>800.998855949</v>
      </c>
      <c r="AP24" s="7" t="n">
        <f aca="false">AP20+1</f>
        <v>2020</v>
      </c>
      <c r="AQ24" s="2" t="n">
        <f aca="false">AK24*[2]'Inflation indexes'!I117</f>
        <v>6363.6333942064</v>
      </c>
      <c r="AR24" s="2" t="n">
        <f aca="false">AL24*[2]'Inflation indexes'!I117</f>
        <v>577.692529439308</v>
      </c>
      <c r="AS24" s="2" t="n">
        <f aca="false">AN24*[2]'Inflation indexes'!I117</f>
        <v>512.921599531918</v>
      </c>
      <c r="AT24" s="2" t="n">
        <f aca="false">AO24*[2]'Inflation indexes'!I117</f>
        <v>742.974602126586</v>
      </c>
      <c r="AU24" s="2" t="n">
        <f aca="false">AM24*[2]'Inflation indexes'!I117</f>
        <v>570.189238920983</v>
      </c>
      <c r="AV24" s="2" t="n">
        <f aca="false">AV23+1</f>
        <v>2035</v>
      </c>
      <c r="AW24" s="2" t="n">
        <f aca="false">AVERAGE(AQ84:AQ87)</f>
        <v>8218.55568151785</v>
      </c>
      <c r="AX24" s="2" t="n">
        <f aca="false">AVERAGE(AR84:AR87)</f>
        <v>536.097219468643</v>
      </c>
      <c r="AY24" s="2" t="n">
        <f aca="false">AVERAGE(AS84:AS87)</f>
        <v>464.664041309672</v>
      </c>
      <c r="AZ24" s="2" t="n">
        <f aca="false">AVERAGE(AT84:AT87)</f>
        <v>808.428977719365</v>
      </c>
      <c r="BA24" s="2" t="n">
        <f aca="false">AVERAGE(AU84:AU87)</f>
        <v>515.487175837508</v>
      </c>
    </row>
    <row r="25" customFormat="false" ht="15" hidden="false" customHeight="false" outlineLevel="0" collapsed="false">
      <c r="A25" s="6" t="n">
        <f aca="false">[2]'Retirement benefit values'!B26</f>
        <v>6640.5536104827</v>
      </c>
      <c r="B25" s="7" t="n">
        <v>485.094851466</v>
      </c>
      <c r="C25" s="7" t="n">
        <v>489.9626617249</v>
      </c>
      <c r="D25" s="7" t="n">
        <v>430.0303974047</v>
      </c>
      <c r="E25" s="7" t="n">
        <v>670.9970159818</v>
      </c>
      <c r="F25" s="7" t="n">
        <f aca="false">F21+1</f>
        <v>2020</v>
      </c>
      <c r="G25" s="4" t="n">
        <f aca="false">A25*[2]'Inflation indexes'!I118</f>
        <v>6159.51276335254</v>
      </c>
      <c r="H25" s="7" t="n">
        <f aca="false">B25*[2]'Inflation indexes'!I118</f>
        <v>449.954642987099</v>
      </c>
      <c r="I25" s="7" t="n">
        <f aca="false">D25*[2]'Inflation indexes'!I118</f>
        <v>398.879050876494</v>
      </c>
      <c r="J25" s="2" t="n">
        <f aca="false">E25*[2]'Inflation indexes'!I118</f>
        <v>622.390078680644</v>
      </c>
      <c r="K25" s="7" t="n">
        <f aca="false">C25*[2]'Inflation indexes'!I118</f>
        <v>454.469829698631</v>
      </c>
      <c r="L25" s="2" t="n">
        <f aca="false">L24+1</f>
        <v>2036</v>
      </c>
      <c r="M25" s="2" t="n">
        <f aca="false">AVERAGE(G88:G91)</f>
        <v>5837.45571832095</v>
      </c>
      <c r="N25" s="2" t="n">
        <f aca="false">AVERAGE(H88:H91)</f>
        <v>465.676957094455</v>
      </c>
      <c r="O25" s="2" t="n">
        <f aca="false">AVERAGE(I88:I91)</f>
        <v>393.296142120416</v>
      </c>
      <c r="P25" s="2" t="n">
        <f aca="false">AVERAGE(J88:J91)</f>
        <v>640.622809203616</v>
      </c>
      <c r="Q25" s="2" t="n">
        <f aca="false">AVERAGE(K88:K91)</f>
        <v>453.500733180845</v>
      </c>
      <c r="R25" s="8" t="n">
        <f aca="false">R21+1</f>
        <v>2020</v>
      </c>
      <c r="S25" s="9" t="n">
        <f aca="false">[2]'Retirement benefit values'!R26</f>
        <v>6751.91079131857</v>
      </c>
      <c r="T25" s="8" t="n">
        <v>487.2645659975</v>
      </c>
      <c r="U25" s="8" t="n">
        <v>492.0639935299</v>
      </c>
      <c r="V25" s="8" t="n">
        <v>433.6527469533</v>
      </c>
      <c r="W25" s="8" t="n">
        <v>672.9523762844</v>
      </c>
      <c r="X25" s="8" t="n">
        <f aca="false">X21+1</f>
        <v>2020</v>
      </c>
      <c r="Y25" s="3" t="n">
        <f aca="false">S25*[2]'Inflation indexes'!I118</f>
        <v>6262.80324437008</v>
      </c>
      <c r="Z25" s="3" t="n">
        <f aca="false">T25*[2]'Inflation indexes'!I118</f>
        <v>451.967183677759</v>
      </c>
      <c r="AA25" s="3" t="n">
        <f aca="false">V25*[2]'Inflation indexes'!I118</f>
        <v>402.238997890957</v>
      </c>
      <c r="AB25" s="3" t="n">
        <f aca="false">W25*[2]'Inflation indexes'!I118</f>
        <v>624.203792935101</v>
      </c>
      <c r="AC25" s="3" t="n">
        <f aca="false">U25*[2]'Inflation indexes'!I118</f>
        <v>456.41894129868</v>
      </c>
      <c r="AD25" s="3" t="n">
        <f aca="false">AD24+1</f>
        <v>2036</v>
      </c>
      <c r="AE25" s="3" t="n">
        <f aca="false">AVERAGE(Y88:Y91)</f>
        <v>6993.54512169814</v>
      </c>
      <c r="AF25" s="3" t="n">
        <f aca="false">AVERAGE(Z88:Z91)</f>
        <v>509.339419165793</v>
      </c>
      <c r="AG25" s="3" t="n">
        <f aca="false">AVERAGE(AA88:AA91)</f>
        <v>435.722814122183</v>
      </c>
      <c r="AH25" s="3" t="n">
        <f aca="false">AVERAGE(AB88:AB91)</f>
        <v>743.953878425223</v>
      </c>
      <c r="AI25" s="3" t="n">
        <f aca="false">AVERAGE(AC88:AC91)</f>
        <v>493.503484148407</v>
      </c>
      <c r="AJ25" s="7" t="n">
        <f aca="false">AJ21+1</f>
        <v>2020</v>
      </c>
      <c r="AK25" s="6" t="n">
        <f aca="false">[2]'Retirement benefit values'!AO26</f>
        <v>6858.119796728</v>
      </c>
      <c r="AL25" s="7" t="n">
        <v>489.0763761247</v>
      </c>
      <c r="AM25" s="7" t="n">
        <v>494.6521017801</v>
      </c>
      <c r="AN25" s="7" t="n">
        <v>435.1573837966</v>
      </c>
      <c r="AO25" s="7" t="n">
        <v>683.8851369426</v>
      </c>
      <c r="AP25" s="7" t="n">
        <f aca="false">AP21+1</f>
        <v>2020</v>
      </c>
      <c r="AQ25" s="2" t="n">
        <f aca="false">AK25*[2]'Inflation indexes'!I118</f>
        <v>6361.31848312512</v>
      </c>
      <c r="AR25" s="2" t="n">
        <f aca="false">AL25*[2]'Inflation indexes'!I118</f>
        <v>453.647746513008</v>
      </c>
      <c r="AS25" s="2" t="n">
        <f aca="false">AN25*[2]'Inflation indexes'!I118</f>
        <v>403.634639035377</v>
      </c>
      <c r="AT25" s="2" t="n">
        <f aca="false">AO25*[2]'Inflation indexes'!I118</f>
        <v>634.344585821188</v>
      </c>
      <c r="AU25" s="2" t="n">
        <f aca="false">AM25*[2]'Inflation indexes'!I118</f>
        <v>458.819567321016</v>
      </c>
      <c r="AV25" s="2" t="n">
        <f aca="false">AV24+1</f>
        <v>2036</v>
      </c>
      <c r="AW25" s="2" t="n">
        <f aca="false">AVERAGE(AQ88:AQ91)</f>
        <v>8321.36182226828</v>
      </c>
      <c r="AX25" s="2" t="n">
        <f aca="false">AVERAGE(AR88:AR91)</f>
        <v>545.062266846463</v>
      </c>
      <c r="AY25" s="2" t="n">
        <f aca="false">AVERAGE(AS88:AS91)</f>
        <v>469.179105993945</v>
      </c>
      <c r="AZ25" s="2" t="n">
        <f aca="false">AVERAGE(AT88:AT91)</f>
        <v>859.310927335068</v>
      </c>
      <c r="BA25" s="2" t="n">
        <f aca="false">AVERAGE(AU88:AU91)</f>
        <v>520.295100080375</v>
      </c>
    </row>
    <row r="26" customFormat="false" ht="15" hidden="false" customHeight="false" outlineLevel="0" collapsed="false">
      <c r="A26" s="6" t="n">
        <f aca="false">[2]'Retirement benefit values'!B27</f>
        <v>6633.2477054872</v>
      </c>
      <c r="B26" s="7" t="n">
        <v>486.5559960966</v>
      </c>
      <c r="C26" s="7" t="n">
        <v>496.1707837214</v>
      </c>
      <c r="D26" s="7" t="n">
        <v>434.2816571792</v>
      </c>
      <c r="E26" s="7" t="n">
        <v>658.5232064732</v>
      </c>
      <c r="F26" s="7" t="n">
        <f aca="false">F22+1</f>
        <v>2020</v>
      </c>
      <c r="G26" s="4" t="n">
        <f aca="false">A26*[2]'Inflation indexes'!I119</f>
        <v>6152.73609717269</v>
      </c>
      <c r="H26" s="7" t="n">
        <f aca="false">B26*[2]'Inflation indexes'!I119</f>
        <v>451.309942489097</v>
      </c>
      <c r="I26" s="7" t="n">
        <f aca="false">D26*[2]'Inflation indexes'!I119</f>
        <v>402.822349941202</v>
      </c>
      <c r="J26" s="2" t="n">
        <f aca="false">E26*[2]'Inflation indexes'!I119</f>
        <v>610.819870324136</v>
      </c>
      <c r="K26" s="7" t="n">
        <f aca="false">C26*[2]'Inflation indexes'!I119</f>
        <v>460.228236138349</v>
      </c>
      <c r="L26" s="2" t="n">
        <f aca="false">L25+1</f>
        <v>2037</v>
      </c>
      <c r="M26" s="2" t="n">
        <f aca="false">AVERAGE(G92:G95)</f>
        <v>5821.70683493685</v>
      </c>
      <c r="N26" s="2" t="n">
        <f aca="false">AVERAGE(H92:H95)</f>
        <v>467.302034944885</v>
      </c>
      <c r="O26" s="2" t="n">
        <f aca="false">AVERAGE(I92:I95)</f>
        <v>393.297366900724</v>
      </c>
      <c r="P26" s="2" t="n">
        <f aca="false">AVERAGE(J92:J95)</f>
        <v>646.563609362701</v>
      </c>
      <c r="Q26" s="2" t="n">
        <f aca="false">AVERAGE(K92:K95)</f>
        <v>455.359917228717</v>
      </c>
      <c r="R26" s="8" t="n">
        <f aca="false">R22+1</f>
        <v>2020</v>
      </c>
      <c r="S26" s="9" t="n">
        <f aca="false">[2]'Retirement benefit values'!R27</f>
        <v>6757.14868613994</v>
      </c>
      <c r="T26" s="8" t="n">
        <v>489.9322066418</v>
      </c>
      <c r="U26" s="8" t="n">
        <v>499.1076838707</v>
      </c>
      <c r="V26" s="8" t="n">
        <v>437.9604839337</v>
      </c>
      <c r="W26" s="8" t="n">
        <v>667.488210486</v>
      </c>
      <c r="X26" s="8" t="n">
        <f aca="false">X22+1</f>
        <v>2020</v>
      </c>
      <c r="Y26" s="3" t="n">
        <f aca="false">S26*[2]'Inflation indexes'!I119</f>
        <v>6267.6617067661</v>
      </c>
      <c r="Z26" s="3" t="n">
        <f aca="false">T26*[2]'Inflation indexes'!I119</f>
        <v>454.441580777823</v>
      </c>
      <c r="AA26" s="3" t="n">
        <f aca="false">V26*[2]'Inflation indexes'!I119</f>
        <v>406.234682960054</v>
      </c>
      <c r="AB26" s="3" t="n">
        <f aca="false">W26*[2]'Inflation indexes'!I119</f>
        <v>619.13545060244</v>
      </c>
      <c r="AC26" s="3" t="n">
        <f aca="false">U26*[2]'Inflation indexes'!I119</f>
        <v>462.952387619597</v>
      </c>
      <c r="AD26" s="3" t="n">
        <f aca="false">AD25+1</f>
        <v>2037</v>
      </c>
      <c r="AE26" s="3" t="n">
        <f aca="false">AVERAGE(Y92:Y95)</f>
        <v>7003.98972845299</v>
      </c>
      <c r="AF26" s="3" t="n">
        <f aca="false">AVERAGE(Z92:Z95)</f>
        <v>505.590643921626</v>
      </c>
      <c r="AG26" s="3" t="n">
        <f aca="false">AVERAGE(AA92:AA95)</f>
        <v>426.054141428771</v>
      </c>
      <c r="AH26" s="3" t="n">
        <f aca="false">AVERAGE(AB92:AB95)</f>
        <v>755.183607062415</v>
      </c>
      <c r="AI26" s="3" t="n">
        <f aca="false">AVERAGE(AC92:AC95)</f>
        <v>492.229428702938</v>
      </c>
      <c r="AJ26" s="7" t="n">
        <f aca="false">AJ22+1</f>
        <v>2020</v>
      </c>
      <c r="AK26" s="6" t="n">
        <f aca="false">[2]'Retirement benefit values'!AO27</f>
        <v>6883.2095586434</v>
      </c>
      <c r="AL26" s="7" t="n">
        <v>491.6610900614</v>
      </c>
      <c r="AM26" s="7" t="n">
        <v>500.8560346333</v>
      </c>
      <c r="AN26" s="7" t="n">
        <v>438.7781915571</v>
      </c>
      <c r="AO26" s="7" t="n">
        <v>674.2324757263</v>
      </c>
      <c r="AP26" s="7" t="n">
        <f aca="false">AP22+1</f>
        <v>2020</v>
      </c>
      <c r="AQ26" s="2" t="n">
        <f aca="false">AK26*[2]'Inflation indexes'!I119</f>
        <v>6384.59074592312</v>
      </c>
      <c r="AR26" s="2" t="n">
        <f aca="false">AL26*[2]'Inflation indexes'!I119</f>
        <v>456.045224105477</v>
      </c>
      <c r="AS26" s="2" t="n">
        <f aca="false">AN26*[2]'Inflation indexes'!I119</f>
        <v>406.993155948672</v>
      </c>
      <c r="AT26" s="2" t="n">
        <f aca="false">AO26*[2]'Inflation indexes'!I119</f>
        <v>625.391162138521</v>
      </c>
      <c r="AU26" s="2" t="n">
        <f aca="false">AM26*[2]'Inflation indexes'!I119</f>
        <v>464.574088078434</v>
      </c>
      <c r="AV26" s="2" t="n">
        <f aca="false">AV25+1</f>
        <v>2037</v>
      </c>
      <c r="AW26" s="2" t="n">
        <f aca="false">AVERAGE(AQ92:AQ95)</f>
        <v>8455.06031588543</v>
      </c>
      <c r="AX26" s="2" t="n">
        <f aca="false">AVERAGE(AR92:AR95)</f>
        <v>539.944515025935</v>
      </c>
      <c r="AY26" s="2" t="n">
        <f aca="false">AVERAGE(AS92:AS95)</f>
        <v>461.698093541126</v>
      </c>
      <c r="AZ26" s="2" t="n">
        <f aca="false">AVERAGE(AT92:AT95)</f>
        <v>854.6269652028</v>
      </c>
      <c r="BA26" s="2" t="n">
        <f aca="false">AVERAGE(AU92:AU95)</f>
        <v>515.035719933226</v>
      </c>
    </row>
    <row r="27" customFormat="false" ht="15" hidden="false" customHeight="false" outlineLevel="0" collapsed="false">
      <c r="A27" s="6" t="n">
        <f aca="false">[2]'Retirement benefit values'!B28</f>
        <v>6648.0234816224</v>
      </c>
      <c r="B27" s="7" t="n">
        <v>485.4730479443</v>
      </c>
      <c r="C27" s="7" t="n">
        <v>495.4284920847</v>
      </c>
      <c r="D27" s="7" t="n">
        <v>436.9526889714</v>
      </c>
      <c r="E27" s="7" t="n">
        <v>659.8588312717</v>
      </c>
      <c r="F27" s="7" t="n">
        <f aca="false">F23+1</f>
        <v>2020</v>
      </c>
      <c r="G27" s="4" t="n">
        <f aca="false">A27*[2]'Inflation indexes'!I120</f>
        <v>6166.44151799025</v>
      </c>
      <c r="H27" s="7" t="n">
        <f aca="false">B27*[2]'Inflation indexes'!I120</f>
        <v>450.305442961285</v>
      </c>
      <c r="I27" s="7" t="n">
        <f aca="false">D27*[2]'Inflation indexes'!I120</f>
        <v>405.29989253485</v>
      </c>
      <c r="J27" s="2" t="n">
        <f aca="false">E27*[2]'Inflation indexes'!I120</f>
        <v>612.058742634484</v>
      </c>
      <c r="K27" s="7" t="n">
        <f aca="false">C27*[2]'Inflation indexes'!I120</f>
        <v>459.53971601208</v>
      </c>
      <c r="L27" s="2" t="n">
        <f aca="false">L26+1</f>
        <v>2038</v>
      </c>
      <c r="M27" s="2" t="n">
        <f aca="false">AVERAGE(G96:G99)</f>
        <v>5768.57079856109</v>
      </c>
      <c r="N27" s="2" t="n">
        <f aca="false">AVERAGE(H96:H99)</f>
        <v>460.235772347904</v>
      </c>
      <c r="O27" s="2" t="n">
        <f aca="false">AVERAGE(I96:I99)</f>
        <v>388.806615380417</v>
      </c>
      <c r="P27" s="2" t="n">
        <f aca="false">AVERAGE(J96:J99)</f>
        <v>646.695350664188</v>
      </c>
      <c r="Q27" s="2" t="n">
        <f aca="false">AVERAGE(K96:K99)</f>
        <v>448.225363882933</v>
      </c>
      <c r="R27" s="8" t="n">
        <f aca="false">R23+1</f>
        <v>2020</v>
      </c>
      <c r="S27" s="9" t="n">
        <f aca="false">[2]'Retirement benefit values'!R28</f>
        <v>6774.75801755619</v>
      </c>
      <c r="T27" s="8" t="n">
        <v>489.5773720161</v>
      </c>
      <c r="U27" s="8" t="n">
        <v>500.4211518432</v>
      </c>
      <c r="V27" s="8" t="n">
        <v>442.7024463304</v>
      </c>
      <c r="W27" s="8" t="n">
        <v>669.8594747053</v>
      </c>
      <c r="X27" s="8" t="n">
        <f aca="false">X23+1</f>
        <v>2020</v>
      </c>
      <c r="Y27" s="3" t="n">
        <f aca="false">S27*[2]'Inflation indexes'!I120</f>
        <v>6283.99542048558</v>
      </c>
      <c r="Z27" s="3" t="n">
        <f aca="false">T27*[2]'Inflation indexes'!I120</f>
        <v>454.112450326647</v>
      </c>
      <c r="AA27" s="3" t="n">
        <f aca="false">V27*[2]'Inflation indexes'!I120</f>
        <v>410.633138212294</v>
      </c>
      <c r="AB27" s="3" t="n">
        <f aca="false">W27*[2]'Inflation indexes'!I120</f>
        <v>621.334940747509</v>
      </c>
      <c r="AC27" s="3" t="n">
        <f aca="false">U27*[2]'Inflation indexes'!I120</f>
        <v>464.170708141563</v>
      </c>
      <c r="AD27" s="3" t="n">
        <f aca="false">AD26+1</f>
        <v>2038</v>
      </c>
      <c r="AE27" s="3" t="n">
        <f aca="false">AVERAGE(Y96:Y99)</f>
        <v>7063.75662513513</v>
      </c>
      <c r="AF27" s="3" t="n">
        <f aca="false">AVERAGE(Z96:Z99)</f>
        <v>516.007660026162</v>
      </c>
      <c r="AG27" s="3" t="n">
        <f aca="false">AVERAGE(AA96:AA99)</f>
        <v>443.870599513396</v>
      </c>
      <c r="AH27" s="3" t="n">
        <f aca="false">AVERAGE(AB96:AB99)</f>
        <v>736.988167651006</v>
      </c>
      <c r="AI27" s="3" t="n">
        <f aca="false">AVERAGE(AC96:AC99)</f>
        <v>500.00204379332</v>
      </c>
      <c r="AJ27" s="7" t="n">
        <f aca="false">AJ23+1</f>
        <v>2020</v>
      </c>
      <c r="AK27" s="6" t="n">
        <f aca="false">[2]'Retirement benefit values'!AO28</f>
        <v>6921.3304288522</v>
      </c>
      <c r="AL27" s="7" t="n">
        <v>491.5929076294</v>
      </c>
      <c r="AM27" s="7" t="n">
        <v>502.4466831043</v>
      </c>
      <c r="AN27" s="7" t="n">
        <v>441.6875934838</v>
      </c>
      <c r="AO27" s="7" t="n">
        <v>695.6046434834</v>
      </c>
      <c r="AP27" s="7" t="n">
        <f aca="false">AP23+1</f>
        <v>2020</v>
      </c>
      <c r="AQ27" s="2" t="n">
        <f aca="false">AK27*[2]'Inflation indexes'!I120</f>
        <v>6419.95014521034</v>
      </c>
      <c r="AR27" s="2" t="n">
        <f aca="false">AL27*[2]'Inflation indexes'!I120</f>
        <v>455.981980800058</v>
      </c>
      <c r="AS27" s="2" t="n">
        <f aca="false">AN27*[2]'Inflation indexes'!I120</f>
        <v>409.691801175019</v>
      </c>
      <c r="AT27" s="2" t="n">
        <f aca="false">AO27*[2]'Inflation indexes'!I120</f>
        <v>645.215132819604</v>
      </c>
      <c r="AU27" s="2" t="n">
        <f aca="false">AM27*[2]'Inflation indexes'!I120</f>
        <v>466.049510179336</v>
      </c>
      <c r="AV27" s="2" t="n">
        <f aca="false">AV26+1</f>
        <v>2038</v>
      </c>
      <c r="AW27" s="2" t="n">
        <f aca="false">AVERAGE(AQ96:AQ99)</f>
        <v>8584.2084313612</v>
      </c>
      <c r="AX27" s="2" t="n">
        <f aca="false">AVERAGE(AR96:AR99)</f>
        <v>538.365016002199</v>
      </c>
      <c r="AY27" s="2" t="n">
        <f aca="false">AVERAGE(AS96:AS99)</f>
        <v>458.907629981205</v>
      </c>
      <c r="AZ27" s="2" t="n">
        <f aca="false">AVERAGE(AT96:AT99)</f>
        <v>862.784043969348</v>
      </c>
      <c r="BA27" s="2" t="n">
        <f aca="false">AVERAGE(AU96:AU99)</f>
        <v>511.582750539954</v>
      </c>
    </row>
    <row r="28" customFormat="false" ht="15" hidden="false" customHeight="false" outlineLevel="0" collapsed="false">
      <c r="A28" s="6" t="n">
        <f aca="false">[2]'Retirement benefit values'!B29</f>
        <v>6683.7888058571</v>
      </c>
      <c r="B28" s="7" t="n">
        <v>621.4294424475</v>
      </c>
      <c r="C28" s="7" t="n">
        <v>617.0611252895</v>
      </c>
      <c r="D28" s="7" t="n">
        <v>558.8018056342</v>
      </c>
      <c r="E28" s="7" t="n">
        <v>781.3493948771</v>
      </c>
      <c r="F28" s="7" t="n">
        <f aca="false">F24+1</f>
        <v>2021</v>
      </c>
      <c r="G28" s="4" t="n">
        <f aca="false">A28*[2]'Inflation indexes'!I121</f>
        <v>6199.61600674994</v>
      </c>
      <c r="H28" s="7" t="n">
        <f aca="false">B28*[2]'Inflation indexes'!I121</f>
        <v>576.413173780581</v>
      </c>
      <c r="I28" s="7" t="n">
        <f aca="false">D28*[2]'Inflation indexes'!I121</f>
        <v>518.322274901129</v>
      </c>
      <c r="J28" s="2" t="n">
        <f aca="false">E28*[2]'Inflation indexes'!I121</f>
        <v>724.7485454806</v>
      </c>
      <c r="K28" s="7" t="n">
        <f aca="false">C28*[2]'Inflation indexes'!I121</f>
        <v>572.361296954137</v>
      </c>
      <c r="L28" s="2" t="n">
        <f aca="false">L27+1</f>
        <v>2039</v>
      </c>
      <c r="M28" s="2" t="n">
        <f aca="false">AVERAGE(G100:G103)</f>
        <v>5761.6259548359</v>
      </c>
      <c r="N28" s="2" t="n">
        <f aca="false">AVERAGE(H100:H103)</f>
        <v>463.068899819629</v>
      </c>
      <c r="O28" s="2" t="n">
        <f aca="false">AVERAGE(I100:I103)</f>
        <v>386.159471809993</v>
      </c>
      <c r="P28" s="2" t="n">
        <f aca="false">AVERAGE(J100:J103)</f>
        <v>658.51027853424</v>
      </c>
      <c r="Q28" s="2" t="n">
        <f aca="false">AVERAGE(K100:K103)</f>
        <v>449.432302762684</v>
      </c>
      <c r="R28" s="8" t="n">
        <f aca="false">R24+1</f>
        <v>2021</v>
      </c>
      <c r="S28" s="9" t="n">
        <f aca="false">[2]'Retirement benefit values'!R29</f>
        <v>6761.55115846847</v>
      </c>
      <c r="T28" s="8" t="n">
        <v>625.1826755234</v>
      </c>
      <c r="U28" s="8" t="n">
        <v>622.0111965763</v>
      </c>
      <c r="V28" s="8" t="n">
        <v>560.2069354199</v>
      </c>
      <c r="W28" s="8" t="n">
        <v>804.7466104045</v>
      </c>
      <c r="X28" s="8" t="n">
        <f aca="false">X24+1</f>
        <v>2021</v>
      </c>
      <c r="Y28" s="3" t="n">
        <f aca="false">S28*[2]'Inflation indexes'!I121</f>
        <v>6271.74526456693</v>
      </c>
      <c r="Z28" s="3" t="n">
        <f aca="false">T28*[2]'Inflation indexes'!I121</f>
        <v>579.894523136507</v>
      </c>
      <c r="AA28" s="3" t="n">
        <f aca="false">V28*[2]'Inflation indexes'!I121</f>
        <v>519.625617266369</v>
      </c>
      <c r="AB28" s="3" t="n">
        <f aca="false">W28*[2]'Inflation indexes'!I121</f>
        <v>746.450869732667</v>
      </c>
      <c r="AC28" s="3" t="n">
        <f aca="false">U28*[2]'Inflation indexes'!I121</f>
        <v>576.952785715318</v>
      </c>
      <c r="AD28" s="3" t="n">
        <f aca="false">AD27+1</f>
        <v>2039</v>
      </c>
      <c r="AE28" s="3" t="n">
        <f aca="false">AVERAGE(Y100:Y103)</f>
        <v>7096.57277307995</v>
      </c>
      <c r="AF28" s="3" t="n">
        <f aca="false">AVERAGE(Z100:Z103)</f>
        <v>510.373968473539</v>
      </c>
      <c r="AG28" s="3" t="n">
        <f aca="false">AVERAGE(AA100:AA103)</f>
        <v>438.494611641435</v>
      </c>
      <c r="AH28" s="3" t="n">
        <f aca="false">AVERAGE(AB100:AB103)</f>
        <v>745.259038512748</v>
      </c>
      <c r="AI28" s="3" t="n">
        <f aca="false">AVERAGE(AC100:AC103)</f>
        <v>500.585316550831</v>
      </c>
      <c r="AJ28" s="7" t="n">
        <f aca="false">AJ24+1</f>
        <v>2021</v>
      </c>
      <c r="AK28" s="6" t="n">
        <f aca="false">[2]'Retirement benefit values'!AO29</f>
        <v>6923.2523166503</v>
      </c>
      <c r="AL28" s="7" t="n">
        <v>633.1742885792</v>
      </c>
      <c r="AM28" s="7" t="n">
        <v>627.1300889176</v>
      </c>
      <c r="AN28" s="7" t="n">
        <v>563.5945630295</v>
      </c>
      <c r="AO28" s="7" t="n">
        <v>819.7947090657</v>
      </c>
      <c r="AP28" s="7" t="n">
        <f aca="false">AP24+1</f>
        <v>2021</v>
      </c>
      <c r="AQ28" s="2" t="n">
        <f aca="false">AK28*[2]'Inflation indexes'!I121</f>
        <v>6421.7328117042</v>
      </c>
      <c r="AR28" s="2" t="n">
        <f aca="false">AL28*[2]'Inflation indexes'!I121</f>
        <v>587.3072247732</v>
      </c>
      <c r="AS28" s="2" t="n">
        <f aca="false">AN28*[2]'Inflation indexes'!I121</f>
        <v>522.767845568822</v>
      </c>
      <c r="AT28" s="2" t="n">
        <f aca="false">AO28*[2]'Inflation indexes'!I121</f>
        <v>760.40888606756</v>
      </c>
      <c r="AU28" s="2" t="n">
        <f aca="false">AM28*[2]'Inflation indexes'!I121</f>
        <v>581.700866155583</v>
      </c>
      <c r="AV28" s="2" t="n">
        <f aca="false">AV27+1</f>
        <v>2039</v>
      </c>
      <c r="AW28" s="2" t="n">
        <f aca="false">AVERAGE(AQ100:AQ103)</f>
        <v>8719.23138441844</v>
      </c>
      <c r="AX28" s="2" t="n">
        <f aca="false">AVERAGE(AR100:AR103)</f>
        <v>540.306345877822</v>
      </c>
      <c r="AY28" s="2" t="n">
        <f aca="false">AVERAGE(AS100:AS103)</f>
        <v>449.33623831807</v>
      </c>
      <c r="AZ28" s="2" t="n">
        <f aca="false">AVERAGE(AT100:AT103)</f>
        <v>896.437345450681</v>
      </c>
      <c r="BA28" s="2" t="n">
        <f aca="false">AVERAGE(AU100:AU103)</f>
        <v>507.11703316998</v>
      </c>
    </row>
    <row r="29" customFormat="false" ht="15" hidden="false" customHeight="false" outlineLevel="0" collapsed="false">
      <c r="A29" s="6" t="n">
        <f aca="false">[2]'Retirement benefit values'!B30</f>
        <v>6652.7320476405</v>
      </c>
      <c r="B29" s="7" t="n">
        <v>479.6586094408</v>
      </c>
      <c r="C29" s="7" t="n">
        <v>491.0819679462</v>
      </c>
      <c r="D29" s="7" t="n">
        <v>437.7488516109</v>
      </c>
      <c r="E29" s="7" t="n">
        <v>656.9741148722</v>
      </c>
      <c r="F29" s="7" t="n">
        <f aca="false">F25+1</f>
        <v>2021</v>
      </c>
      <c r="G29" s="4" t="n">
        <f aca="false">A29*[2]'Inflation indexes'!I122</f>
        <v>6170.80899609325</v>
      </c>
      <c r="H29" s="7" t="n">
        <f aca="false">B29*[2]'Inflation indexes'!I122</f>
        <v>444.912201633107</v>
      </c>
      <c r="I29" s="7" t="n">
        <f aca="false">D29*[2]'Inflation indexes'!I122</f>
        <v>406.038381255424</v>
      </c>
      <c r="J29" s="2" t="n">
        <f aca="false">E29*[2]'Inflation indexes'!I122</f>
        <v>609.38299471893</v>
      </c>
      <c r="K29" s="7" t="n">
        <f aca="false">C29*[2]'Inflation indexes'!I122</f>
        <v>455.508053521614</v>
      </c>
      <c r="L29" s="2" t="n">
        <f aca="false">L28+1</f>
        <v>2040</v>
      </c>
      <c r="M29" s="2" t="n">
        <f aca="false">AVERAGE(G104:G107)</f>
        <v>5761.92124876309</v>
      </c>
      <c r="N29" s="2" t="n">
        <f aca="false">AVERAGE(H104:H107)</f>
        <v>457.898104748911</v>
      </c>
      <c r="O29" s="2" t="n">
        <f aca="false">AVERAGE(I104:I107)</f>
        <v>377.526343833997</v>
      </c>
      <c r="P29" s="2" t="n">
        <f aca="false">AVERAGE(J104:J107)</f>
        <v>660.491540703582</v>
      </c>
      <c r="Q29" s="2" t="n">
        <f aca="false">AVERAGE(K104:K107)</f>
        <v>443.825951751617</v>
      </c>
      <c r="R29" s="8" t="n">
        <f aca="false">R25+1</f>
        <v>2021</v>
      </c>
      <c r="S29" s="9" t="n">
        <f aca="false">[2]'Retirement benefit values'!R30</f>
        <v>6784.52066056824</v>
      </c>
      <c r="T29" s="8" t="n">
        <v>490.1066034941</v>
      </c>
      <c r="U29" s="8" t="n">
        <v>497.9730942684</v>
      </c>
      <c r="V29" s="8" t="n">
        <v>434.6449744298</v>
      </c>
      <c r="W29" s="8" t="n">
        <v>669.5993613448</v>
      </c>
      <c r="X29" s="8" t="n">
        <f aca="false">X25+1</f>
        <v>2021</v>
      </c>
      <c r="Y29" s="3" t="n">
        <f aca="false">S29*[2]'Inflation indexes'!I122</f>
        <v>6293.0508588969</v>
      </c>
      <c r="Z29" s="3" t="n">
        <f aca="false">T29*[2]'Inflation indexes'!I122</f>
        <v>454.603344344634</v>
      </c>
      <c r="AA29" s="3" t="n">
        <f aca="false">V29*[2]'Inflation indexes'!I122</f>
        <v>403.159348537024</v>
      </c>
      <c r="AB29" s="3" t="n">
        <f aca="false">W29*[2]'Inflation indexes'!I122</f>
        <v>621.093669965297</v>
      </c>
      <c r="AC29" s="3" t="n">
        <f aca="false">U29*[2]'Inflation indexes'!I122</f>
        <v>461.899987541763</v>
      </c>
      <c r="AD29" s="3" t="n">
        <f aca="false">AD28+1</f>
        <v>2040</v>
      </c>
      <c r="AE29" s="3" t="n">
        <f aca="false">AVERAGE(Y104:Y107)</f>
        <v>7157.64203940044</v>
      </c>
      <c r="AF29" s="3" t="n">
        <f aca="false">AVERAGE(Z104:Z107)</f>
        <v>503.789254981928</v>
      </c>
      <c r="AG29" s="3" t="n">
        <f aca="false">AVERAGE(AA104:AA107)</f>
        <v>432.088085419672</v>
      </c>
      <c r="AH29" s="3" t="n">
        <f aca="false">AVERAGE(AB104:AB107)</f>
        <v>761.828150150442</v>
      </c>
      <c r="AI29" s="3" t="n">
        <f aca="false">AVERAGE(AC104:AC107)</f>
        <v>490.392184735911</v>
      </c>
      <c r="AJ29" s="7" t="n">
        <f aca="false">AJ25+1</f>
        <v>2021</v>
      </c>
      <c r="AK29" s="6" t="n">
        <f aca="false">[2]'Retirement benefit values'!AO30</f>
        <v>6957.2344498419</v>
      </c>
      <c r="AL29" s="7" t="n">
        <v>500.7587833177</v>
      </c>
      <c r="AM29" s="7" t="n">
        <v>501.3966702813</v>
      </c>
      <c r="AN29" s="7" t="n">
        <v>437.6758676886</v>
      </c>
      <c r="AO29" s="7" t="n">
        <v>687.0358612007</v>
      </c>
      <c r="AP29" s="7" t="n">
        <f aca="false">AP25+1</f>
        <v>2021</v>
      </c>
      <c r="AQ29" s="2" t="n">
        <f aca="false">AK29*[2]'Inflation indexes'!I122</f>
        <v>6453.25328354998</v>
      </c>
      <c r="AR29" s="2" t="n">
        <f aca="false">AL29*[2]'Inflation indexes'!I122</f>
        <v>464.483881635594</v>
      </c>
      <c r="AS29" s="2" t="n">
        <f aca="false">AN29*[2]'Inflation indexes'!I122</f>
        <v>405.970684279043</v>
      </c>
      <c r="AT29" s="2" t="n">
        <f aca="false">AO29*[2]'Inflation indexes'!I122</f>
        <v>637.267072020371</v>
      </c>
      <c r="AU29" s="2" t="n">
        <f aca="false">AM29*[2]'Inflation indexes'!I122</f>
        <v>465.075560149817</v>
      </c>
      <c r="AV29" s="2" t="n">
        <f aca="false">AV28+1</f>
        <v>2040</v>
      </c>
      <c r="AW29" s="2" t="n">
        <f aca="false">AVERAGE(AQ104:AQ107)</f>
        <v>8887.14438987828</v>
      </c>
      <c r="AX29" s="2" t="n">
        <f aca="false">AVERAGE(AR104:AR107)</f>
        <v>530.523886462411</v>
      </c>
      <c r="AY29" s="2" t="n">
        <f aca="false">AVERAGE(AS104:AS107)</f>
        <v>454.436446321832</v>
      </c>
      <c r="AZ29" s="2" t="n">
        <f aca="false">AVERAGE(AT104:AT107)</f>
        <v>865.87464515435</v>
      </c>
      <c r="BA29" s="2" t="n">
        <f aca="false">AVERAGE(AU104:AU107)</f>
        <v>505.447341255752</v>
      </c>
    </row>
    <row r="30" customFormat="false" ht="15" hidden="false" customHeight="false" outlineLevel="0" collapsed="false">
      <c r="A30" s="6" t="n">
        <f aca="false">[2]'Retirement benefit values'!B31</f>
        <v>6629.6426011378</v>
      </c>
      <c r="B30" s="7" t="n">
        <v>478.526299531</v>
      </c>
      <c r="C30" s="7" t="n">
        <v>488.3065559432</v>
      </c>
      <c r="D30" s="7" t="n">
        <v>424.5905029583</v>
      </c>
      <c r="E30" s="7" t="n">
        <v>652.8497447518</v>
      </c>
      <c r="F30" s="7" t="n">
        <f aca="false">F26+1</f>
        <v>2021</v>
      </c>
      <c r="G30" s="4" t="n">
        <f aca="false">A30*[2]'Inflation indexes'!I123</f>
        <v>6149.39214611742</v>
      </c>
      <c r="H30" s="7" t="n">
        <f aca="false">B30*[2]'Inflation indexes'!I123</f>
        <v>443.861916107143</v>
      </c>
      <c r="I30" s="7" t="n">
        <f aca="false">D30*[2]'Inflation indexes'!I123</f>
        <v>393.833221682223</v>
      </c>
      <c r="J30" s="2" t="n">
        <f aca="false">E30*[2]'Inflation indexes'!I123</f>
        <v>605.557393438144</v>
      </c>
      <c r="K30" s="7" t="n">
        <f aca="false">C30*[2]'Inflation indexes'!I123</f>
        <v>452.933692006175</v>
      </c>
      <c r="L30" s="2"/>
      <c r="M30" s="2"/>
      <c r="N30" s="2"/>
      <c r="O30" s="2"/>
      <c r="P30" s="2"/>
      <c r="Q30" s="2"/>
      <c r="R30" s="8" t="n">
        <f aca="false">R26+1</f>
        <v>2021</v>
      </c>
      <c r="S30" s="9" t="n">
        <f aca="false">[2]'Retirement benefit values'!R31</f>
        <v>6798.37982423891</v>
      </c>
      <c r="T30" s="8" t="n">
        <v>494.0592628557</v>
      </c>
      <c r="U30" s="8" t="n">
        <v>501.260334665</v>
      </c>
      <c r="V30" s="8" t="n">
        <v>444.574752142</v>
      </c>
      <c r="W30" s="8" t="n">
        <v>674.4823958953</v>
      </c>
      <c r="X30" s="8" t="n">
        <f aca="false">X26+1</f>
        <v>2021</v>
      </c>
      <c r="Y30" s="3" t="n">
        <f aca="false">S30*[2]'Inflation indexes'!I123</f>
        <v>6305.90606653865</v>
      </c>
      <c r="Z30" s="3" t="n">
        <f aca="false">T30*[2]'Inflation indexes'!I123</f>
        <v>458.269673571843</v>
      </c>
      <c r="AA30" s="3" t="n">
        <f aca="false">V30*[2]'Inflation indexes'!I123</f>
        <v>412.369814432368</v>
      </c>
      <c r="AB30" s="3" t="n">
        <f aca="false">W30*[2]'Inflation indexes'!I123</f>
        <v>625.62297812271</v>
      </c>
      <c r="AC30" s="3" t="n">
        <f aca="false">U30*[2]'Inflation indexes'!I123</f>
        <v>464.949100667979</v>
      </c>
      <c r="AJ30" s="7" t="n">
        <f aca="false">AJ26+1</f>
        <v>2021</v>
      </c>
      <c r="AK30" s="6" t="n">
        <f aca="false">[2]'Retirement benefit values'!AO31</f>
        <v>7003.8567202752</v>
      </c>
      <c r="AL30" s="7" t="n">
        <v>497.5966577349</v>
      </c>
      <c r="AM30" s="7" t="n">
        <v>503.9546373994</v>
      </c>
      <c r="AN30" s="7" t="n">
        <v>443.9970638317</v>
      </c>
      <c r="AO30" s="7" t="n">
        <v>681.0048111356</v>
      </c>
      <c r="AP30" s="7" t="n">
        <f aca="false">AP26+1</f>
        <v>2021</v>
      </c>
      <c r="AQ30" s="2" t="n">
        <f aca="false">AK30*[2]'Inflation indexes'!I123</f>
        <v>6496.49824272583</v>
      </c>
      <c r="AR30" s="2" t="n">
        <f aca="false">AL30*[2]'Inflation indexes'!I123</f>
        <v>461.550820022202</v>
      </c>
      <c r="AS30" s="2" t="n">
        <f aca="false">AN30*[2]'Inflation indexes'!I123</f>
        <v>411.833973788763</v>
      </c>
      <c r="AT30" s="2" t="n">
        <f aca="false">AO30*[2]'Inflation indexes'!I123</f>
        <v>631.67291044418</v>
      </c>
      <c r="AU30" s="2" t="n">
        <f aca="false">AM30*[2]'Inflation indexes'!I123</f>
        <v>467.448228459776</v>
      </c>
    </row>
    <row r="31" customFormat="false" ht="15" hidden="false" customHeight="false" outlineLevel="0" collapsed="false">
      <c r="A31" s="6" t="n">
        <f aca="false">[2]'Retirement benefit values'!B32</f>
        <v>6622.1097796149</v>
      </c>
      <c r="B31" s="7" t="n">
        <v>480.1608447236</v>
      </c>
      <c r="C31" s="7" t="n">
        <v>491.6059245128</v>
      </c>
      <c r="D31" s="7" t="n">
        <v>427.8783631581</v>
      </c>
      <c r="E31" s="7" t="n">
        <v>667.8584898033</v>
      </c>
      <c r="F31" s="7" t="n">
        <f aca="false">F27+1</f>
        <v>2021</v>
      </c>
      <c r="G31" s="4" t="n">
        <f aca="false">A31*[2]'Inflation indexes'!I124</f>
        <v>6142.40500121415</v>
      </c>
      <c r="H31" s="7" t="n">
        <f aca="false">B31*[2]'Inflation indexes'!I124</f>
        <v>445.378055056793</v>
      </c>
      <c r="I31" s="7" t="n">
        <f aca="false">D31*[2]'Inflation indexes'!I124</f>
        <v>396.882909713176</v>
      </c>
      <c r="J31" s="2" t="n">
        <f aca="false">E31*[2]'Inflation indexes'!I124</f>
        <v>619.478906933748</v>
      </c>
      <c r="K31" s="7" t="n">
        <f aca="false">C31*[2]'Inflation indexes'!I124</f>
        <v>455.994054742103</v>
      </c>
      <c r="R31" s="8" t="n">
        <f aca="false">R27+1</f>
        <v>2021</v>
      </c>
      <c r="S31" s="9" t="n">
        <f aca="false">[2]'Retirement benefit values'!R32</f>
        <v>6807.28201361011</v>
      </c>
      <c r="T31" s="8" t="n">
        <v>489.7410139234</v>
      </c>
      <c r="U31" s="8" t="n">
        <v>503.8997138521</v>
      </c>
      <c r="V31" s="8" t="n">
        <v>443.8894593975</v>
      </c>
      <c r="W31" s="8" t="n">
        <v>692.4627820243</v>
      </c>
      <c r="X31" s="8" t="n">
        <f aca="false">X27+1</f>
        <v>2021</v>
      </c>
      <c r="Y31" s="3" t="n">
        <f aca="false">S31*[2]'Inflation indexes'!I124</f>
        <v>6314.16338245989</v>
      </c>
      <c r="Z31" s="3" t="n">
        <f aca="false">T31*[2]'Inflation indexes'!I124</f>
        <v>454.264238035287</v>
      </c>
      <c r="AA31" s="3" t="n">
        <f aca="false">V31*[2]'Inflation indexes'!I124</f>
        <v>411.734164205899</v>
      </c>
      <c r="AB31" s="3" t="n">
        <f aca="false">W31*[2]'Inflation indexes'!I124</f>
        <v>642.300867399404</v>
      </c>
      <c r="AC31" s="3" t="n">
        <f aca="false">U31*[2]'Inflation indexes'!I124</f>
        <v>467.397283567159</v>
      </c>
      <c r="AJ31" s="7" t="n">
        <f aca="false">AJ27+1</f>
        <v>2021</v>
      </c>
      <c r="AK31" s="6" t="n">
        <f aca="false">[2]'Retirement benefit values'!AO32</f>
        <v>7051.5142657264</v>
      </c>
      <c r="AL31" s="7" t="n">
        <v>500.6282742209</v>
      </c>
      <c r="AM31" s="7" t="n">
        <v>506.3604995868</v>
      </c>
      <c r="AN31" s="7" t="n">
        <v>449.6389158318</v>
      </c>
      <c r="AO31" s="7" t="n">
        <v>692.6615152408</v>
      </c>
      <c r="AP31" s="7" t="n">
        <f aca="false">AP27+1</f>
        <v>2021</v>
      </c>
      <c r="AQ31" s="2" t="n">
        <f aca="false">AK31*[2]'Inflation indexes'!I124</f>
        <v>6540.70348173081</v>
      </c>
      <c r="AR31" s="2" t="n">
        <f aca="false">AL31*[2]'Inflation indexes'!I124</f>
        <v>464.362826600935</v>
      </c>
      <c r="AS31" s="2" t="n">
        <f aca="false">AN31*[2]'Inflation indexes'!I124</f>
        <v>417.067130757589</v>
      </c>
      <c r="AT31" s="2" t="n">
        <f aca="false">AO31*[2]'Inflation indexes'!I124</f>
        <v>642.485204407331</v>
      </c>
      <c r="AU31" s="2" t="n">
        <f aca="false">AM31*[2]'Inflation indexes'!I124</f>
        <v>469.679810300598</v>
      </c>
    </row>
    <row r="32" customFormat="false" ht="15" hidden="false" customHeight="false" outlineLevel="0" collapsed="false">
      <c r="A32" s="6" t="n">
        <f aca="false">[2]'Retirement benefit values'!B33</f>
        <v>6647.2569318968</v>
      </c>
      <c r="B32" s="7" t="n">
        <v>611.8872338426</v>
      </c>
      <c r="C32" s="7" t="n">
        <v>606.2252958344</v>
      </c>
      <c r="D32" s="7" t="n">
        <v>542.5201233229</v>
      </c>
      <c r="E32" s="7" t="n">
        <v>792.8853200542</v>
      </c>
      <c r="F32" s="7" t="n">
        <f aca="false">F28+1</f>
        <v>2022</v>
      </c>
      <c r="G32" s="4" t="n">
        <f aca="false">A32*[2]'Inflation indexes'!I125</f>
        <v>6165.73049702791</v>
      </c>
      <c r="H32" s="7" t="n">
        <f aca="false">B32*[2]'Inflation indexes'!I125</f>
        <v>567.562201536389</v>
      </c>
      <c r="I32" s="7" t="n">
        <f aca="false">D32*[2]'Inflation indexes'!I125</f>
        <v>503.220035556658</v>
      </c>
      <c r="J32" s="2" t="n">
        <f aca="false">E32*[2]'Inflation indexes'!I125</f>
        <v>735.448809725626</v>
      </c>
      <c r="K32" s="7" t="n">
        <f aca="false">C32*[2]'Inflation indexes'!I125</f>
        <v>562.310413587299</v>
      </c>
      <c r="R32" s="8" t="n">
        <f aca="false">R28+1</f>
        <v>2022</v>
      </c>
      <c r="S32" s="9" t="n">
        <f aca="false">[2]'Retirement benefit values'!R33</f>
        <v>6823.88011081638</v>
      </c>
      <c r="T32" s="8" t="n">
        <v>628.0142776968</v>
      </c>
      <c r="U32" s="8" t="n">
        <v>624.3637763538</v>
      </c>
      <c r="V32" s="8" t="n">
        <v>559.885461606</v>
      </c>
      <c r="W32" s="8" t="n">
        <v>820.0158152133</v>
      </c>
      <c r="X32" s="8" t="n">
        <f aca="false">X28+1</f>
        <v>2022</v>
      </c>
      <c r="Y32" s="3" t="n">
        <f aca="false">S32*[2]'Inflation indexes'!I125</f>
        <v>6329.55911564514</v>
      </c>
      <c r="Z32" s="3" t="n">
        <f aca="false">T32*[2]'Inflation indexes'!I125</f>
        <v>582.521004413649</v>
      </c>
      <c r="AA32" s="3" t="n">
        <f aca="false">V32*[2]'Inflation indexes'!I125</f>
        <v>519.327430974088</v>
      </c>
      <c r="AB32" s="3" t="n">
        <f aca="false">W32*[2]'Inflation indexes'!I125</f>
        <v>760.613975314343</v>
      </c>
      <c r="AC32" s="3" t="n">
        <f aca="false">U32*[2]'Inflation indexes'!I125</f>
        <v>579.134944917141</v>
      </c>
      <c r="AJ32" s="7" t="n">
        <f aca="false">AJ28+1</f>
        <v>2022</v>
      </c>
      <c r="AK32" s="6" t="n">
        <f aca="false">[2]'Retirement benefit values'!AO33</f>
        <v>7070.2250329414</v>
      </c>
      <c r="AL32" s="7" t="n">
        <v>640.742945605</v>
      </c>
      <c r="AM32" s="7" t="n">
        <v>632.6406875846</v>
      </c>
      <c r="AN32" s="7" t="n">
        <v>567.6896609862</v>
      </c>
      <c r="AO32" s="7" t="n">
        <v>831.9715893842</v>
      </c>
      <c r="AP32" s="7" t="n">
        <f aca="false">AP28+1</f>
        <v>2022</v>
      </c>
      <c r="AQ32" s="2" t="n">
        <f aca="false">AK32*[2]'Inflation indexes'!I125</f>
        <v>6558.05884338183</v>
      </c>
      <c r="AR32" s="2" t="n">
        <f aca="false">AL32*[2]'Inflation indexes'!I125</f>
        <v>594.327609260159</v>
      </c>
      <c r="AS32" s="2" t="n">
        <f aca="false">AN32*[2]'Inflation indexes'!I125</f>
        <v>526.566295157672</v>
      </c>
      <c r="AT32" s="2" t="n">
        <f aca="false">AO32*[2]'Inflation indexes'!I125</f>
        <v>771.703674746205</v>
      </c>
      <c r="AU32" s="2" t="n">
        <f aca="false">AM32*[2]'Inflation indexes'!I125</f>
        <v>586.812277765832</v>
      </c>
    </row>
    <row r="33" customFormat="false" ht="15" hidden="false" customHeight="false" outlineLevel="0" collapsed="false">
      <c r="A33" s="6" t="n">
        <f aca="false">[2]'Retirement benefit values'!B34</f>
        <v>6611.2075114106</v>
      </c>
      <c r="B33" s="7" t="n">
        <v>477.256275529</v>
      </c>
      <c r="C33" s="7" t="n">
        <v>483.5808961392</v>
      </c>
      <c r="D33" s="7" t="n">
        <v>422.5504919168</v>
      </c>
      <c r="E33" s="7" t="n">
        <v>647.3918457276</v>
      </c>
      <c r="F33" s="7" t="n">
        <f aca="false">F29+1</f>
        <v>2022</v>
      </c>
      <c r="G33" s="4" t="n">
        <f aca="false">A33*[2]'Inflation indexes'!I126</f>
        <v>6132.29249191254</v>
      </c>
      <c r="H33" s="7" t="n">
        <f aca="false">B33*[2]'Inflation indexes'!I126</f>
        <v>442.683892480056</v>
      </c>
      <c r="I33" s="7" t="n">
        <f aca="false">D33*[2]'Inflation indexes'!I126</f>
        <v>391.940988777475</v>
      </c>
      <c r="J33" s="2" t="n">
        <f aca="false">E33*[2]'Inflation indexes'!I126</f>
        <v>600.494863915367</v>
      </c>
      <c r="K33" s="7" t="n">
        <f aca="false">C33*[2]'Inflation indexes'!I126</f>
        <v>448.550358388921</v>
      </c>
      <c r="R33" s="8" t="n">
        <f aca="false">R29+1</f>
        <v>2022</v>
      </c>
      <c r="S33" s="9" t="n">
        <f aca="false">[2]'Retirement benefit values'!R34</f>
        <v>6855.48190397209</v>
      </c>
      <c r="T33" s="8" t="n">
        <v>490.2589099874</v>
      </c>
      <c r="U33" s="8" t="n">
        <v>502.6686184338</v>
      </c>
      <c r="V33" s="8" t="n">
        <v>446.0841271809</v>
      </c>
      <c r="W33" s="8" t="n">
        <v>685.6124472612</v>
      </c>
      <c r="X33" s="8" t="n">
        <f aca="false">X29+1</f>
        <v>2022</v>
      </c>
      <c r="Y33" s="3" t="n">
        <f aca="false">S33*[2]'Inflation indexes'!I126</f>
        <v>6358.87167898025</v>
      </c>
      <c r="Z33" s="3" t="n">
        <f aca="false">T33*[2]'Inflation indexes'!I126</f>
        <v>454.744617775202</v>
      </c>
      <c r="AA33" s="3" t="n">
        <f aca="false">V33*[2]'Inflation indexes'!I126</f>
        <v>413.76985053811</v>
      </c>
      <c r="AB33" s="3" t="n">
        <f aca="false">W33*[2]'Inflation indexes'!I126</f>
        <v>635.946770003075</v>
      </c>
      <c r="AC33" s="3" t="n">
        <f aca="false">U33*[2]'Inflation indexes'!I126</f>
        <v>466.25536854219</v>
      </c>
      <c r="AJ33" s="7" t="n">
        <f aca="false">AJ29+1</f>
        <v>2022</v>
      </c>
      <c r="AK33" s="6" t="n">
        <f aca="false">[2]'Retirement benefit values'!AO34</f>
        <v>7096.7990367297</v>
      </c>
      <c r="AL33" s="7" t="n">
        <v>503.5193346049</v>
      </c>
      <c r="AM33" s="7" t="n">
        <v>514.3886134751</v>
      </c>
      <c r="AN33" s="7" t="n">
        <v>460.4223825352</v>
      </c>
      <c r="AO33" s="7" t="n">
        <v>675.8793110493</v>
      </c>
      <c r="AP33" s="7" t="n">
        <f aca="false">AP29+1</f>
        <v>2022</v>
      </c>
      <c r="AQ33" s="2" t="n">
        <f aca="false">AK33*[2]'Inflation indexes'!I126</f>
        <v>6582.70782976287</v>
      </c>
      <c r="AR33" s="2" t="n">
        <f aca="false">AL33*[2]'Inflation indexes'!I126</f>
        <v>467.04445894357</v>
      </c>
      <c r="AS33" s="2" t="n">
        <f aca="false">AN33*[2]'Inflation indexes'!I126</f>
        <v>427.069444523708</v>
      </c>
      <c r="AT33" s="2" t="n">
        <f aca="false">AO33*[2]'Inflation indexes'!I126</f>
        <v>626.91870092311</v>
      </c>
      <c r="AU33" s="2" t="n">
        <f aca="false">AM33*[2]'Inflation indexes'!I126</f>
        <v>477.126368654192</v>
      </c>
    </row>
    <row r="34" customFormat="false" ht="15" hidden="false" customHeight="false" outlineLevel="0" collapsed="false">
      <c r="A34" s="6" t="n">
        <f aca="false">[2]'Retirement benefit values'!B35</f>
        <v>6579.0347709594</v>
      </c>
      <c r="B34" s="7" t="n">
        <v>478.0037515883</v>
      </c>
      <c r="C34" s="7" t="n">
        <v>485.6522003332</v>
      </c>
      <c r="D34" s="7" t="n">
        <v>414.5619367357</v>
      </c>
      <c r="E34" s="7" t="n">
        <v>676.2842210625</v>
      </c>
      <c r="F34" s="7" t="n">
        <f aca="false">F30+1</f>
        <v>2022</v>
      </c>
      <c r="G34" s="4" t="n">
        <f aca="false">A34*[2]'Inflation indexes'!I127</f>
        <v>6102.4503406304</v>
      </c>
      <c r="H34" s="7" t="n">
        <f aca="false">B34*[2]'Inflation indexes'!I127</f>
        <v>443.37722147002</v>
      </c>
      <c r="I34" s="7" t="n">
        <f aca="false">D34*[2]'Inflation indexes'!I127</f>
        <v>384.531123503433</v>
      </c>
      <c r="J34" s="2" t="n">
        <f aca="false">E34*[2]'Inflation indexes'!I127</f>
        <v>627.294279307174</v>
      </c>
      <c r="K34" s="7" t="n">
        <f aca="false">C34*[2]'Inflation indexes'!I127</f>
        <v>450.471617574238</v>
      </c>
      <c r="R34" s="8" t="n">
        <f aca="false">R30+1</f>
        <v>2022</v>
      </c>
      <c r="S34" s="9" t="n">
        <f aca="false">[2]'Retirement benefit values'!R35</f>
        <v>6854.55286936394</v>
      </c>
      <c r="T34" s="8" t="n">
        <v>481.1983687578</v>
      </c>
      <c r="U34" s="8" t="n">
        <v>497.2443660953</v>
      </c>
      <c r="V34" s="8" t="n">
        <v>437.096080075</v>
      </c>
      <c r="W34" s="8" t="n">
        <v>676.1597332648</v>
      </c>
      <c r="X34" s="8" t="n">
        <f aca="false">X30+1</f>
        <v>2022</v>
      </c>
      <c r="Y34" s="3" t="n">
        <f aca="false">S34*[2]'Inflation indexes'!I127</f>
        <v>6358.00994351929</v>
      </c>
      <c r="Z34" s="3" t="n">
        <f aca="false">T34*[2]'Inflation indexes'!I127</f>
        <v>446.340420983762</v>
      </c>
      <c r="AA34" s="3" t="n">
        <f aca="false">V34*[2]'Inflation indexes'!I127</f>
        <v>405.432896405398</v>
      </c>
      <c r="AB34" s="3" t="n">
        <f aca="false">W34*[2]'Inflation indexes'!I127</f>
        <v>627.178809389485</v>
      </c>
      <c r="AC34" s="3" t="n">
        <f aca="false">U34*[2]'Inflation indexes'!I127</f>
        <v>461.22404834354</v>
      </c>
      <c r="AJ34" s="7" t="n">
        <f aca="false">AJ30+1</f>
        <v>2022</v>
      </c>
      <c r="AK34" s="6" t="n">
        <f aca="false">[2]'Retirement benefit values'!AO35</f>
        <v>7115.689523429</v>
      </c>
      <c r="AL34" s="7" t="n">
        <v>503.4104059207</v>
      </c>
      <c r="AM34" s="7" t="n">
        <v>511.8667869809</v>
      </c>
      <c r="AN34" s="7" t="n">
        <v>452.8978671615</v>
      </c>
      <c r="AO34" s="7" t="n">
        <v>691.3370847778</v>
      </c>
      <c r="AP34" s="7" t="n">
        <f aca="false">AP30+1</f>
        <v>2022</v>
      </c>
      <c r="AQ34" s="2" t="n">
        <f aca="false">AK34*[2]'Inflation indexes'!I127</f>
        <v>6600.22989204193</v>
      </c>
      <c r="AR34" s="2" t="n">
        <f aca="false">AL34*[2]'Inflation indexes'!I127</f>
        <v>466.943421039205</v>
      </c>
      <c r="AS34" s="2" t="n">
        <f aca="false">AN34*[2]'Inflation indexes'!I127</f>
        <v>420.090004073264</v>
      </c>
      <c r="AT34" s="2" t="n">
        <f aca="false">AO34*[2]'Inflation indexes'!I127</f>
        <v>641.256715516263</v>
      </c>
      <c r="AU34" s="2" t="n">
        <f aca="false">AM34*[2]'Inflation indexes'!I127</f>
        <v>474.787222945999</v>
      </c>
    </row>
    <row r="35" customFormat="false" ht="15" hidden="false" customHeight="false" outlineLevel="0" collapsed="false">
      <c r="A35" s="6" t="n">
        <f aca="false">[2]'Retirement benefit values'!B36</f>
        <v>6615.6891008494</v>
      </c>
      <c r="B35" s="7" t="n">
        <v>477.7975235758</v>
      </c>
      <c r="C35" s="7" t="n">
        <v>491.3419714582</v>
      </c>
      <c r="D35" s="7" t="n">
        <v>424.8229646984</v>
      </c>
      <c r="E35" s="7" t="n">
        <v>658.6648151967</v>
      </c>
      <c r="F35" s="7" t="n">
        <f aca="false">F31+1</f>
        <v>2022</v>
      </c>
      <c r="G35" s="4" t="n">
        <f aca="false">A35*[2]'Inflation indexes'!I128</f>
        <v>6136.44943559037</v>
      </c>
      <c r="H35" s="7" t="n">
        <f aca="false">B35*[2]'Inflation indexes'!I128</f>
        <v>443.185932588149</v>
      </c>
      <c r="I35" s="7" t="n">
        <f aca="false">D35*[2]'Inflation indexes'!I128</f>
        <v>394.048843923851</v>
      </c>
      <c r="J35" s="2" t="n">
        <f aca="false">E35*[2]'Inflation indexes'!I128</f>
        <v>610.951220929968</v>
      </c>
      <c r="K35" s="7" t="n">
        <f aca="false">C35*[2]'Inflation indexes'!I128</f>
        <v>455.749222412737</v>
      </c>
      <c r="R35" s="8" t="n">
        <f aca="false">R31+1</f>
        <v>2022</v>
      </c>
      <c r="S35" s="9" t="n">
        <f aca="false">[2]'Retirement benefit values'!R36</f>
        <v>6898.50739287923</v>
      </c>
      <c r="T35" s="8" t="n">
        <v>489.1422341291</v>
      </c>
      <c r="U35" s="8" t="n">
        <v>500.8256195022</v>
      </c>
      <c r="V35" s="8" t="n">
        <v>443.4149366386</v>
      </c>
      <c r="W35" s="8" t="n">
        <v>692.1266669536</v>
      </c>
      <c r="X35" s="8" t="n">
        <f aca="false">X31+1</f>
        <v>2022</v>
      </c>
      <c r="Y35" s="3" t="n">
        <f aca="false">S35*[2]'Inflation indexes'!I128</f>
        <v>6398.78040701983</v>
      </c>
      <c r="Z35" s="3" t="n">
        <f aca="false">T35*[2]'Inflation indexes'!I128</f>
        <v>453.708833772063</v>
      </c>
      <c r="AA35" s="3" t="n">
        <f aca="false">V35*[2]'Inflation indexes'!I128</f>
        <v>411.294015814456</v>
      </c>
      <c r="AB35" s="3" t="n">
        <f aca="false">W35*[2]'Inflation indexes'!I128</f>
        <v>641.989100461078</v>
      </c>
      <c r="AC35" s="3" t="n">
        <f aca="false">U35*[2]'Inflation indexes'!I128</f>
        <v>464.545876215508</v>
      </c>
      <c r="AJ35" s="7" t="n">
        <f aca="false">AJ31+1</f>
        <v>2022</v>
      </c>
      <c r="AK35" s="6" t="n">
        <f aca="false">[2]'Retirement benefit values'!AO36</f>
        <v>7125.9029639382</v>
      </c>
      <c r="AL35" s="7" t="n">
        <v>507.4983182859</v>
      </c>
      <c r="AM35" s="7" t="n">
        <v>510.9840971977</v>
      </c>
      <c r="AN35" s="7" t="n">
        <v>449.6316914345</v>
      </c>
      <c r="AO35" s="7" t="n">
        <v>704.1084975615</v>
      </c>
      <c r="AP35" s="7" t="n">
        <f aca="false">AP31+1</f>
        <v>2022</v>
      </c>
      <c r="AQ35" s="2" t="n">
        <f aca="false">AK35*[2]'Inflation indexes'!I128</f>
        <v>6609.70347223784</v>
      </c>
      <c r="AR35" s="2" t="n">
        <f aca="false">AL35*[2]'Inflation indexes'!I128</f>
        <v>470.735205559876</v>
      </c>
      <c r="AS35" s="2" t="n">
        <f aca="false">AN35*[2]'Inflation indexes'!I128</f>
        <v>417.060429694698</v>
      </c>
      <c r="AT35" s="2" t="n">
        <f aca="false">AO35*[2]'Inflation indexes'!I128</f>
        <v>653.102968805004</v>
      </c>
      <c r="AU35" s="2" t="n">
        <f aca="false">AM35*[2]'Inflation indexes'!I128</f>
        <v>473.968475096856</v>
      </c>
    </row>
    <row r="36" customFormat="false" ht="15" hidden="false" customHeight="false" outlineLevel="0" collapsed="false">
      <c r="A36" s="6" t="n">
        <f aca="false">[2]'Retirement benefit values'!B37</f>
        <v>6595.0335904143</v>
      </c>
      <c r="B36" s="7" t="n">
        <v>616.1015546757</v>
      </c>
      <c r="C36" s="7" t="n">
        <v>606.0246688968</v>
      </c>
      <c r="D36" s="7" t="n">
        <v>538.4162024139</v>
      </c>
      <c r="E36" s="7" t="n">
        <v>778.5630167076</v>
      </c>
      <c r="F36" s="7" t="n">
        <f aca="false">F32+1</f>
        <v>2023</v>
      </c>
      <c r="G36" s="4" t="n">
        <f aca="false">A36*[2]'Inflation indexes'!I129</f>
        <v>6117.29020766731</v>
      </c>
      <c r="H36" s="7" t="n">
        <f aca="false">B36*[2]'Inflation indexes'!I129</f>
        <v>571.471237511848</v>
      </c>
      <c r="I36" s="7" t="n">
        <f aca="false">D36*[2]'Inflation indexes'!I129</f>
        <v>499.413402149035</v>
      </c>
      <c r="J36" s="2" t="n">
        <f aca="false">E36*[2]'Inflation indexes'!I129</f>
        <v>722.164012186347</v>
      </c>
      <c r="K36" s="7" t="n">
        <f aca="false">C36*[2]'Inflation indexes'!I129</f>
        <v>562.124320039184</v>
      </c>
      <c r="R36" s="8" t="n">
        <f aca="false">R32+1</f>
        <v>2023</v>
      </c>
      <c r="S36" s="9" t="n">
        <f aca="false">[2]'Retirement benefit values'!R37</f>
        <v>6873.36834046189</v>
      </c>
      <c r="T36" s="8" t="n">
        <v>629.4276844296</v>
      </c>
      <c r="U36" s="8" t="n">
        <v>618.2985381584</v>
      </c>
      <c r="V36" s="8" t="n">
        <v>555.3688654914</v>
      </c>
      <c r="W36" s="8" t="n">
        <v>813.4017004727</v>
      </c>
      <c r="X36" s="8" t="n">
        <f aca="false">X32+1</f>
        <v>2023</v>
      </c>
      <c r="Y36" s="3" t="n">
        <f aca="false">S36*[2]'Inflation indexes'!I129</f>
        <v>6375.46242431749</v>
      </c>
      <c r="Z36" s="3" t="n">
        <f aca="false">T36*[2]'Inflation indexes'!I129</f>
        <v>583.832024145008</v>
      </c>
      <c r="AA36" s="3" t="n">
        <f aca="false">V36*[2]'Inflation indexes'!I129</f>
        <v>515.138016499537</v>
      </c>
      <c r="AB36" s="3" t="n">
        <f aca="false">W36*[2]'Inflation indexes'!I129</f>
        <v>754.478986192548</v>
      </c>
      <c r="AC36" s="3" t="n">
        <f aca="false">U36*[2]'Inflation indexes'!I129</f>
        <v>573.509071794399</v>
      </c>
      <c r="AJ36" s="7" t="n">
        <f aca="false">AJ32+1</f>
        <v>2023</v>
      </c>
      <c r="AK36" s="6" t="n">
        <f aca="false">[2]'Retirement benefit values'!AO37</f>
        <v>7160.9836677245</v>
      </c>
      <c r="AL36" s="7" t="n">
        <v>639.5044262637</v>
      </c>
      <c r="AM36" s="7" t="n">
        <v>630.6242753827</v>
      </c>
      <c r="AN36" s="7" t="n">
        <v>568.9611329038</v>
      </c>
      <c r="AO36" s="7" t="n">
        <v>803.4044441996</v>
      </c>
      <c r="AP36" s="7" t="n">
        <f aca="false">AP32+1</f>
        <v>2023</v>
      </c>
      <c r="AQ36" s="2" t="n">
        <f aca="false">AK36*[2]'Inflation indexes'!I129</f>
        <v>6642.24293436612</v>
      </c>
      <c r="AR36" s="2" t="n">
        <f aca="false">AL36*[2]'Inflation indexes'!I129</f>
        <v>593.178808100214</v>
      </c>
      <c r="AS36" s="2" t="n">
        <f aca="false">AN36*[2]'Inflation indexes'!I129</f>
        <v>527.745661813539</v>
      </c>
      <c r="AT36" s="2" t="n">
        <f aca="false">AO36*[2]'Inflation indexes'!I129</f>
        <v>745.205929874554</v>
      </c>
      <c r="AU36" s="2" t="n">
        <f aca="false">AM36*[2]'Inflation indexes'!I129</f>
        <v>584.941934203786</v>
      </c>
    </row>
    <row r="37" customFormat="false" ht="15" hidden="false" customHeight="false" outlineLevel="0" collapsed="false">
      <c r="A37" s="6" t="n">
        <f aca="false">[2]'Retirement benefit values'!B38</f>
        <v>6589.1119876263</v>
      </c>
      <c r="B37" s="7" t="n">
        <v>473.5566285838</v>
      </c>
      <c r="C37" s="7" t="n">
        <v>481.3147597253</v>
      </c>
      <c r="D37" s="7" t="n">
        <v>420.6888028244</v>
      </c>
      <c r="E37" s="7" t="n">
        <v>633.3830387732</v>
      </c>
      <c r="F37" s="7" t="n">
        <f aca="false">F33+1</f>
        <v>2023</v>
      </c>
      <c r="G37" s="4" t="n">
        <f aca="false">A37*[2]'Inflation indexes'!I130</f>
        <v>6111.79756502158</v>
      </c>
      <c r="H37" s="7" t="n">
        <f aca="false">B37*[2]'Inflation indexes'!I130</f>
        <v>439.252247482433</v>
      </c>
      <c r="I37" s="7" t="n">
        <f aca="false">D37*[2]'Inflation indexes'!I130</f>
        <v>390.214160202832</v>
      </c>
      <c r="J37" s="2" t="n">
        <f aca="false">E37*[2]'Inflation indexes'!I130</f>
        <v>587.500853130068</v>
      </c>
      <c r="K37" s="7" t="n">
        <f aca="false">C37*[2]'Inflation indexes'!I130</f>
        <v>446.448380604587</v>
      </c>
      <c r="R37" s="8" t="n">
        <f aca="false">R33+1</f>
        <v>2023</v>
      </c>
      <c r="S37" s="9" t="n">
        <f aca="false">[2]'Retirement benefit values'!R38</f>
        <v>6898.5027044172</v>
      </c>
      <c r="T37" s="8" t="n">
        <v>487.2268883089</v>
      </c>
      <c r="U37" s="8" t="n">
        <v>495.8124978734</v>
      </c>
      <c r="V37" s="8" t="n">
        <v>435.4639126667</v>
      </c>
      <c r="W37" s="8" t="n">
        <v>667.8758733738</v>
      </c>
      <c r="X37" s="8" t="n">
        <f aca="false">X33+1</f>
        <v>2023</v>
      </c>
      <c r="Y37" s="3" t="n">
        <f aca="false">S37*[2]'Inflation indexes'!I130</f>
        <v>6398.77605818938</v>
      </c>
      <c r="Z37" s="3" t="n">
        <f aca="false">T37*[2]'Inflation indexes'!I130</f>
        <v>451.932235356062</v>
      </c>
      <c r="AA37" s="3" t="n">
        <f aca="false">V37*[2]'Inflation indexes'!I130</f>
        <v>403.91896299366</v>
      </c>
      <c r="AB37" s="3" t="n">
        <f aca="false">W37*[2]'Inflation indexes'!I130</f>
        <v>619.495031240643</v>
      </c>
      <c r="AC37" s="3" t="n">
        <f aca="false">U37*[2]'Inflation indexes'!I130</f>
        <v>459.895904470971</v>
      </c>
      <c r="AJ37" s="7" t="n">
        <f aca="false">AJ33+1</f>
        <v>2023</v>
      </c>
      <c r="AK37" s="6" t="n">
        <f aca="false">[2]'Retirement benefit values'!AO38</f>
        <v>7175.9364355123</v>
      </c>
      <c r="AL37" s="7" t="n">
        <v>498.2213722369</v>
      </c>
      <c r="AM37" s="7" t="n">
        <v>503.7457079829</v>
      </c>
      <c r="AN37" s="7" t="n">
        <v>438.6396804338</v>
      </c>
      <c r="AO37" s="7" t="n">
        <v>682.6199495454</v>
      </c>
      <c r="AP37" s="7" t="n">
        <f aca="false">AP33+1</f>
        <v>2023</v>
      </c>
      <c r="AQ37" s="2" t="n">
        <f aca="false">AK37*[2]'Inflation indexes'!I130</f>
        <v>6656.11252558379</v>
      </c>
      <c r="AR37" s="2" t="n">
        <f aca="false">AL37*[2]'Inflation indexes'!I130</f>
        <v>462.130280286244</v>
      </c>
      <c r="AS37" s="2" t="n">
        <f aca="false">AN37*[2]'Inflation indexes'!I130</f>
        <v>406.864678553281</v>
      </c>
      <c r="AT37" s="2" t="n">
        <f aca="false">AO37*[2]'Inflation indexes'!I130</f>
        <v>633.171048435874</v>
      </c>
      <c r="AU37" s="2" t="n">
        <f aca="false">AM37*[2]'Inflation indexes'!I130</f>
        <v>467.254433863262</v>
      </c>
    </row>
    <row r="38" customFormat="false" ht="15" hidden="false" customHeight="false" outlineLevel="0" collapsed="false">
      <c r="A38" s="6" t="n">
        <f aca="false">[2]'Retirement benefit values'!B39</f>
        <v>6599.0128201537</v>
      </c>
      <c r="B38" s="7" t="n">
        <v>478.9768865441</v>
      </c>
      <c r="C38" s="7" t="n">
        <v>486.4385082294</v>
      </c>
      <c r="D38" s="7" t="n">
        <v>421.9089111233</v>
      </c>
      <c r="E38" s="7" t="n">
        <v>652.4923238193</v>
      </c>
      <c r="F38" s="7" t="n">
        <f aca="false">F34+1</f>
        <v>2023</v>
      </c>
      <c r="G38" s="4" t="n">
        <f aca="false">A38*[2]'Inflation indexes'!I131</f>
        <v>6120.98118251758</v>
      </c>
      <c r="H38" s="7" t="n">
        <f aca="false">B38*[2]'Inflation indexes'!I131</f>
        <v>444.279862655124</v>
      </c>
      <c r="I38" s="7" t="n">
        <f aca="false">D38*[2]'Inflation indexes'!I131</f>
        <v>391.345884013914</v>
      </c>
      <c r="J38" s="2" t="n">
        <f aca="false">E38*[2]'Inflation indexes'!I131</f>
        <v>605.225864031899</v>
      </c>
      <c r="K38" s="7" t="n">
        <f aca="false">C38*[2]'Inflation indexes'!I131</f>
        <v>451.200965427845</v>
      </c>
      <c r="R38" s="8" t="n">
        <f aca="false">R34+1</f>
        <v>2023</v>
      </c>
      <c r="S38" s="9" t="n">
        <f aca="false">[2]'Retirement benefit values'!R39</f>
        <v>6910.09945820516</v>
      </c>
      <c r="T38" s="8" t="n">
        <v>495.6896959947</v>
      </c>
      <c r="U38" s="8" t="n">
        <v>494.9683752159</v>
      </c>
      <c r="V38" s="8" t="n">
        <v>428.8767776583</v>
      </c>
      <c r="W38" s="8" t="n">
        <v>685.7659955015</v>
      </c>
      <c r="X38" s="8" t="n">
        <f aca="false">X34+1</f>
        <v>2023</v>
      </c>
      <c r="Y38" s="3" t="n">
        <f aca="false">S38*[2]'Inflation indexes'!I131</f>
        <v>6409.53274462854</v>
      </c>
      <c r="Z38" s="3" t="n">
        <f aca="false">T38*[2]'Inflation indexes'!I131</f>
        <v>459.781998344526</v>
      </c>
      <c r="AA38" s="3" t="n">
        <f aca="false">V38*[2]'Inflation indexes'!I131</f>
        <v>397.808999195744</v>
      </c>
      <c r="AB38" s="3" t="n">
        <f aca="false">W38*[2]'Inflation indexes'!I131</f>
        <v>636.08919522865</v>
      </c>
      <c r="AC38" s="3" t="n">
        <f aca="false">U38*[2]'Inflation indexes'!I131</f>
        <v>459.112929949916</v>
      </c>
      <c r="AJ38" s="7" t="n">
        <f aca="false">AJ34+1</f>
        <v>2023</v>
      </c>
      <c r="AK38" s="6" t="n">
        <f aca="false">[2]'Retirement benefit values'!AO39</f>
        <v>7233.3657179285</v>
      </c>
      <c r="AL38" s="7" t="n">
        <v>506.9762023262</v>
      </c>
      <c r="AM38" s="7" t="n">
        <v>509.8970759006</v>
      </c>
      <c r="AN38" s="7" t="n">
        <v>442.8228714106</v>
      </c>
      <c r="AO38" s="7" t="n">
        <v>740.6031072403</v>
      </c>
      <c r="AP38" s="7" t="n">
        <f aca="false">AP34+1</f>
        <v>2023</v>
      </c>
      <c r="AQ38" s="2" t="n">
        <f aca="false">AK38*[2]'Inflation indexes'!I131</f>
        <v>6709.38163818825</v>
      </c>
      <c r="AR38" s="2" t="n">
        <f aca="false">AL38*[2]'Inflation indexes'!I131</f>
        <v>470.250911612961</v>
      </c>
      <c r="AS38" s="2" t="n">
        <f aca="false">AN38*[2]'Inflation indexes'!I131</f>
        <v>410.744839715215</v>
      </c>
      <c r="AT38" s="2" t="n">
        <f aca="false">AO38*[2]'Inflation indexes'!I131</f>
        <v>686.953913665277</v>
      </c>
      <c r="AU38" s="2" t="n">
        <f aca="false">AM38*[2]'Inflation indexes'!I131</f>
        <v>472.960197482328</v>
      </c>
    </row>
    <row r="39" customFormat="false" ht="15" hidden="false" customHeight="false" outlineLevel="0" collapsed="false">
      <c r="A39" s="6" t="n">
        <f aca="false">[2]'Retirement benefit values'!B40</f>
        <v>6594.1390071634</v>
      </c>
      <c r="B39" s="7" t="n">
        <v>475.1786434919</v>
      </c>
      <c r="C39" s="7" t="n">
        <v>483.2685626111</v>
      </c>
      <c r="D39" s="7" t="n">
        <v>420.1246688473</v>
      </c>
      <c r="E39" s="7" t="n">
        <v>648.5979099217</v>
      </c>
      <c r="F39" s="7" t="n">
        <f aca="false">F35+1</f>
        <v>2023</v>
      </c>
      <c r="G39" s="4" t="n">
        <f aca="false">A39*[2]'Inflation indexes'!I132</f>
        <v>6116.46042791173</v>
      </c>
      <c r="H39" s="7" t="n">
        <f aca="false">B39*[2]'Inflation indexes'!I132</f>
        <v>440.756763839777</v>
      </c>
      <c r="I39" s="7" t="n">
        <f aca="false">D39*[2]'Inflation indexes'!I132</f>
        <v>389.690892018278</v>
      </c>
      <c r="J39" s="2" t="n">
        <f aca="false">E39*[2]'Inflation indexes'!I132</f>
        <v>601.613560974789</v>
      </c>
      <c r="K39" s="7" t="n">
        <f aca="false">C39*[2]'Inflation indexes'!I132</f>
        <v>448.260650261316</v>
      </c>
      <c r="R39" s="8" t="n">
        <f aca="false">R35+1</f>
        <v>2023</v>
      </c>
      <c r="S39" s="9" t="n">
        <f aca="false">[2]'Retirement benefit values'!R40</f>
        <v>6955.23444929634</v>
      </c>
      <c r="T39" s="8" t="n">
        <v>486.0343811913</v>
      </c>
      <c r="U39" s="8" t="n">
        <v>489.3320969823</v>
      </c>
      <c r="V39" s="8" t="n">
        <v>431.6714973268</v>
      </c>
      <c r="W39" s="8" t="n">
        <v>656.8491641926</v>
      </c>
      <c r="X39" s="8" t="n">
        <f aca="false">X35+1</f>
        <v>2023</v>
      </c>
      <c r="Y39" s="3" t="n">
        <f aca="false">S39*[2]'Inflation indexes'!I132</f>
        <v>6451.39816278601</v>
      </c>
      <c r="Z39" s="3" t="n">
        <f aca="false">T39*[2]'Inflation indexes'!I132</f>
        <v>450.826113300266</v>
      </c>
      <c r="AA39" s="3" t="n">
        <f aca="false">V39*[2]'Inflation indexes'!I132</f>
        <v>400.401269731885</v>
      </c>
      <c r="AB39" s="3" t="n">
        <f aca="false">W39*[2]'Inflation indexes'!I132</f>
        <v>609.267095450446</v>
      </c>
      <c r="AC39" s="3" t="n">
        <f aca="false">U39*[2]'Inflation indexes'!I132</f>
        <v>453.884942984663</v>
      </c>
      <c r="AJ39" s="7" t="n">
        <f aca="false">AJ35+1</f>
        <v>2023</v>
      </c>
      <c r="AK39" s="6" t="n">
        <f aca="false">[2]'Retirement benefit values'!AO40</f>
        <v>7303.672052667</v>
      </c>
      <c r="AL39" s="7" t="n">
        <v>505.3316662345</v>
      </c>
      <c r="AM39" s="7" t="n">
        <v>508.0843371632</v>
      </c>
      <c r="AN39" s="7" t="n">
        <v>442.4338536802</v>
      </c>
      <c r="AO39" s="7" t="n">
        <v>691.2791825185</v>
      </c>
      <c r="AP39" s="7" t="n">
        <f aca="false">AP35+1</f>
        <v>2023</v>
      </c>
      <c r="AQ39" s="2" t="n">
        <f aca="false">AK39*[2]'Inflation indexes'!I132</f>
        <v>6774.5949911055</v>
      </c>
      <c r="AR39" s="2" t="n">
        <f aca="false">AL39*[2]'Inflation indexes'!I132</f>
        <v>468.725505503653</v>
      </c>
      <c r="AS39" s="2" t="n">
        <f aca="false">AN39*[2]'Inflation indexes'!I132</f>
        <v>410.384002379035</v>
      </c>
      <c r="AT39" s="2" t="n">
        <f aca="false">AO39*[2]'Inflation indexes'!I132</f>
        <v>641.203007689159</v>
      </c>
      <c r="AU39" s="2" t="n">
        <f aca="false">AM39*[2]'Inflation indexes'!I132</f>
        <v>471.278773305282</v>
      </c>
    </row>
    <row r="40" customFormat="false" ht="15" hidden="false" customHeight="false" outlineLevel="0" collapsed="false">
      <c r="A40" s="6" t="n">
        <f aca="false">[2]'Retirement benefit values'!B41</f>
        <v>6555.8352046225</v>
      </c>
      <c r="B40" s="7" t="n">
        <v>610.7724385202</v>
      </c>
      <c r="C40" s="7" t="n">
        <v>604.7972671168</v>
      </c>
      <c r="D40" s="7" t="n">
        <v>537.6334860084</v>
      </c>
      <c r="E40" s="7" t="n">
        <v>771.3631374607</v>
      </c>
      <c r="F40" s="7" t="n">
        <f aca="false">F36+1</f>
        <v>2024</v>
      </c>
      <c r="G40" s="4" t="n">
        <f aca="false">A40*[2]'Inflation indexes'!I133</f>
        <v>6080.93134788696</v>
      </c>
      <c r="H40" s="7" t="n">
        <f aca="false">B40*[2]'Inflation indexes'!I133</f>
        <v>566.528161843371</v>
      </c>
      <c r="I40" s="7" t="n">
        <f aca="false">D40*[2]'Inflation indexes'!I133</f>
        <v>498.687385619005</v>
      </c>
      <c r="J40" s="2" t="n">
        <f aca="false">E40*[2]'Inflation indexes'!I133</f>
        <v>715.485691263545</v>
      </c>
      <c r="K40" s="7" t="n">
        <f aca="false">C40*[2]'Inflation indexes'!I133</f>
        <v>560.985831085833</v>
      </c>
      <c r="R40" s="8" t="n">
        <f aca="false">R36+1</f>
        <v>2024</v>
      </c>
      <c r="S40" s="9" t="n">
        <f aca="false">[2]'Retirement benefit values'!R41</f>
        <v>6940.82402933742</v>
      </c>
      <c r="T40" s="8" t="n">
        <v>623.9928273451</v>
      </c>
      <c r="U40" s="8" t="n">
        <v>609.6001830504</v>
      </c>
      <c r="V40" s="8" t="n">
        <v>543.2432389103</v>
      </c>
      <c r="W40" s="8" t="n">
        <v>818.3353712028</v>
      </c>
      <c r="X40" s="8" t="n">
        <f aca="false">X36+1</f>
        <v>2024</v>
      </c>
      <c r="Y40" s="3" t="n">
        <f aca="false">S40*[2]'Inflation indexes'!I133</f>
        <v>6438.03163179044</v>
      </c>
      <c r="Z40" s="3" t="n">
        <f aca="false">T40*[2]'Inflation indexes'!I133</f>
        <v>578.790867406791</v>
      </c>
      <c r="AA40" s="3" t="n">
        <f aca="false">V40*[2]'Inflation indexes'!I133</f>
        <v>503.890768744165</v>
      </c>
      <c r="AB40" s="3" t="n">
        <f aca="false">W40*[2]'Inflation indexes'!I133</f>
        <v>759.055262451242</v>
      </c>
      <c r="AC40" s="3" t="n">
        <f aca="false">U40*[2]'Inflation indexes'!I133</f>
        <v>565.440824408621</v>
      </c>
      <c r="AJ40" s="7" t="n">
        <f aca="false">AJ36+1</f>
        <v>2024</v>
      </c>
      <c r="AK40" s="6" t="n">
        <f aca="false">[2]'Retirement benefit values'!AO41</f>
        <v>7310.954695598</v>
      </c>
      <c r="AL40" s="7" t="n">
        <v>651.0685265743</v>
      </c>
      <c r="AM40" s="7" t="n">
        <v>635.5732677817</v>
      </c>
      <c r="AN40" s="7" t="n">
        <v>574.2910586319</v>
      </c>
      <c r="AO40" s="7" t="n">
        <v>840.5671517549</v>
      </c>
      <c r="AP40" s="7" t="n">
        <f aca="false">AP36+1</f>
        <v>2024</v>
      </c>
      <c r="AQ40" s="2" t="n">
        <f aca="false">AK40*[2]'Inflation indexes'!I133</f>
        <v>6781.3500803218</v>
      </c>
      <c r="AR40" s="2" t="n">
        <f aca="false">AL40*[2]'Inflation indexes'!I133</f>
        <v>603.905206475703</v>
      </c>
      <c r="AS40" s="2" t="n">
        <f aca="false">AN40*[2]'Inflation indexes'!I133</f>
        <v>532.68948840928</v>
      </c>
      <c r="AT40" s="2" t="n">
        <f aca="false">AO40*[2]'Inflation indexes'!I133</f>
        <v>779.676575687317</v>
      </c>
      <c r="AU40" s="2" t="n">
        <f aca="false">AM40*[2]'Inflation indexes'!I133</f>
        <v>589.53242223166</v>
      </c>
    </row>
    <row r="41" customFormat="false" ht="15" hidden="false" customHeight="false" outlineLevel="0" collapsed="false">
      <c r="A41" s="6" t="n">
        <f aca="false">[2]'Retirement benefit values'!B42</f>
        <v>6556.5262072568</v>
      </c>
      <c r="B41" s="7" t="n">
        <v>481.3336118066</v>
      </c>
      <c r="C41" s="7" t="n">
        <v>487.5795391721</v>
      </c>
      <c r="D41" s="7" t="n">
        <v>427.2545013203</v>
      </c>
      <c r="E41" s="7" t="n">
        <v>653.3524853456</v>
      </c>
      <c r="F41" s="7" t="n">
        <f aca="false">F37+1</f>
        <v>2024</v>
      </c>
      <c r="G41" s="4" t="n">
        <f aca="false">A41*[2]'Inflation indexes'!I134</f>
        <v>6081.57229437955</v>
      </c>
      <c r="H41" s="7" t="n">
        <f aca="false">B41*[2]'Inflation indexes'!I134</f>
        <v>446.465867043549</v>
      </c>
      <c r="I41" s="7" t="n">
        <f aca="false">D41*[2]'Inflation indexes'!I134</f>
        <v>396.304240346448</v>
      </c>
      <c r="J41" s="2" t="n">
        <f aca="false">E41*[2]'Inflation indexes'!I134</f>
        <v>606.023715568166</v>
      </c>
      <c r="K41" s="7" t="n">
        <f aca="false">C41*[2]'Inflation indexes'!I134</f>
        <v>452.259340236212</v>
      </c>
      <c r="R41" s="8" t="n">
        <f aca="false">R37+1</f>
        <v>2024</v>
      </c>
      <c r="S41" s="9" t="n">
        <f aca="false">[2]'Retirement benefit values'!R42</f>
        <v>6958.05030561091</v>
      </c>
      <c r="T41" s="8" t="n">
        <v>487.9633090738</v>
      </c>
      <c r="U41" s="8" t="n">
        <v>486.4575519309</v>
      </c>
      <c r="V41" s="8" t="n">
        <v>416.1870852847</v>
      </c>
      <c r="W41" s="8" t="n">
        <v>703.461645849</v>
      </c>
      <c r="X41" s="8" t="n">
        <f aca="false">X37+1</f>
        <v>2024</v>
      </c>
      <c r="Y41" s="3" t="n">
        <f aca="false">S41*[2]'Inflation indexes'!I134</f>
        <v>6454.0100388323</v>
      </c>
      <c r="Z41" s="3" t="n">
        <f aca="false">T41*[2]'Inflation indexes'!I134</f>
        <v>452.615309895726</v>
      </c>
      <c r="AA41" s="3" t="n">
        <f aca="false">V41*[2]'Inflation indexes'!I134</f>
        <v>386.038546501134</v>
      </c>
      <c r="AB41" s="3" t="n">
        <f aca="false">W41*[2]'Inflation indexes'!I134</f>
        <v>652.502974947135</v>
      </c>
      <c r="AC41" s="3" t="n">
        <f aca="false">U41*[2]'Inflation indexes'!I134</f>
        <v>451.218629606065</v>
      </c>
      <c r="AJ41" s="7" t="n">
        <f aca="false">AJ37+1</f>
        <v>2024</v>
      </c>
      <c r="AK41" s="6" t="n">
        <f aca="false">[2]'Retirement benefit values'!AO42</f>
        <v>7352.9429823493</v>
      </c>
      <c r="AL41" s="7" t="n">
        <v>509.8495280471</v>
      </c>
      <c r="AM41" s="7" t="n">
        <v>508.3298336313</v>
      </c>
      <c r="AN41" s="7" t="n">
        <v>445.109053739</v>
      </c>
      <c r="AO41" s="7" t="n">
        <v>741.3891670355</v>
      </c>
      <c r="AP41" s="7" t="n">
        <f aca="false">AP37+1</f>
        <v>2024</v>
      </c>
      <c r="AQ41" s="2" t="n">
        <f aca="false">AK41*[2]'Inflation indexes'!I134</f>
        <v>6820.29674099594</v>
      </c>
      <c r="AR41" s="2" t="n">
        <f aca="false">AL41*[2]'Inflation indexes'!I134</f>
        <v>472.916093989204</v>
      </c>
      <c r="AS41" s="2" t="n">
        <f aca="false">AN41*[2]'Inflation indexes'!I134</f>
        <v>412.865411290588</v>
      </c>
      <c r="AT41" s="2" t="n">
        <f aca="false">AO41*[2]'Inflation indexes'!I134</f>
        <v>687.683031390289</v>
      </c>
      <c r="AU41" s="2" t="n">
        <f aca="false">AM41*[2]'Inflation indexes'!I134</f>
        <v>471.506486040893</v>
      </c>
    </row>
    <row r="42" customFormat="false" ht="15" hidden="false" customHeight="false" outlineLevel="0" collapsed="false">
      <c r="A42" s="6" t="n">
        <f aca="false">[2]'Retirement benefit values'!B43</f>
        <v>6526.9650072399</v>
      </c>
      <c r="B42" s="7" t="n">
        <v>483.2593588848</v>
      </c>
      <c r="C42" s="7" t="n">
        <v>488.7088678459</v>
      </c>
      <c r="D42" s="7" t="n">
        <v>431.5956303493</v>
      </c>
      <c r="E42" s="7" t="n">
        <v>648.9457926833</v>
      </c>
      <c r="F42" s="7" t="n">
        <f aca="false">F38+1</f>
        <v>2024</v>
      </c>
      <c r="G42" s="4" t="n">
        <f aca="false">A42*[2]'Inflation indexes'!I135</f>
        <v>6054.15250387945</v>
      </c>
      <c r="H42" s="7" t="n">
        <f aca="false">B42*[2]'Inflation indexes'!I135</f>
        <v>448.252113251762</v>
      </c>
      <c r="I42" s="7" t="n">
        <f aca="false">D42*[2]'Inflation indexes'!I135</f>
        <v>400.330898548451</v>
      </c>
      <c r="J42" s="2" t="n">
        <f aca="false">E42*[2]'Inflation indexes'!I135</f>
        <v>601.936243154005</v>
      </c>
      <c r="K42" s="7" t="n">
        <f aca="false">C42*[2]'Inflation indexes'!I135</f>
        <v>453.306860486528</v>
      </c>
      <c r="R42" s="8" t="n">
        <f aca="false">R38+1</f>
        <v>2024</v>
      </c>
      <c r="S42" s="9" t="n">
        <f aca="false">[2]'Retirement benefit values'!R43</f>
        <v>6950.6158774347</v>
      </c>
      <c r="T42" s="8" t="n">
        <v>497.2698484214</v>
      </c>
      <c r="U42" s="8" t="n">
        <v>494.6749391093</v>
      </c>
      <c r="V42" s="8" t="n">
        <v>429.3715041374</v>
      </c>
      <c r="W42" s="8" t="n">
        <v>693.3836473232</v>
      </c>
      <c r="X42" s="8" t="n">
        <f aca="false">X38+1</f>
        <v>2024</v>
      </c>
      <c r="Y42" s="3" t="n">
        <f aca="false">S42*[2]'Inflation indexes'!I135</f>
        <v>6447.11415967438</v>
      </c>
      <c r="Z42" s="3" t="n">
        <f aca="false">T42*[2]'Inflation indexes'!I135</f>
        <v>461.247684733224</v>
      </c>
      <c r="AA42" s="3" t="n">
        <f aca="false">V42*[2]'Inflation indexes'!I135</f>
        <v>398.267887752502</v>
      </c>
      <c r="AB42" s="3" t="n">
        <f aca="false">W42*[2]'Inflation indexes'!I135</f>
        <v>643.155025334813</v>
      </c>
      <c r="AC42" s="3" t="n">
        <f aca="false">U42*[2]'Inflation indexes'!I135</f>
        <v>458.840750317034</v>
      </c>
      <c r="AJ42" s="7" t="n">
        <f aca="false">AJ38+1</f>
        <v>2024</v>
      </c>
      <c r="AK42" s="6" t="n">
        <f aca="false">[2]'Retirement benefit values'!AO43</f>
        <v>7353.1024850734</v>
      </c>
      <c r="AL42" s="7" t="n">
        <v>503.1702110933</v>
      </c>
      <c r="AM42" s="7" t="n">
        <v>508.3626196261</v>
      </c>
      <c r="AN42" s="7" t="n">
        <v>441.2175150293</v>
      </c>
      <c r="AO42" s="7" t="n">
        <v>717.3313546421</v>
      </c>
      <c r="AP42" s="7" t="n">
        <f aca="false">AP38+1</f>
        <v>2024</v>
      </c>
      <c r="AQ42" s="2" t="n">
        <f aca="false">AK42*[2]'Inflation indexes'!I135</f>
        <v>6820.44468936328</v>
      </c>
      <c r="AR42" s="2" t="n">
        <f aca="false">AL42*[2]'Inflation indexes'!I135</f>
        <v>466.720625894124</v>
      </c>
      <c r="AS42" s="2" t="n">
        <f aca="false">AN42*[2]'Inflation indexes'!I135</f>
        <v>409.255775143139</v>
      </c>
      <c r="AT42" s="2" t="n">
        <f aca="false">AO42*[2]'Inflation indexes'!I135</f>
        <v>665.367963823999</v>
      </c>
      <c r="AU42" s="2" t="n">
        <f aca="false">AM42*[2]'Inflation indexes'!I135</f>
        <v>471.536897022458</v>
      </c>
    </row>
    <row r="43" customFormat="false" ht="15" hidden="false" customHeight="false" outlineLevel="0" collapsed="false">
      <c r="A43" s="6" t="n">
        <f aca="false">[2]'Retirement benefit values'!B44</f>
        <v>6538.0548253921</v>
      </c>
      <c r="B43" s="7" t="n">
        <v>474.3005972215</v>
      </c>
      <c r="C43" s="7" t="n">
        <v>482.027795616</v>
      </c>
      <c r="D43" s="7" t="n">
        <v>419.7344018237</v>
      </c>
      <c r="E43" s="7" t="n">
        <v>647.2768666777</v>
      </c>
      <c r="F43" s="7" t="n">
        <f aca="false">F39+1</f>
        <v>2024</v>
      </c>
      <c r="G43" s="4" t="n">
        <f aca="false">A43*[2]'Inflation indexes'!I136</f>
        <v>6064.43897703493</v>
      </c>
      <c r="H43" s="7" t="n">
        <f aca="false">B43*[2]'Inflation indexes'!I136</f>
        <v>439.942323127966</v>
      </c>
      <c r="I43" s="7" t="n">
        <f aca="false">D43*[2]'Inflation indexes'!I136</f>
        <v>389.328895887536</v>
      </c>
      <c r="J43" s="2" t="n">
        <f aca="false">E43*[2]'Inflation indexes'!I136</f>
        <v>600.388213933014</v>
      </c>
      <c r="K43" s="7" t="n">
        <f aca="false">C43*[2]'Inflation indexes'!I136</f>
        <v>447.109764267323</v>
      </c>
      <c r="R43" s="8" t="n">
        <f aca="false">R39+1</f>
        <v>2024</v>
      </c>
      <c r="S43" s="9" t="n">
        <f aca="false">[2]'Retirement benefit values'!R44</f>
        <v>6933.79830003802</v>
      </c>
      <c r="T43" s="8" t="n">
        <v>490.1294701398</v>
      </c>
      <c r="U43" s="8" t="n">
        <v>494.0883459912</v>
      </c>
      <c r="V43" s="8" t="n">
        <v>435.7843730343</v>
      </c>
      <c r="W43" s="8" t="n">
        <v>671.9071948162</v>
      </c>
      <c r="X43" s="8" t="n">
        <f aca="false">X39+1</f>
        <v>2024</v>
      </c>
      <c r="Y43" s="3" t="n">
        <f aca="false">S43*[2]'Inflation indexes'!I136</f>
        <v>6431.5148454154</v>
      </c>
      <c r="Z43" s="3" t="n">
        <f aca="false">T43*[2]'Inflation indexes'!I136</f>
        <v>454.624554533469</v>
      </c>
      <c r="AA43" s="3" t="n">
        <f aca="false">V43*[2]'Inflation indexes'!I136</f>
        <v>404.216209253559</v>
      </c>
      <c r="AB43" s="3" t="n">
        <f aca="false">W43*[2]'Inflation indexes'!I136</f>
        <v>623.234324277664</v>
      </c>
      <c r="AC43" s="3" t="n">
        <f aca="false">U43*[2]'Inflation indexes'!I136</f>
        <v>458.296649928758</v>
      </c>
      <c r="AJ43" s="7" t="n">
        <f aca="false">AJ39+1</f>
        <v>2024</v>
      </c>
      <c r="AK43" s="6" t="n">
        <f aca="false">[2]'Retirement benefit values'!AO44</f>
        <v>7389.9578537916</v>
      </c>
      <c r="AL43" s="7" t="n">
        <v>500.0961615221</v>
      </c>
      <c r="AM43" s="7" t="n">
        <v>505.1009299475</v>
      </c>
      <c r="AN43" s="7" t="n">
        <v>437.9167167477</v>
      </c>
      <c r="AO43" s="7" t="n">
        <v>746.0774758364</v>
      </c>
      <c r="AP43" s="7" t="n">
        <f aca="false">AP39+1</f>
        <v>2024</v>
      </c>
      <c r="AQ43" s="2" t="n">
        <f aca="false">AK43*[2]'Inflation indexes'!I136</f>
        <v>6854.63025992466</v>
      </c>
      <c r="AR43" s="2" t="n">
        <f aca="false">AL43*[2]'Inflation indexes'!I136</f>
        <v>463.869260077411</v>
      </c>
      <c r="AS43" s="2" t="n">
        <f aca="false">AN43*[2]'Inflation indexes'!I136</f>
        <v>406.194086263363</v>
      </c>
      <c r="AT43" s="2" t="n">
        <f aca="false">AO43*[2]'Inflation indexes'!I136</f>
        <v>692.031719706289</v>
      </c>
      <c r="AU43" s="2" t="n">
        <f aca="false">AM43*[2]'Inflation indexes'!I136</f>
        <v>468.511483723525</v>
      </c>
    </row>
    <row r="44" customFormat="false" ht="15" hidden="false" customHeight="false" outlineLevel="0" collapsed="false">
      <c r="A44" s="6" t="n">
        <f aca="false">[2]'Retirement benefit values'!B45</f>
        <v>6543.4627086001</v>
      </c>
      <c r="B44" s="7" t="n">
        <v>612.8116631255</v>
      </c>
      <c r="C44" s="7" t="n">
        <v>605.126683301</v>
      </c>
      <c r="D44" s="7" t="n">
        <v>539.0844188722</v>
      </c>
      <c r="E44" s="7" t="n">
        <v>803.4179360196</v>
      </c>
      <c r="F44" s="7" t="n">
        <f aca="false">F40+1</f>
        <v>2025</v>
      </c>
      <c r="G44" s="4" t="n">
        <f aca="false">A44*[2]'Inflation indexes'!I137</f>
        <v>6069.45511388078</v>
      </c>
      <c r="H44" s="7" t="n">
        <f aca="false">B44*[2]'Inflation indexes'!I137</f>
        <v>568.419665281256</v>
      </c>
      <c r="I44" s="7" t="n">
        <f aca="false">D44*[2]'Inflation indexes'!I137</f>
        <v>500.033213093273</v>
      </c>
      <c r="J44" s="2" t="n">
        <f aca="false">E44*[2]'Inflation indexes'!I137</f>
        <v>745.218444348854</v>
      </c>
      <c r="K44" s="7" t="n">
        <f aca="false">C44*[2]'Inflation indexes'!I137</f>
        <v>561.291384404133</v>
      </c>
      <c r="R44" s="8" t="n">
        <f aca="false">R40+1</f>
        <v>2025</v>
      </c>
      <c r="S44" s="9" t="n">
        <f aca="false">[2]'Retirement benefit values'!R45</f>
        <v>6964.78970084763</v>
      </c>
      <c r="T44" s="8" t="n">
        <v>634.3406902812</v>
      </c>
      <c r="U44" s="8" t="n">
        <v>620.7701261336</v>
      </c>
      <c r="V44" s="8" t="n">
        <v>551.755041895</v>
      </c>
      <c r="W44" s="8" t="n">
        <v>821.8757166956</v>
      </c>
      <c r="X44" s="8" t="n">
        <f aca="false">X40+1</f>
        <v>2025</v>
      </c>
      <c r="Y44" s="3" t="n">
        <f aca="false">S44*[2]'Inflation indexes'!I137</f>
        <v>6460.26123314724</v>
      </c>
      <c r="Z44" s="3" t="n">
        <f aca="false">T44*[2]'Inflation indexes'!I137</f>
        <v>588.389132486334</v>
      </c>
      <c r="AA44" s="3" t="n">
        <f aca="false">V44*[2]'Inflation indexes'!I137</f>
        <v>511.785977818396</v>
      </c>
      <c r="AB44" s="3" t="n">
        <f aca="false">W44*[2]'Inflation indexes'!I137</f>
        <v>762.339145773131</v>
      </c>
      <c r="AC44" s="3" t="n">
        <f aca="false">U44*[2]'Inflation indexes'!I137</f>
        <v>575.80161825543</v>
      </c>
      <c r="AJ44" s="7" t="n">
        <f aca="false">AJ40+1</f>
        <v>2025</v>
      </c>
      <c r="AK44" s="6" t="n">
        <f aca="false">[2]'Retirement benefit values'!AO45</f>
        <v>7455.320625396</v>
      </c>
      <c r="AL44" s="7" t="n">
        <v>644.1153418959</v>
      </c>
      <c r="AM44" s="7" t="n">
        <v>629.9697934688</v>
      </c>
      <c r="AN44" s="7" t="n">
        <v>564.1841393499</v>
      </c>
      <c r="AO44" s="7" t="n">
        <v>844.5261764105</v>
      </c>
      <c r="AP44" s="7" t="n">
        <f aca="false">AP40+1</f>
        <v>2025</v>
      </c>
      <c r="AQ44" s="2" t="n">
        <f aca="false">AK44*[2]'Inflation indexes'!I137</f>
        <v>6915.25816078369</v>
      </c>
      <c r="AR44" s="2" t="n">
        <f aca="false">AL44*[2]'Inflation indexes'!I137</f>
        <v>597.455709598674</v>
      </c>
      <c r="AS44" s="2" t="n">
        <f aca="false">AN44*[2]'Inflation indexes'!I137</f>
        <v>523.314713056608</v>
      </c>
      <c r="AT44" s="2" t="n">
        <f aca="false">AO44*[2]'Inflation indexes'!I137</f>
        <v>783.348809107449</v>
      </c>
      <c r="AU44" s="2" t="n">
        <f aca="false">AM44*[2]'Inflation indexes'!I137</f>
        <v>584.334862875323</v>
      </c>
    </row>
    <row r="45" customFormat="false" ht="15" hidden="false" customHeight="false" outlineLevel="0" collapsed="false">
      <c r="A45" s="6" t="n">
        <f aca="false">[2]'Retirement benefit values'!B46</f>
        <v>6531.6634182699</v>
      </c>
      <c r="B45" s="7" t="n">
        <v>475.9967686793</v>
      </c>
      <c r="C45" s="7" t="n">
        <v>479.1807865878</v>
      </c>
      <c r="D45" s="7" t="n">
        <v>417.6200226928</v>
      </c>
      <c r="E45" s="7" t="n">
        <v>646.6141681761</v>
      </c>
      <c r="F45" s="7" t="n">
        <f aca="false">F41+1</f>
        <v>2025</v>
      </c>
      <c r="G45" s="4" t="n">
        <f aca="false">A45*[2]'Inflation indexes'!I138</f>
        <v>6058.51056262038</v>
      </c>
      <c r="H45" s="7" t="n">
        <f aca="false">B45*[2]'Inflation indexes'!I138</f>
        <v>441.515624144113</v>
      </c>
      <c r="I45" s="7" t="n">
        <f aca="false">D45*[2]'Inflation indexes'!I138</f>
        <v>387.367682108193</v>
      </c>
      <c r="J45" s="2" t="n">
        <f aca="false">E45*[2]'Inflation indexes'!I138</f>
        <v>599.773521225403</v>
      </c>
      <c r="K45" s="7" t="n">
        <f aca="false">C45*[2]'Inflation indexes'!I138</f>
        <v>444.468992205955</v>
      </c>
      <c r="R45" s="8" t="n">
        <f aca="false">R41+1</f>
        <v>2025</v>
      </c>
      <c r="S45" s="9" t="n">
        <f aca="false">[2]'Retirement benefit values'!R46</f>
        <v>6960.0309032726</v>
      </c>
      <c r="T45" s="8" t="n">
        <v>491.7140813369</v>
      </c>
      <c r="U45" s="8" t="n">
        <v>494.3593001285</v>
      </c>
      <c r="V45" s="8" t="n">
        <v>430.7444640539</v>
      </c>
      <c r="W45" s="8" t="n">
        <v>678.1209791155</v>
      </c>
      <c r="X45" s="8" t="n">
        <f aca="false">X41+1</f>
        <v>2025</v>
      </c>
      <c r="Y45" s="3" t="n">
        <f aca="false">S45*[2]'Inflation indexes'!I138</f>
        <v>6455.84716225481</v>
      </c>
      <c r="Z45" s="3" t="n">
        <f aca="false">T45*[2]'Inflation indexes'!I138</f>
        <v>456.094376699814</v>
      </c>
      <c r="AA45" s="3" t="n">
        <f aca="false">V45*[2]'Inflation indexes'!I138</f>
        <v>399.541390629717</v>
      </c>
      <c r="AB45" s="3" t="n">
        <f aca="false">W45*[2]'Inflation indexes'!I138</f>
        <v>628.997982843696</v>
      </c>
      <c r="AC45" s="3" t="n">
        <f aca="false">U45*[2]'Inflation indexes'!I138</f>
        <v>458.547976183296</v>
      </c>
      <c r="AJ45" s="7" t="n">
        <f aca="false">AJ41+1</f>
        <v>2025</v>
      </c>
      <c r="AK45" s="6" t="n">
        <f aca="false">[2]'Retirement benefit values'!AO46</f>
        <v>7492.8583004962</v>
      </c>
      <c r="AL45" s="7" t="n">
        <v>505.2344923708</v>
      </c>
      <c r="AM45" s="7" t="n">
        <v>503.0755091721</v>
      </c>
      <c r="AN45" s="7" t="n">
        <v>439.6694631843</v>
      </c>
      <c r="AO45" s="7" t="n">
        <v>735.884218147</v>
      </c>
      <c r="AP45" s="7" t="n">
        <f aca="false">AP41+1</f>
        <v>2025</v>
      </c>
      <c r="AQ45" s="2" t="n">
        <f aca="false">AK45*[2]'Inflation indexes'!I138</f>
        <v>6950.07661154076</v>
      </c>
      <c r="AR45" s="2" t="n">
        <f aca="false">AL45*[2]'Inflation indexes'!I138</f>
        <v>468.635370902107</v>
      </c>
      <c r="AS45" s="2" t="n">
        <f aca="false">AN45*[2]'Inflation indexes'!I138</f>
        <v>407.819863974143</v>
      </c>
      <c r="AT45" s="2" t="n">
        <f aca="false">AO45*[2]'Inflation indexes'!I138</f>
        <v>682.576860289314</v>
      </c>
      <c r="AU45" s="2" t="n">
        <f aca="false">AM45*[2]'Inflation indexes'!I138</f>
        <v>466.632784167883</v>
      </c>
    </row>
    <row r="46" customFormat="false" ht="15" hidden="false" customHeight="false" outlineLevel="0" collapsed="false">
      <c r="A46" s="6" t="n">
        <f aca="false">[2]'Retirement benefit values'!B47</f>
        <v>6540.5313401234</v>
      </c>
      <c r="B46" s="7" t="n">
        <v>483.6082575594</v>
      </c>
      <c r="C46" s="7" t="n">
        <v>486.0427432209</v>
      </c>
      <c r="D46" s="7" t="n">
        <v>427.1564726749</v>
      </c>
      <c r="E46" s="7" t="n">
        <v>645.2088415321</v>
      </c>
      <c r="F46" s="7" t="n">
        <f aca="false">F42+1</f>
        <v>2025</v>
      </c>
      <c r="G46" s="4" t="n">
        <f aca="false">A46*[2]'Inflation indexes'!I139</f>
        <v>6066.73609335848</v>
      </c>
      <c r="H46" s="7" t="n">
        <f aca="false">B46*[2]'Inflation indexes'!I139</f>
        <v>448.575737751371</v>
      </c>
      <c r="I46" s="7" t="n">
        <f aca="false">D46*[2]'Inflation indexes'!I139</f>
        <v>396.213312883479</v>
      </c>
      <c r="J46" s="2" t="n">
        <f aca="false">E46*[2]'Inflation indexes'!I139</f>
        <v>598.469996262254</v>
      </c>
      <c r="K46" s="7" t="n">
        <f aca="false">C46*[2]'Inflation indexes'!I139</f>
        <v>450.83386958552</v>
      </c>
      <c r="R46" s="8" t="n">
        <f aca="false">R42+1</f>
        <v>2025</v>
      </c>
      <c r="S46" s="9" t="n">
        <f aca="false">[2]'Retirement benefit values'!R47</f>
        <v>6981.80068134071</v>
      </c>
      <c r="T46" s="8" t="n">
        <v>496.4688061005</v>
      </c>
      <c r="U46" s="8" t="n">
        <v>500.3555882636</v>
      </c>
      <c r="V46" s="8" t="n">
        <v>437.7618558469</v>
      </c>
      <c r="W46" s="8" t="n">
        <v>699.851746929</v>
      </c>
      <c r="X46" s="8" t="n">
        <f aca="false">X42+1</f>
        <v>2025</v>
      </c>
      <c r="Y46" s="3" t="n">
        <f aca="false">S46*[2]'Inflation indexes'!I139</f>
        <v>6476.03994040725</v>
      </c>
      <c r="Z46" s="3" t="n">
        <f aca="false">T46*[2]'Inflation indexes'!I139</f>
        <v>460.504669814742</v>
      </c>
      <c r="AA46" s="3" t="n">
        <f aca="false">V46*[2]'Inflation indexes'!I139</f>
        <v>406.050443466245</v>
      </c>
      <c r="AB46" s="3" t="n">
        <f aca="false">W46*[2]'Inflation indexes'!I139</f>
        <v>649.154576639341</v>
      </c>
      <c r="AC46" s="3" t="n">
        <f aca="false">U46*[2]'Inflation indexes'!I139</f>
        <v>464.109893979214</v>
      </c>
      <c r="AJ46" s="7" t="n">
        <f aca="false">AJ42+1</f>
        <v>2025</v>
      </c>
      <c r="AK46" s="6" t="n">
        <f aca="false">[2]'Retirement benefit values'!AO47</f>
        <v>7520.00104848</v>
      </c>
      <c r="AL46" s="7" t="n">
        <v>508.2593708174</v>
      </c>
      <c r="AM46" s="7" t="n">
        <v>513.6269389319</v>
      </c>
      <c r="AN46" s="7" t="n">
        <v>445.9090372028</v>
      </c>
      <c r="AO46" s="7" t="n">
        <v>743.9735540706</v>
      </c>
      <c r="AP46" s="7" t="n">
        <f aca="false">AP42+1</f>
        <v>2025</v>
      </c>
      <c r="AQ46" s="2" t="n">
        <f aca="false">AK46*[2]'Inflation indexes'!I139</f>
        <v>6975.25314236114</v>
      </c>
      <c r="AR46" s="2" t="n">
        <f aca="false">AL46*[2]'Inflation indexes'!I139</f>
        <v>471.441127544145</v>
      </c>
      <c r="AS46" s="2" t="n">
        <f aca="false">AN46*[2]'Inflation indexes'!I139</f>
        <v>413.607444055442</v>
      </c>
      <c r="AT46" s="2" t="n">
        <f aca="false">AO46*[2]'Inflation indexes'!I139</f>
        <v>690.080205761867</v>
      </c>
      <c r="AU46" s="2" t="n">
        <f aca="false">AM46*[2]'Inflation indexes'!I139</f>
        <v>476.41986971667</v>
      </c>
    </row>
    <row r="47" customFormat="false" ht="15" hidden="false" customHeight="false" outlineLevel="0" collapsed="false">
      <c r="A47" s="6" t="n">
        <f aca="false">[2]'Retirement benefit values'!B48</f>
        <v>6496.3436746584</v>
      </c>
      <c r="B47" s="7" t="n">
        <v>483.5632115305</v>
      </c>
      <c r="C47" s="7" t="n">
        <v>484.4693210728</v>
      </c>
      <c r="D47" s="7" t="n">
        <v>422.6674923467</v>
      </c>
      <c r="E47" s="7" t="n">
        <v>651.1464830894</v>
      </c>
      <c r="F47" s="7" t="n">
        <f aca="false">F43+1</f>
        <v>2025</v>
      </c>
      <c r="G47" s="4" t="n">
        <f aca="false">A47*[2]'Inflation indexes'!I140</f>
        <v>6025.74937668101</v>
      </c>
      <c r="H47" s="7" t="n">
        <f aca="false">B47*[2]'Inflation indexes'!I140</f>
        <v>448.533954850995</v>
      </c>
      <c r="I47" s="7" t="n">
        <f aca="false">D47*[2]'Inflation indexes'!I140</f>
        <v>392.049513711323</v>
      </c>
      <c r="J47" s="2" t="n">
        <f aca="false">E47*[2]'Inflation indexes'!I140</f>
        <v>603.977515830903</v>
      </c>
      <c r="K47" s="7" t="n">
        <f aca="false">C47*[2]'Inflation indexes'!I140</f>
        <v>449.374425934909</v>
      </c>
      <c r="R47" s="8" t="n">
        <f aca="false">R43+1</f>
        <v>2025</v>
      </c>
      <c r="S47" s="9" t="n">
        <f aca="false">[2]'Retirement benefit values'!R48</f>
        <v>7001.57899029125</v>
      </c>
      <c r="T47" s="8" t="n">
        <v>498.3444933232</v>
      </c>
      <c r="U47" s="8" t="n">
        <v>498.7851293616</v>
      </c>
      <c r="V47" s="8" t="n">
        <v>436.1192679476</v>
      </c>
      <c r="W47" s="8" t="n">
        <v>702.012086645</v>
      </c>
      <c r="X47" s="8" t="n">
        <f aca="false">X43+1</f>
        <v>2025</v>
      </c>
      <c r="Y47" s="3" t="n">
        <f aca="false">S47*[2]'Inflation indexes'!I140</f>
        <v>6494.38551120817</v>
      </c>
      <c r="Z47" s="3" t="n">
        <f aca="false">T47*[2]'Inflation indexes'!I140</f>
        <v>462.244482496931</v>
      </c>
      <c r="AA47" s="3" t="n">
        <f aca="false">V47*[2]'Inflation indexes'!I140</f>
        <v>404.52684442253</v>
      </c>
      <c r="AB47" s="3" t="n">
        <f aca="false">W47*[2]'Inflation indexes'!I140</f>
        <v>651.158421624927</v>
      </c>
      <c r="AC47" s="3" t="n">
        <f aca="false">U47*[2]'Inflation indexes'!I140</f>
        <v>462.653198917537</v>
      </c>
      <c r="AJ47" s="7" t="n">
        <f aca="false">AJ43+1</f>
        <v>2025</v>
      </c>
      <c r="AK47" s="6" t="n">
        <f aca="false">[2]'Retirement benefit values'!AO48</f>
        <v>7542.2985062572</v>
      </c>
      <c r="AL47" s="7" t="n">
        <v>503.2500690218</v>
      </c>
      <c r="AM47" s="7" t="n">
        <v>506.0601563537</v>
      </c>
      <c r="AN47" s="7" t="n">
        <v>441.5205389221</v>
      </c>
      <c r="AO47" s="7" t="n">
        <v>698.7230578407</v>
      </c>
      <c r="AP47" s="7" t="n">
        <f aca="false">AP43+1</f>
        <v>2025</v>
      </c>
      <c r="AQ47" s="2" t="n">
        <f aca="false">AK47*[2]'Inflation indexes'!I140</f>
        <v>6995.93537517259</v>
      </c>
      <c r="AR47" s="2" t="n">
        <f aca="false">AL47*[2]'Inflation indexes'!I140</f>
        <v>466.794698924583</v>
      </c>
      <c r="AS47" s="2" t="n">
        <f aca="false">AN47*[2]'Inflation indexes'!I140</f>
        <v>409.536848024224</v>
      </c>
      <c r="AT47" s="2" t="n">
        <f aca="false">AO47*[2]'Inflation indexes'!I140</f>
        <v>648.107649643034</v>
      </c>
      <c r="AU47" s="2" t="n">
        <f aca="false">AM47*[2]'Inflation indexes'!I140</f>
        <v>469.401223892569</v>
      </c>
    </row>
    <row r="48" customFormat="false" ht="15" hidden="false" customHeight="false" outlineLevel="0" collapsed="false">
      <c r="A48" s="6" t="n">
        <f aca="false">[2]'Retirement benefit values'!B49</f>
        <v>6485.8672753191</v>
      </c>
      <c r="B48" s="7" t="n">
        <v>619.3424521096</v>
      </c>
      <c r="C48" s="7" t="n">
        <v>607.5526629099</v>
      </c>
      <c r="D48" s="7" t="n">
        <v>535.7323309639</v>
      </c>
      <c r="E48" s="7" t="n">
        <v>804.756883887</v>
      </c>
      <c r="F48" s="7" t="n">
        <f aca="false">F44+1</f>
        <v>2026</v>
      </c>
      <c r="G48" s="4" t="n">
        <f aca="false">A48*[2]'Inflation indexes'!I141</f>
        <v>6016.03188635874</v>
      </c>
      <c r="H48" s="7" t="n">
        <f aca="false">B48*[2]'Inflation indexes'!I141</f>
        <v>574.477364753605</v>
      </c>
      <c r="I48" s="7" t="n">
        <f aca="false">D48*[2]'Inflation indexes'!I141</f>
        <v>496.923950000742</v>
      </c>
      <c r="J48" s="2" t="n">
        <f aca="false">E48*[2]'Inflation indexes'!I141</f>
        <v>746.460399005419</v>
      </c>
      <c r="K48" s="7" t="n">
        <f aca="false">C48*[2]'Inflation indexes'!I141</f>
        <v>563.541626363036</v>
      </c>
      <c r="R48" s="8" t="n">
        <f aca="false">R44+1</f>
        <v>2026</v>
      </c>
      <c r="S48" s="9" t="n">
        <f aca="false">[2]'Retirement benefit values'!R49</f>
        <v>7005.71806900242</v>
      </c>
      <c r="T48" s="8" t="n">
        <v>625.4448288277</v>
      </c>
      <c r="U48" s="8" t="n">
        <v>617.4010833131</v>
      </c>
      <c r="V48" s="8" t="n">
        <v>552.3646732713</v>
      </c>
      <c r="W48" s="8" t="n">
        <v>802.3526690299</v>
      </c>
      <c r="X48" s="8" t="n">
        <f aca="false">X44+1</f>
        <v>2026</v>
      </c>
      <c r="Y48" s="3" t="n">
        <f aca="false">S48*[2]'Inflation indexes'!I141</f>
        <v>6498.22475559131</v>
      </c>
      <c r="Z48" s="3" t="n">
        <f aca="false">T48*[2]'Inflation indexes'!I141</f>
        <v>580.137686089252</v>
      </c>
      <c r="AA48" s="3" t="n">
        <f aca="false">V48*[2]'Inflation indexes'!I141</f>
        <v>512.351447576419</v>
      </c>
      <c r="AB48" s="3" t="n">
        <f aca="false">W48*[2]'Inflation indexes'!I141</f>
        <v>744.230345162503</v>
      </c>
      <c r="AC48" s="3" t="n">
        <f aca="false">U48*[2]'Inflation indexes'!I141</f>
        <v>572.676628462351</v>
      </c>
      <c r="AJ48" s="7" t="n">
        <f aca="false">AJ44+1</f>
        <v>2026</v>
      </c>
      <c r="AK48" s="6" t="n">
        <f aca="false">[2]'Retirement benefit values'!AO49</f>
        <v>7556.0505246134</v>
      </c>
      <c r="AL48" s="7" t="n">
        <v>655.0854524371</v>
      </c>
      <c r="AM48" s="7" t="n">
        <v>642.635021428</v>
      </c>
      <c r="AN48" s="7" t="n">
        <v>570.3159243586</v>
      </c>
      <c r="AO48" s="7" t="n">
        <v>875.4823703778</v>
      </c>
      <c r="AP48" s="7" t="n">
        <f aca="false">AP44+1</f>
        <v>2026</v>
      </c>
      <c r="AQ48" s="2" t="n">
        <f aca="false">AK48*[2]'Inflation indexes'!I141</f>
        <v>7008.69119909263</v>
      </c>
      <c r="AR48" s="2" t="n">
        <f aca="false">AL48*[2]'Inflation indexes'!I141</f>
        <v>607.631146747054</v>
      </c>
      <c r="AS48" s="2" t="n">
        <f aca="false">AN48*[2]'Inflation indexes'!I141</f>
        <v>529.002312350077</v>
      </c>
      <c r="AT48" s="2" t="n">
        <f aca="false">AO48*[2]'Inflation indexes'!I141</f>
        <v>812.062540376089</v>
      </c>
      <c r="AU48" s="2" t="n">
        <f aca="false">AM48*[2]'Inflation indexes'!I141</f>
        <v>596.082623354556</v>
      </c>
    </row>
    <row r="49" customFormat="false" ht="15" hidden="false" customHeight="false" outlineLevel="0" collapsed="false">
      <c r="A49" s="6" t="n">
        <f aca="false">[2]'Retirement benefit values'!B50</f>
        <v>6496.1294844597</v>
      </c>
      <c r="B49" s="7" t="n">
        <v>487.6848175397</v>
      </c>
      <c r="C49" s="7" t="n">
        <v>489.1378005604</v>
      </c>
      <c r="D49" s="7" t="n">
        <v>420.2412072694</v>
      </c>
      <c r="E49" s="7" t="n">
        <v>672.1801139488</v>
      </c>
      <c r="F49" s="7" t="n">
        <f aca="false">F45+1</f>
        <v>2026</v>
      </c>
      <c r="G49" s="4" t="n">
        <f aca="false">A49*[2]'Inflation indexes'!I142</f>
        <v>6025.55070239268</v>
      </c>
      <c r="H49" s="7" t="n">
        <f aca="false">B49*[2]'Inflation indexes'!I142</f>
        <v>452.35699225244</v>
      </c>
      <c r="I49" s="7" t="n">
        <f aca="false">D49*[2]'Inflation indexes'!I142</f>
        <v>389.798988412111</v>
      </c>
      <c r="J49" s="2" t="n">
        <f aca="false">E49*[2]'Inflation indexes'!I142</f>
        <v>623.487473183496</v>
      </c>
      <c r="K49" s="7" t="n">
        <f aca="false">C49*[2]'Inflation indexes'!I142</f>
        <v>453.704721370508</v>
      </c>
      <c r="R49" s="8" t="n">
        <f aca="false">R45+1</f>
        <v>2026</v>
      </c>
      <c r="S49" s="9" t="n">
        <f aca="false">[2]'Retirement benefit values'!R50</f>
        <v>7005.8078502378</v>
      </c>
      <c r="T49" s="8" t="n">
        <v>493.1688216926</v>
      </c>
      <c r="U49" s="8" t="n">
        <v>498.2515289107</v>
      </c>
      <c r="V49" s="8" t="n">
        <v>438.0725890317</v>
      </c>
      <c r="W49" s="8" t="n">
        <v>703.960047535</v>
      </c>
      <c r="X49" s="8" t="n">
        <f aca="false">X45+1</f>
        <v>2026</v>
      </c>
      <c r="Y49" s="3" t="n">
        <f aca="false">S49*[2]'Inflation indexes'!I142</f>
        <v>6498.30803308558</v>
      </c>
      <c r="Z49" s="3" t="n">
        <f aca="false">T49*[2]'Inflation indexes'!I142</f>
        <v>457.44373585176</v>
      </c>
      <c r="AA49" s="3" t="n">
        <f aca="false">V49*[2]'Inflation indexes'!I142</f>
        <v>406.338667179212</v>
      </c>
      <c r="AB49" s="3" t="n">
        <f aca="false">W49*[2]'Inflation indexes'!I142</f>
        <v>652.965272479278</v>
      </c>
      <c r="AC49" s="3" t="n">
        <f aca="false">U49*[2]'Inflation indexes'!I142</f>
        <v>462.158252414484</v>
      </c>
      <c r="AJ49" s="7" t="n">
        <f aca="false">AJ45+1</f>
        <v>2026</v>
      </c>
      <c r="AK49" s="6" t="n">
        <f aca="false">[2]'Retirement benefit values'!AO50</f>
        <v>7610.9512615948</v>
      </c>
      <c r="AL49" s="7" t="n">
        <v>516.5748908698</v>
      </c>
      <c r="AM49" s="7" t="n">
        <v>515.0822717537</v>
      </c>
      <c r="AN49" s="7" t="n">
        <v>448.8632451884</v>
      </c>
      <c r="AO49" s="7" t="n">
        <v>733.4060425325</v>
      </c>
      <c r="AP49" s="7" t="n">
        <f aca="false">AP45+1</f>
        <v>2026</v>
      </c>
      <c r="AQ49" s="2" t="n">
        <f aca="false">AK49*[2]'Inflation indexes'!I142</f>
        <v>7059.61493376749</v>
      </c>
      <c r="AR49" s="2" t="n">
        <f aca="false">AL49*[2]'Inflation indexes'!I142</f>
        <v>479.154272396378</v>
      </c>
      <c r="AS49" s="2" t="n">
        <f aca="false">AN49*[2]'Inflation indexes'!I142</f>
        <v>416.347649595561</v>
      </c>
      <c r="AT49" s="2" t="n">
        <f aca="false">AO49*[2]'Inflation indexes'!I142</f>
        <v>680.278203396725</v>
      </c>
      <c r="AU49" s="2" t="n">
        <f aca="false">AM49*[2]'Inflation indexes'!I142</f>
        <v>477.769778416549</v>
      </c>
    </row>
    <row r="50" customFormat="false" ht="15" hidden="false" customHeight="false" outlineLevel="0" collapsed="false">
      <c r="A50" s="6" t="n">
        <f aca="false">[2]'Retirement benefit values'!B51</f>
        <v>6484.2979967316</v>
      </c>
      <c r="B50" s="7" t="n">
        <v>491.3110969348</v>
      </c>
      <c r="C50" s="7" t="n">
        <v>489.9271937243</v>
      </c>
      <c r="D50" s="7" t="n">
        <v>417.4587939299</v>
      </c>
      <c r="E50" s="7" t="n">
        <v>673.565657842</v>
      </c>
      <c r="F50" s="7" t="n">
        <f aca="false">F46+1</f>
        <v>2026</v>
      </c>
      <c r="G50" s="4" t="n">
        <f aca="false">A50*[2]'Inflation indexes'!I143</f>
        <v>6014.57628610973</v>
      </c>
      <c r="H50" s="7" t="n">
        <f aca="false">B50*[2]'Inflation indexes'!I143</f>
        <v>455.72058443583</v>
      </c>
      <c r="I50" s="7" t="n">
        <f aca="false">D50*[2]'Inflation indexes'!I143</f>
        <v>387.218132736085</v>
      </c>
      <c r="J50" s="2" t="n">
        <f aca="false">E50*[2]'Inflation indexes'!I143</f>
        <v>624.772648455762</v>
      </c>
      <c r="K50" s="7" t="n">
        <f aca="false">C50*[2]'Inflation indexes'!I143</f>
        <v>454.436930995421</v>
      </c>
      <c r="R50" s="8" t="n">
        <f aca="false">R46+1</f>
        <v>2026</v>
      </c>
      <c r="S50" s="9" t="n">
        <f aca="false">[2]'Retirement benefit values'!R51</f>
        <v>7030.20927885992</v>
      </c>
      <c r="T50" s="8" t="n">
        <v>498.9909049602</v>
      </c>
      <c r="U50" s="8" t="n">
        <v>498.532516273</v>
      </c>
      <c r="V50" s="8" t="n">
        <v>433.3340985756</v>
      </c>
      <c r="W50" s="8" t="n">
        <v>708.8988034074</v>
      </c>
      <c r="X50" s="8" t="n">
        <f aca="false">X46+1</f>
        <v>2026</v>
      </c>
      <c r="Y50" s="3" t="n">
        <f aca="false">S50*[2]'Inflation indexes'!I143</f>
        <v>6520.94182536529</v>
      </c>
      <c r="Z50" s="3" t="n">
        <f aca="false">T50*[2]'Inflation indexes'!I143</f>
        <v>462.844068158313</v>
      </c>
      <c r="AA50" s="3" t="n">
        <f aca="false">V50*[2]'Inflation indexes'!I143</f>
        <v>401.943432360643</v>
      </c>
      <c r="AB50" s="3" t="n">
        <f aca="false">W50*[2]'Inflation indexes'!I143</f>
        <v>657.546265513219</v>
      </c>
      <c r="AC50" s="3" t="n">
        <f aca="false">U50*[2]'Inflation indexes'!I143</f>
        <v>462.418885088497</v>
      </c>
      <c r="AJ50" s="7" t="n">
        <f aca="false">AJ46+1</f>
        <v>2026</v>
      </c>
      <c r="AK50" s="6" t="n">
        <f aca="false">[2]'Retirement benefit values'!AO51</f>
        <v>7638.6404207549</v>
      </c>
      <c r="AL50" s="7" t="n">
        <v>514.6775523693</v>
      </c>
      <c r="AM50" s="7" t="n">
        <v>515.7742236783</v>
      </c>
      <c r="AN50" s="7" t="n">
        <v>444.2189484146</v>
      </c>
      <c r="AO50" s="7" t="n">
        <v>750.6627955356</v>
      </c>
      <c r="AP50" s="7" t="n">
        <f aca="false">AP46+1</f>
        <v>2026</v>
      </c>
      <c r="AQ50" s="2" t="n">
        <f aca="false">AK50*[2]'Inflation indexes'!I143</f>
        <v>7085.29829380902</v>
      </c>
      <c r="AR50" s="2" t="n">
        <f aca="false">AL50*[2]'Inflation indexes'!I143</f>
        <v>477.39437685216</v>
      </c>
      <c r="AS50" s="2" t="n">
        <f aca="false">AN50*[2]'Inflation indexes'!I143</f>
        <v>412.039785081094</v>
      </c>
      <c r="AT50" s="2" t="n">
        <f aca="false">AO50*[2]'Inflation indexes'!I143</f>
        <v>696.284879437835</v>
      </c>
      <c r="AU50" s="2" t="n">
        <f aca="false">AM50*[2]'Inflation indexes'!I143</f>
        <v>478.41160543297</v>
      </c>
    </row>
    <row r="51" customFormat="false" ht="15" hidden="false" customHeight="false" outlineLevel="0" collapsed="false">
      <c r="A51" s="6" t="n">
        <f aca="false">[2]'Retirement benefit values'!B52</f>
        <v>6523.3362167186</v>
      </c>
      <c r="B51" s="7" t="n">
        <v>482.1752952114</v>
      </c>
      <c r="C51" s="7" t="n">
        <v>483.3632923155</v>
      </c>
      <c r="D51" s="7" t="n">
        <v>416.2608748566</v>
      </c>
      <c r="E51" s="7" t="n">
        <v>656.4548562369</v>
      </c>
      <c r="F51" s="7" t="n">
        <f aca="false">F47+1</f>
        <v>2026</v>
      </c>
      <c r="G51" s="4" t="n">
        <f aca="false">A51*[2]'Inflation indexes'!I144</f>
        <v>6050.78658247552</v>
      </c>
      <c r="H51" s="7" t="n">
        <f aca="false">B51*[2]'Inflation indexes'!I144</f>
        <v>447.246579011055</v>
      </c>
      <c r="I51" s="7" t="n">
        <f aca="false">D51*[2]'Inflation indexes'!I144</f>
        <v>386.106990765962</v>
      </c>
      <c r="J51" s="2" t="n">
        <f aca="false">E51*[2]'Inflation indexes'!I144</f>
        <v>608.901351112204</v>
      </c>
      <c r="K51" s="7" t="n">
        <f aca="false">C51*[2]'Inflation indexes'!I144</f>
        <v>448.348517758147</v>
      </c>
      <c r="R51" s="8" t="n">
        <f aca="false">R47+1</f>
        <v>2026</v>
      </c>
      <c r="S51" s="9" t="n">
        <f aca="false">[2]'Retirement benefit values'!R52</f>
        <v>7029.42023549122</v>
      </c>
      <c r="T51" s="8" t="n">
        <v>492.5087109338</v>
      </c>
      <c r="U51" s="8" t="n">
        <v>494.2601708737</v>
      </c>
      <c r="V51" s="8" t="n">
        <v>423.3295496135</v>
      </c>
      <c r="W51" s="8" t="n">
        <v>700.8830803214</v>
      </c>
      <c r="X51" s="8" t="n">
        <f aca="false">X47+1</f>
        <v>2026</v>
      </c>
      <c r="Y51" s="3" t="n">
        <f aca="false">S51*[2]'Inflation indexes'!I144</f>
        <v>6520.20994019646</v>
      </c>
      <c r="Z51" s="3" t="n">
        <f aca="false">T51*[2]'Inflation indexes'!I144</f>
        <v>456.831443431195</v>
      </c>
      <c r="AA51" s="3" t="n">
        <f aca="false">V51*[2]'Inflation indexes'!I144</f>
        <v>392.663611635099</v>
      </c>
      <c r="AB51" s="3" t="n">
        <f aca="false">W51*[2]'Inflation indexes'!I144</f>
        <v>650.111200373804</v>
      </c>
      <c r="AC51" s="3" t="n">
        <f aca="false">U51*[2]'Inflation indexes'!I144</f>
        <v>458.45602783893</v>
      </c>
      <c r="AJ51" s="7" t="n">
        <f aca="false">AJ47+1</f>
        <v>2026</v>
      </c>
      <c r="AK51" s="6" t="n">
        <f aca="false">[2]'Retirement benefit values'!AO52</f>
        <v>7672.368414949</v>
      </c>
      <c r="AL51" s="7" t="n">
        <v>517.7138674056</v>
      </c>
      <c r="AM51" s="7" t="n">
        <v>518.9108734193</v>
      </c>
      <c r="AN51" s="7" t="n">
        <v>449.2631625266</v>
      </c>
      <c r="AO51" s="7" t="n">
        <v>761.5052442792</v>
      </c>
      <c r="AP51" s="7" t="n">
        <f aca="false">AP47+1</f>
        <v>2026</v>
      </c>
      <c r="AQ51" s="2" t="n">
        <f aca="false">AK51*[2]'Inflation indexes'!I144</f>
        <v>7116.5830364535</v>
      </c>
      <c r="AR51" s="2" t="n">
        <f aca="false">AL51*[2]'Inflation indexes'!I144</f>
        <v>480.210741618815</v>
      </c>
      <c r="AS51" s="2" t="n">
        <f aca="false">AN51*[2]'Inflation indexes'!I144</f>
        <v>416.718596973358</v>
      </c>
      <c r="AT51" s="2" t="n">
        <f aca="false">AO51*[2]'Inflation indexes'!I144</f>
        <v>706.341902592768</v>
      </c>
      <c r="AU51" s="2" t="n">
        <f aca="false">AM51*[2]'Inflation indexes'!I144</f>
        <v>481.321036671257</v>
      </c>
    </row>
    <row r="52" customFormat="false" ht="15" hidden="false" customHeight="false" outlineLevel="0" collapsed="false">
      <c r="A52" s="6" t="n">
        <f aca="false">[2]'Retirement benefit values'!B53</f>
        <v>6518.341008654</v>
      </c>
      <c r="B52" s="7" t="n">
        <v>612.4634946039</v>
      </c>
      <c r="C52" s="7" t="n">
        <v>604.8132600953</v>
      </c>
      <c r="D52" s="7" t="n">
        <v>535.3995387782</v>
      </c>
      <c r="E52" s="7" t="n">
        <v>797.1381897503</v>
      </c>
      <c r="F52" s="7" t="n">
        <f aca="false">F48+1</f>
        <v>2027</v>
      </c>
      <c r="G52" s="4" t="n">
        <f aca="false">A52*[2]'Inflation indexes'!I145</f>
        <v>6046.1532266389</v>
      </c>
      <c r="H52" s="7" t="n">
        <f aca="false">B52*[2]'Inflation indexes'!I145</f>
        <v>568.096718042459</v>
      </c>
      <c r="I52" s="7" t="n">
        <f aca="false">D52*[2]'Inflation indexes'!I145</f>
        <v>496.615265238054</v>
      </c>
      <c r="J52" s="2" t="n">
        <f aca="false">E52*[2]'Inflation indexes'!I145</f>
        <v>739.393602089421</v>
      </c>
      <c r="K52" s="7" t="n">
        <f aca="false">C52*[2]'Inflation indexes'!I145</f>
        <v>561.000665535033</v>
      </c>
      <c r="R52" s="8" t="n">
        <f aca="false">R48+1</f>
        <v>2027</v>
      </c>
      <c r="S52" s="9" t="n">
        <f aca="false">[2]'Retirement benefit values'!R53</f>
        <v>7057.82916684075</v>
      </c>
      <c r="T52" s="8" t="n">
        <v>639.2889694729</v>
      </c>
      <c r="U52" s="8" t="n">
        <v>628.8078241021</v>
      </c>
      <c r="V52" s="8" t="n">
        <v>559.0733864769</v>
      </c>
      <c r="W52" s="8" t="n">
        <v>836.4114061985</v>
      </c>
      <c r="X52" s="8" t="n">
        <f aca="false">X48+1</f>
        <v>2027</v>
      </c>
      <c r="Y52" s="3" t="n">
        <f aca="false">S52*[2]'Inflation indexes'!I145</f>
        <v>6546.56093222285</v>
      </c>
      <c r="Z52" s="3" t="n">
        <f aca="false">T52*[2]'Inflation indexes'!I145</f>
        <v>592.978958971553</v>
      </c>
      <c r="AA52" s="3" t="n">
        <f aca="false">V52*[2]'Inflation indexes'!I145</f>
        <v>518.574182462609</v>
      </c>
      <c r="AB52" s="3" t="n">
        <f aca="false">W52*[2]'Inflation indexes'!I145</f>
        <v>775.821871803067</v>
      </c>
      <c r="AC52" s="3" t="n">
        <f aca="false">U52*[2]'Inflation indexes'!I145</f>
        <v>583.25706641969</v>
      </c>
      <c r="AJ52" s="7" t="n">
        <f aca="false">AJ48+1</f>
        <v>2027</v>
      </c>
      <c r="AK52" s="6" t="n">
        <f aca="false">[2]'Retirement benefit values'!AO53</f>
        <v>7690.5012424482</v>
      </c>
      <c r="AL52" s="7" t="n">
        <v>656.6733308309</v>
      </c>
      <c r="AM52" s="7" t="n">
        <v>648.3741328611</v>
      </c>
      <c r="AN52" s="7" t="n">
        <v>576.2285618621</v>
      </c>
      <c r="AO52" s="7" t="n">
        <v>899.3860826119</v>
      </c>
      <c r="AP52" s="7" t="n">
        <f aca="false">AP48+1</f>
        <v>2027</v>
      </c>
      <c r="AQ52" s="2" t="n">
        <f aca="false">AK52*[2]'Inflation indexes'!I145</f>
        <v>7133.4023242672</v>
      </c>
      <c r="AR52" s="2" t="n">
        <f aca="false">AL52*[2]'Inflation indexes'!I145</f>
        <v>609.103999434791</v>
      </c>
      <c r="AS52" s="2" t="n">
        <f aca="false">AN52*[2]'Inflation indexes'!I145</f>
        <v>534.486639155359</v>
      </c>
      <c r="AT52" s="2" t="n">
        <f aca="false">AO52*[2]'Inflation indexes'!I145</f>
        <v>834.234670778745</v>
      </c>
      <c r="AU52" s="2" t="n">
        <f aca="false">AM52*[2]'Inflation indexes'!I145</f>
        <v>601.405994295599</v>
      </c>
    </row>
    <row r="53" customFormat="false" ht="15" hidden="false" customHeight="false" outlineLevel="0" collapsed="false">
      <c r="A53" s="6" t="n">
        <f aca="false">[2]'Retirement benefit values'!B54</f>
        <v>6506.2773443562</v>
      </c>
      <c r="B53" s="7" t="n">
        <v>485.5170980552</v>
      </c>
      <c r="C53" s="7" t="n">
        <v>482.0144414019</v>
      </c>
      <c r="D53" s="7" t="n">
        <v>406.7352591118</v>
      </c>
      <c r="E53" s="7" t="n">
        <v>682.6684965413</v>
      </c>
      <c r="F53" s="7" t="n">
        <f aca="false">F49+1</f>
        <v>2027</v>
      </c>
      <c r="G53" s="4" t="n">
        <f aca="false">A53*[2]'Inflation indexes'!I146</f>
        <v>6034.96345262702</v>
      </c>
      <c r="H53" s="7" t="n">
        <f aca="false">B53*[2]'Inflation indexes'!I146</f>
        <v>450.346302087833</v>
      </c>
      <c r="I53" s="7" t="n">
        <f aca="false">D53*[2]'Inflation indexes'!I146</f>
        <v>377.271409397224</v>
      </c>
      <c r="J53" s="2" t="n">
        <f aca="false">E53*[2]'Inflation indexes'!I146</f>
        <v>633.216078693652</v>
      </c>
      <c r="K53" s="7" t="n">
        <f aca="false">C53*[2]'Inflation indexes'!I146</f>
        <v>447.09737743077</v>
      </c>
      <c r="R53" s="8" t="n">
        <f aca="false">R49+1</f>
        <v>2027</v>
      </c>
      <c r="S53" s="9" t="n">
        <f aca="false">[2]'Retirement benefit values'!R54</f>
        <v>7055.30432699005</v>
      </c>
      <c r="T53" s="8" t="n">
        <v>500.4501111619</v>
      </c>
      <c r="U53" s="8" t="n">
        <v>500.685808837</v>
      </c>
      <c r="V53" s="8" t="n">
        <v>433.6155226676</v>
      </c>
      <c r="W53" s="8" t="n">
        <v>695.0996928244</v>
      </c>
      <c r="X53" s="8" t="n">
        <f aca="false">X49+1</f>
        <v>2027</v>
      </c>
      <c r="Y53" s="3" t="n">
        <f aca="false">S53*[2]'Inflation indexes'!I146</f>
        <v>6544.21899144531</v>
      </c>
      <c r="Z53" s="3" t="n">
        <f aca="false">T53*[2]'Inflation indexes'!I146</f>
        <v>464.197569650951</v>
      </c>
      <c r="AA53" s="3" t="n">
        <f aca="false">V53*[2]'Inflation indexes'!I146</f>
        <v>402.204470127713</v>
      </c>
      <c r="AB53" s="3" t="n">
        <f aca="false">W53*[2]'Inflation indexes'!I146</f>
        <v>644.74676072122</v>
      </c>
      <c r="AC53" s="3" t="n">
        <f aca="false">U53*[2]'Inflation indexes'!I146</f>
        <v>464.416193416865</v>
      </c>
      <c r="AJ53" s="7" t="n">
        <f aca="false">AJ49+1</f>
        <v>2027</v>
      </c>
      <c r="AK53" s="6" t="n">
        <f aca="false">[2]'Retirement benefit values'!AO54</f>
        <v>7735.2585111649</v>
      </c>
      <c r="AL53" s="7" t="n">
        <v>523.5483230137</v>
      </c>
      <c r="AM53" s="7" t="n">
        <v>520.4420106545</v>
      </c>
      <c r="AN53" s="7" t="n">
        <v>456.9141746563</v>
      </c>
      <c r="AO53" s="7" t="n">
        <v>767.759183708</v>
      </c>
      <c r="AP53" s="7" t="n">
        <f aca="false">AP49+1</f>
        <v>2027</v>
      </c>
      <c r="AQ53" s="2" t="n">
        <f aca="false">AK53*[2]'Inflation indexes'!I146</f>
        <v>7174.91738221028</v>
      </c>
      <c r="AR53" s="2" t="n">
        <f aca="false">AL53*[2]'Inflation indexes'!I146</f>
        <v>485.622550015117</v>
      </c>
      <c r="AS53" s="2" t="n">
        <f aca="false">AN53*[2]'Inflation indexes'!I146</f>
        <v>423.815370771112</v>
      </c>
      <c r="AT53" s="2" t="n">
        <f aca="false">AO53*[2]'Inflation indexes'!I146</f>
        <v>712.142807455898</v>
      </c>
      <c r="AU53" s="2" t="n">
        <f aca="false">AM53*[2]'Inflation indexes'!I146</f>
        <v>482.741258522606</v>
      </c>
    </row>
    <row r="54" customFormat="false" ht="15" hidden="false" customHeight="false" outlineLevel="0" collapsed="false">
      <c r="A54" s="6" t="n">
        <f aca="false">[2]'Retirement benefit values'!B55</f>
        <v>6489.0943856201</v>
      </c>
      <c r="B54" s="7" t="n">
        <v>485.1576469722</v>
      </c>
      <c r="C54" s="7" t="n">
        <v>480.1111406095</v>
      </c>
      <c r="D54" s="7" t="n">
        <v>409.9878321743</v>
      </c>
      <c r="E54" s="7" t="n">
        <v>656.6337444984</v>
      </c>
      <c r="F54" s="7" t="n">
        <f aca="false">F50+1</f>
        <v>2027</v>
      </c>
      <c r="G54" s="4" t="n">
        <f aca="false">A54*[2]'Inflation indexes'!I147</f>
        <v>6019.02522520572</v>
      </c>
      <c r="H54" s="7" t="n">
        <f aca="false">B54*[2]'Inflation indexes'!I147</f>
        <v>450.012889594928</v>
      </c>
      <c r="I54" s="7" t="n">
        <f aca="false">D54*[2]'Inflation indexes'!I147</f>
        <v>380.288366486552</v>
      </c>
      <c r="J54" s="2" t="n">
        <f aca="false">E54*[2]'Inflation indexes'!I147</f>
        <v>609.067280731112</v>
      </c>
      <c r="K54" s="7" t="n">
        <f aca="false">C54*[2]'Inflation indexes'!I147</f>
        <v>445.331951502308</v>
      </c>
      <c r="R54" s="8" t="n">
        <f aca="false">R50+1</f>
        <v>2027</v>
      </c>
      <c r="S54" s="9" t="n">
        <f aca="false">[2]'Retirement benefit values'!R55</f>
        <v>7081.54724339686</v>
      </c>
      <c r="T54" s="8" t="n">
        <v>502.4949123556</v>
      </c>
      <c r="U54" s="8" t="n">
        <v>505.6891248091</v>
      </c>
      <c r="V54" s="8" t="n">
        <v>437.9503413872</v>
      </c>
      <c r="W54" s="8" t="n">
        <v>727.935138958</v>
      </c>
      <c r="X54" s="8" t="n">
        <f aca="false">X50+1</f>
        <v>2027</v>
      </c>
      <c r="Y54" s="3" t="n">
        <f aca="false">S54*[2]'Inflation indexes'!I147</f>
        <v>6568.56087437209</v>
      </c>
      <c r="Z54" s="3" t="n">
        <f aca="false">T54*[2]'Inflation indexes'!I147</f>
        <v>466.094245709892</v>
      </c>
      <c r="AA54" s="3" t="n">
        <f aca="false">V54*[2]'Inflation indexes'!I147</f>
        <v>406.225275138314</v>
      </c>
      <c r="AB54" s="3" t="n">
        <f aca="false">W54*[2]'Inflation indexes'!I147</f>
        <v>675.203611371595</v>
      </c>
      <c r="AC54" s="3" t="n">
        <f aca="false">U54*[2]'Inflation indexes'!I147</f>
        <v>469.057069825209</v>
      </c>
      <c r="AJ54" s="7" t="n">
        <f aca="false">AJ50+1</f>
        <v>2027</v>
      </c>
      <c r="AK54" s="6" t="n">
        <f aca="false">[2]'Retirement benefit values'!AO55</f>
        <v>7750.6249166488</v>
      </c>
      <c r="AL54" s="7" t="n">
        <v>515.5611543681</v>
      </c>
      <c r="AM54" s="7" t="n">
        <v>514.0616960501</v>
      </c>
      <c r="AN54" s="7" t="n">
        <v>446.0390224013</v>
      </c>
      <c r="AO54" s="7" t="n">
        <v>792.7216733706</v>
      </c>
      <c r="AP54" s="7" t="n">
        <f aca="false">AP50+1</f>
        <v>2027</v>
      </c>
      <c r="AQ54" s="2" t="n">
        <f aca="false">AK54*[2]'Inflation indexes'!I147</f>
        <v>7189.17064726269</v>
      </c>
      <c r="AR54" s="2" t="n">
        <f aca="false">AL54*[2]'Inflation indexes'!I147</f>
        <v>478.213970836122</v>
      </c>
      <c r="AS54" s="2" t="n">
        <f aca="false">AN54*[2]'Inflation indexes'!I147</f>
        <v>413.728013142927</v>
      </c>
      <c r="AT54" s="2" t="n">
        <f aca="false">AO54*[2]'Inflation indexes'!I147</f>
        <v>735.297017586681</v>
      </c>
      <c r="AU54" s="2" t="n">
        <f aca="false">AM54*[2]'Inflation indexes'!I147</f>
        <v>476.823133085297</v>
      </c>
    </row>
    <row r="55" customFormat="false" ht="15" hidden="false" customHeight="false" outlineLevel="0" collapsed="false">
      <c r="A55" s="6" t="n">
        <f aca="false">[2]'Retirement benefit values'!B56</f>
        <v>6486.6106530738</v>
      </c>
      <c r="B55" s="7" t="n">
        <v>491.9362099094</v>
      </c>
      <c r="C55" s="7" t="n">
        <v>482.9660680266</v>
      </c>
      <c r="D55" s="7" t="n">
        <v>413.5327187939</v>
      </c>
      <c r="E55" s="7" t="n">
        <v>662.7421546964</v>
      </c>
      <c r="F55" s="7" t="n">
        <f aca="false">F51+1</f>
        <v>2027</v>
      </c>
      <c r="G55" s="4" t="n">
        <f aca="false">A55*[2]'Inflation indexes'!I148</f>
        <v>6016.72141392476</v>
      </c>
      <c r="H55" s="7" t="n">
        <f aca="false">B55*[2]'Inflation indexes'!I148</f>
        <v>456.300414307169</v>
      </c>
      <c r="I55" s="7" t="n">
        <f aca="false">D55*[2]'Inflation indexes'!I148</f>
        <v>383.576461976602</v>
      </c>
      <c r="J55" s="2" t="n">
        <f aca="false">E55*[2]'Inflation indexes'!I148</f>
        <v>614.733198482153</v>
      </c>
      <c r="K55" s="7" t="n">
        <f aca="false">C55*[2]'Inflation indexes'!I148</f>
        <v>447.980068345506</v>
      </c>
      <c r="R55" s="8" t="n">
        <f aca="false">R51+1</f>
        <v>2027</v>
      </c>
      <c r="S55" s="9" t="n">
        <f aca="false">[2]'Retirement benefit values'!R56</f>
        <v>7091.75700598893</v>
      </c>
      <c r="T55" s="8" t="n">
        <v>499.9998344527</v>
      </c>
      <c r="U55" s="8" t="n">
        <v>502.9147410307</v>
      </c>
      <c r="V55" s="8" t="n">
        <v>438.427781172</v>
      </c>
      <c r="W55" s="8" t="n">
        <v>707.2912870977</v>
      </c>
      <c r="X55" s="8" t="n">
        <f aca="false">X51+1</f>
        <v>2027</v>
      </c>
      <c r="Y55" s="3" t="n">
        <f aca="false">S55*[2]'Inflation indexes'!I148</f>
        <v>6578.03104307871</v>
      </c>
      <c r="Z55" s="3" t="n">
        <f aca="false">T55*[2]'Inflation indexes'!I148</f>
        <v>463.779910928495</v>
      </c>
      <c r="AA55" s="3" t="n">
        <f aca="false">V55*[2]'Inflation indexes'!I148</f>
        <v>406.668129246677</v>
      </c>
      <c r="AB55" s="3" t="n">
        <f aca="false">W55*[2]'Inflation indexes'!I148</f>
        <v>656.055197477677</v>
      </c>
      <c r="AC55" s="3" t="n">
        <f aca="false">U55*[2]'Inflation indexes'!I148</f>
        <v>466.483662049912</v>
      </c>
      <c r="AJ55" s="7" t="n">
        <f aca="false">AJ51+1</f>
        <v>2027</v>
      </c>
      <c r="AK55" s="6" t="n">
        <f aca="false">[2]'Retirement benefit values'!AO56</f>
        <v>7808.0787986511</v>
      </c>
      <c r="AL55" s="7" t="n">
        <v>513.2426070076</v>
      </c>
      <c r="AM55" s="7" t="n">
        <v>515.1502628975</v>
      </c>
      <c r="AN55" s="7" t="n">
        <v>448.6819368454</v>
      </c>
      <c r="AO55" s="7" t="n">
        <v>767.3769068306</v>
      </c>
      <c r="AP55" s="7" t="n">
        <f aca="false">AP51+1</f>
        <v>2027</v>
      </c>
      <c r="AQ55" s="2" t="n">
        <f aca="false">AK55*[2]'Inflation indexes'!I148</f>
        <v>7242.46257746241</v>
      </c>
      <c r="AR55" s="2" t="n">
        <f aca="false">AL55*[2]'Inflation indexes'!I148</f>
        <v>476.0633787474</v>
      </c>
      <c r="AS55" s="2" t="n">
        <f aca="false">AN55*[2]'Inflation indexes'!I148</f>
        <v>416.179475205545</v>
      </c>
      <c r="AT55" s="2" t="n">
        <f aca="false">AO55*[2]'Inflation indexes'!I148</f>
        <v>711.788222666196</v>
      </c>
      <c r="AU55" s="2" t="n">
        <f aca="false">AM55*[2]'Inflation indexes'!I148</f>
        <v>477.832844290661</v>
      </c>
    </row>
    <row r="56" customFormat="false" ht="15" hidden="false" customHeight="false" outlineLevel="0" collapsed="false">
      <c r="A56" s="6" t="n">
        <f aca="false">[2]'Retirement benefit values'!B57</f>
        <v>6480.8523799903</v>
      </c>
      <c r="B56" s="7" t="n">
        <v>605.0965359401</v>
      </c>
      <c r="C56" s="7" t="n">
        <v>592.1894402863</v>
      </c>
      <c r="D56" s="7" t="n">
        <v>521.852819941</v>
      </c>
      <c r="E56" s="7" t="n">
        <v>769.9802206422</v>
      </c>
      <c r="F56" s="7" t="n">
        <f aca="false">F52+1</f>
        <v>2028</v>
      </c>
      <c r="G56" s="4" t="n">
        <f aca="false">A56*[2]'Inflation indexes'!I149</f>
        <v>6011.3802694008</v>
      </c>
      <c r="H56" s="7" t="n">
        <f aca="false">B56*[2]'Inflation indexes'!I149</f>
        <v>561.263420914169</v>
      </c>
      <c r="I56" s="7" t="n">
        <f aca="false">D56*[2]'Inflation indexes'!I149</f>
        <v>484.04986896634</v>
      </c>
      <c r="J56" s="2" t="n">
        <f aca="false">E56*[2]'Inflation indexes'!I149</f>
        <v>714.202952761026</v>
      </c>
      <c r="K56" s="7" t="n">
        <f aca="false">C56*[2]'Inflation indexes'!I149</f>
        <v>549.291313604939</v>
      </c>
      <c r="R56" s="8" t="n">
        <f aca="false">R52+1</f>
        <v>2028</v>
      </c>
      <c r="S56" s="9" t="n">
        <f aca="false">[2]'Retirement benefit values'!R57</f>
        <v>7097.37733011971</v>
      </c>
      <c r="T56" s="8" t="n">
        <v>634.977855003</v>
      </c>
      <c r="U56" s="8" t="n">
        <v>629.4484467502</v>
      </c>
      <c r="V56" s="8" t="n">
        <v>558.7412851655</v>
      </c>
      <c r="W56" s="8" t="n">
        <v>853.8146768597</v>
      </c>
      <c r="X56" s="8" t="n">
        <f aca="false">X52+1</f>
        <v>2028</v>
      </c>
      <c r="Y56" s="3" t="n">
        <f aca="false">S56*[2]'Inflation indexes'!I149</f>
        <v>6583.24423165429</v>
      </c>
      <c r="Z56" s="3" t="n">
        <f aca="false">T56*[2]'Inflation indexes'!I149</f>
        <v>588.98014107786</v>
      </c>
      <c r="AA56" s="3" t="n">
        <f aca="false">V56*[2]'Inflation indexes'!I149</f>
        <v>518.266138527377</v>
      </c>
      <c r="AB56" s="3" t="n">
        <f aca="false">W56*[2]'Inflation indexes'!I149</f>
        <v>791.96445178202</v>
      </c>
      <c r="AC56" s="3" t="n">
        <f aca="false">U56*[2]'Inflation indexes'!I149</f>
        <v>583.851282445781</v>
      </c>
      <c r="AJ56" s="7" t="n">
        <f aca="false">AJ52+1</f>
        <v>2028</v>
      </c>
      <c r="AK56" s="6" t="n">
        <f aca="false">[2]'Retirement benefit values'!AO57</f>
        <v>7807.0859928327</v>
      </c>
      <c r="AL56" s="7" t="n">
        <v>664.5657397604</v>
      </c>
      <c r="AM56" s="7" t="n">
        <v>658.1658455153</v>
      </c>
      <c r="AN56" s="7" t="n">
        <v>590.9460529932</v>
      </c>
      <c r="AO56" s="7" t="n">
        <v>902.3042899559</v>
      </c>
      <c r="AP56" s="7" t="n">
        <f aca="false">AP52+1</f>
        <v>2028</v>
      </c>
      <c r="AQ56" s="2" t="n">
        <f aca="false">AK56*[2]'Inflation indexes'!I149</f>
        <v>7241.54169036945</v>
      </c>
      <c r="AR56" s="2" t="n">
        <f aca="false">AL56*[2]'Inflation indexes'!I149</f>
        <v>616.424683279299</v>
      </c>
      <c r="AS56" s="2" t="n">
        <f aca="false">AN56*[2]'Inflation indexes'!I149</f>
        <v>548.137997126995</v>
      </c>
      <c r="AT56" s="2" t="n">
        <f aca="false">AO56*[2]'Inflation indexes'!I149</f>
        <v>836.941483559098</v>
      </c>
      <c r="AU56" s="2" t="n">
        <f aca="false">AM56*[2]'Inflation indexes'!I149</f>
        <v>610.488396547938</v>
      </c>
    </row>
    <row r="57" customFormat="false" ht="15" hidden="false" customHeight="false" outlineLevel="0" collapsed="false">
      <c r="A57" s="6" t="n">
        <f aca="false">[2]'Retirement benefit values'!B58</f>
        <v>6472.8786709326</v>
      </c>
      <c r="B57" s="7" t="n">
        <v>483.1471136705</v>
      </c>
      <c r="C57" s="7" t="n">
        <v>480.5693633098</v>
      </c>
      <c r="D57" s="7" t="n">
        <v>415.1177061248</v>
      </c>
      <c r="E57" s="7" t="n">
        <v>651.4216763277</v>
      </c>
      <c r="F57" s="7" t="n">
        <f aca="false">F53+1</f>
        <v>2028</v>
      </c>
      <c r="G57" s="4" t="n">
        <f aca="false">A57*[2]'Inflation indexes'!I150</f>
        <v>6003.98417479889</v>
      </c>
      <c r="H57" s="7" t="n">
        <f aca="false">B57*[2]'Inflation indexes'!I150</f>
        <v>448.14799906631</v>
      </c>
      <c r="I57" s="7" t="n">
        <f aca="false">D57*[2]'Inflation indexes'!I150</f>
        <v>385.046633029663</v>
      </c>
      <c r="J57" s="2" t="n">
        <f aca="false">E57*[2]'Inflation indexes'!I150</f>
        <v>604.232774106512</v>
      </c>
      <c r="K57" s="7" t="n">
        <f aca="false">C57*[2]'Inflation indexes'!I150</f>
        <v>445.756980609294</v>
      </c>
      <c r="R57" s="8" t="n">
        <f aca="false">R53+1</f>
        <v>2028</v>
      </c>
      <c r="S57" s="9" t="n">
        <f aca="false">[2]'Retirement benefit values'!R58</f>
        <v>7105.5298579836</v>
      </c>
      <c r="T57" s="8" t="n">
        <v>498.6108193256</v>
      </c>
      <c r="U57" s="8" t="n">
        <v>503.0721394934</v>
      </c>
      <c r="V57" s="8" t="n">
        <v>445.1367034473</v>
      </c>
      <c r="W57" s="8" t="n">
        <v>690.7234494141</v>
      </c>
      <c r="X57" s="8" t="n">
        <f aca="false">X53+1</f>
        <v>2028</v>
      </c>
      <c r="Y57" s="3" t="n">
        <f aca="false">S57*[2]'Inflation indexes'!I150</f>
        <v>6590.80619145113</v>
      </c>
      <c r="Z57" s="3" t="n">
        <f aca="false">T57*[2]'Inflation indexes'!I150</f>
        <v>462.491515878065</v>
      </c>
      <c r="AA57" s="3" t="n">
        <f aca="false">V57*[2]'Inflation indexes'!I150</f>
        <v>412.891058057585</v>
      </c>
      <c r="AB57" s="3" t="n">
        <f aca="false">W57*[2]'Inflation indexes'!I150</f>
        <v>640.68753181917</v>
      </c>
      <c r="AC57" s="3" t="n">
        <f aca="false">U57*[2]'Inflation indexes'!I150</f>
        <v>466.629658588273</v>
      </c>
      <c r="AJ57" s="7" t="n">
        <f aca="false">AJ53+1</f>
        <v>2028</v>
      </c>
      <c r="AK57" s="6" t="n">
        <f aca="false">[2]'Retirement benefit values'!AO58</f>
        <v>7840.192631767</v>
      </c>
      <c r="AL57" s="7" t="n">
        <v>525.6779674693</v>
      </c>
      <c r="AM57" s="7" t="n">
        <v>521.6293396004</v>
      </c>
      <c r="AN57" s="7" t="n">
        <v>463.8041560087</v>
      </c>
      <c r="AO57" s="7" t="n">
        <v>752.9542723602</v>
      </c>
      <c r="AP57" s="7" t="n">
        <f aca="false">AP53+1</f>
        <v>2028</v>
      </c>
      <c r="AQ57" s="2" t="n">
        <f aca="false">AK57*[2]'Inflation indexes'!I150</f>
        <v>7272.25008864902</v>
      </c>
      <c r="AR57" s="2" t="n">
        <f aca="false">AL57*[2]'Inflation indexes'!I150</f>
        <v>487.597923301008</v>
      </c>
      <c r="AS57" s="2" t="n">
        <f aca="false">AN57*[2]'Inflation indexes'!I150</f>
        <v>430.206242762925</v>
      </c>
      <c r="AT57" s="2" t="n">
        <f aca="false">AO57*[2]'Inflation indexes'!I150</f>
        <v>698.410361976786</v>
      </c>
      <c r="AU57" s="2" t="n">
        <f aca="false">AM57*[2]'Inflation indexes'!I150</f>
        <v>483.842577512791</v>
      </c>
    </row>
    <row r="58" customFormat="false" ht="15" hidden="false" customHeight="false" outlineLevel="0" collapsed="false">
      <c r="A58" s="6" t="n">
        <f aca="false">[2]'Retirement benefit values'!B59</f>
        <v>6449.8823356067</v>
      </c>
      <c r="B58" s="7" t="n">
        <v>485.3836923026</v>
      </c>
      <c r="C58" s="7" t="n">
        <v>481.596954106</v>
      </c>
      <c r="D58" s="7" t="n">
        <v>419.2223883062</v>
      </c>
      <c r="E58" s="7" t="n">
        <v>655.5811627892</v>
      </c>
      <c r="F58" s="7" t="n">
        <f aca="false">F54+1</f>
        <v>2028</v>
      </c>
      <c r="G58" s="4" t="n">
        <f aca="false">A58*[2]'Inflation indexes'!I151</f>
        <v>5982.65369103823</v>
      </c>
      <c r="H58" s="7" t="n">
        <f aca="false">B58*[2]'Inflation indexes'!I151</f>
        <v>450.222560230746</v>
      </c>
      <c r="I58" s="7" t="n">
        <f aca="false">D58*[2]'Inflation indexes'!I151</f>
        <v>388.853972563211</v>
      </c>
      <c r="J58" s="2" t="n">
        <f aca="false">E58*[2]'Inflation indexes'!I151</f>
        <v>608.090947905178</v>
      </c>
      <c r="K58" s="7" t="n">
        <f aca="false">C58*[2]'Inflation indexes'!I151</f>
        <v>446.710132860743</v>
      </c>
      <c r="R58" s="8" t="n">
        <f aca="false">R54+1</f>
        <v>2028</v>
      </c>
      <c r="S58" s="9" t="n">
        <f aca="false">[2]'Retirement benefit values'!R59</f>
        <v>7114.26976875421</v>
      </c>
      <c r="T58" s="8" t="n">
        <v>498.5256063971</v>
      </c>
      <c r="U58" s="8" t="n">
        <v>501.4000103999</v>
      </c>
      <c r="V58" s="8" t="n">
        <v>436.316660337</v>
      </c>
      <c r="W58" s="8" t="n">
        <v>700.4621916501</v>
      </c>
      <c r="X58" s="8" t="n">
        <f aca="false">X54+1</f>
        <v>2028</v>
      </c>
      <c r="Y58" s="3" t="n">
        <f aca="false">S58*[2]'Inflation indexes'!I151</f>
        <v>6598.91298421268</v>
      </c>
      <c r="Z58" s="3" t="n">
        <f aca="false">T58*[2]'Inflation indexes'!I151</f>
        <v>462.412475763116</v>
      </c>
      <c r="AA58" s="3" t="n">
        <f aca="false">V58*[2]'Inflation indexes'!I151</f>
        <v>404.709937732699</v>
      </c>
      <c r="AB58" s="3" t="n">
        <f aca="false">W58*[2]'Inflation indexes'!I151</f>
        <v>649.720800823572</v>
      </c>
      <c r="AC58" s="3" t="n">
        <f aca="false">U58*[2]'Inflation indexes'!I151</f>
        <v>465.078658310657</v>
      </c>
      <c r="AJ58" s="7" t="n">
        <f aca="false">AJ54+1</f>
        <v>2028</v>
      </c>
      <c r="AK58" s="6" t="n">
        <f aca="false">[2]'Retirement benefit values'!AO59</f>
        <v>7885.5696457495</v>
      </c>
      <c r="AL58" s="7" t="n">
        <v>515.881077009</v>
      </c>
      <c r="AM58" s="7" t="n">
        <v>513.114743929</v>
      </c>
      <c r="AN58" s="7" t="n">
        <v>448.5628978151</v>
      </c>
      <c r="AO58" s="7" t="n">
        <v>755.4624681363</v>
      </c>
      <c r="AP58" s="7" t="n">
        <f aca="false">AP54+1</f>
        <v>2028</v>
      </c>
      <c r="AQ58" s="2" t="n">
        <f aca="false">AK58*[2]'Inflation indexes'!I151</f>
        <v>7314.33999759077</v>
      </c>
      <c r="AR58" s="2" t="n">
        <f aca="false">AL58*[2]'Inflation indexes'!I151</f>
        <v>478.510718322175</v>
      </c>
      <c r="AS58" s="2" t="n">
        <f aca="false">AN58*[2]'Inflation indexes'!I151</f>
        <v>416.069059347248</v>
      </c>
      <c r="AT58" s="2" t="n">
        <f aca="false">AO58*[2]'Inflation indexes'!I151</f>
        <v>700.73686437434</v>
      </c>
      <c r="AU58" s="2" t="n">
        <f aca="false">AM58*[2]'Inflation indexes'!I151</f>
        <v>475.944778053724</v>
      </c>
    </row>
    <row r="59" customFormat="false" ht="15" hidden="false" customHeight="false" outlineLevel="0" collapsed="false">
      <c r="A59" s="6" t="n">
        <f aca="false">[2]'Retirement benefit values'!B60</f>
        <v>6457.3798110006</v>
      </c>
      <c r="B59" s="7" t="n">
        <v>488.6089045024</v>
      </c>
      <c r="C59" s="7" t="n">
        <v>483.5240986161</v>
      </c>
      <c r="D59" s="7" t="n">
        <v>416.0234205398</v>
      </c>
      <c r="E59" s="7" t="n">
        <v>671.9489309925</v>
      </c>
      <c r="F59" s="7" t="n">
        <f aca="false">F55+1</f>
        <v>2028</v>
      </c>
      <c r="G59" s="4" t="n">
        <f aca="false">A59*[2]'Inflation indexes'!I152</f>
        <v>5989.60805028152</v>
      </c>
      <c r="H59" s="7" t="n">
        <f aca="false">B59*[2]'Inflation indexes'!I152</f>
        <v>453.214138474739</v>
      </c>
      <c r="I59" s="7" t="n">
        <f aca="false">D59*[2]'Inflation indexes'!I152</f>
        <v>385.886737609247</v>
      </c>
      <c r="J59" s="2" t="n">
        <f aca="false">E59*[2]'Inflation indexes'!I152</f>
        <v>623.273037090735</v>
      </c>
      <c r="K59" s="7" t="n">
        <f aca="false">C59*[2]'Inflation indexes'!I152</f>
        <v>448.49767527107</v>
      </c>
      <c r="R59" s="8" t="n">
        <f aca="false">R55+1</f>
        <v>2028</v>
      </c>
      <c r="S59" s="9" t="n">
        <f aca="false">[2]'Retirement benefit values'!R60</f>
        <v>7121.34285061712</v>
      </c>
      <c r="T59" s="8" t="n">
        <v>497.8525013072</v>
      </c>
      <c r="U59" s="8" t="n">
        <v>501.4931836235</v>
      </c>
      <c r="V59" s="8" t="n">
        <v>434.3269916038</v>
      </c>
      <c r="W59" s="8" t="n">
        <v>709.9202591186</v>
      </c>
      <c r="X59" s="8" t="n">
        <f aca="false">X55+1</f>
        <v>2028</v>
      </c>
      <c r="Y59" s="3" t="n">
        <f aca="false">S59*[2]'Inflation indexes'!I152</f>
        <v>6605.47369293764</v>
      </c>
      <c r="Z59" s="3" t="n">
        <f aca="false">T59*[2]'Inflation indexes'!I152</f>
        <v>461.78813031912</v>
      </c>
      <c r="AA59" s="3" t="n">
        <f aca="false">V59*[2]'Inflation indexes'!I152</f>
        <v>402.864400345931</v>
      </c>
      <c r="AB59" s="3" t="n">
        <f aca="false">W59*[2]'Inflation indexes'!I152</f>
        <v>658.493727104434</v>
      </c>
      <c r="AC59" s="3" t="n">
        <f aca="false">U59*[2]'Inflation indexes'!I152</f>
        <v>465.165082077955</v>
      </c>
      <c r="AJ59" s="7" t="n">
        <f aca="false">AJ55+1</f>
        <v>2028</v>
      </c>
      <c r="AK59" s="6" t="n">
        <f aca="false">[2]'Retirement benefit values'!AO60</f>
        <v>7923.0122317364</v>
      </c>
      <c r="AL59" s="7" t="n">
        <v>522.895959075</v>
      </c>
      <c r="AM59" s="7" t="n">
        <v>524.0345141778</v>
      </c>
      <c r="AN59" s="7" t="n">
        <v>459.5274267876</v>
      </c>
      <c r="AO59" s="7" t="n">
        <v>775.1463493901</v>
      </c>
      <c r="AP59" s="7" t="n">
        <f aca="false">AP55+1</f>
        <v>2028</v>
      </c>
      <c r="AQ59" s="2" t="n">
        <f aca="false">AK59*[2]'Inflation indexes'!I152</f>
        <v>7349.07024747764</v>
      </c>
      <c r="AR59" s="2" t="n">
        <f aca="false">AL59*[2]'Inflation indexes'!I152</f>
        <v>485.017443236003</v>
      </c>
      <c r="AS59" s="2" t="n">
        <f aca="false">AN59*[2]'Inflation indexes'!I152</f>
        <v>426.239319255044</v>
      </c>
      <c r="AT59" s="2" t="n">
        <f aca="false">AO59*[2]'Inflation indexes'!I152</f>
        <v>718.994847808689</v>
      </c>
      <c r="AU59" s="2" t="n">
        <f aca="false">AM59*[2]'Inflation indexes'!I152</f>
        <v>486.073521553993</v>
      </c>
    </row>
    <row r="60" customFormat="false" ht="15" hidden="false" customHeight="false" outlineLevel="0" collapsed="false">
      <c r="A60" s="6" t="n">
        <f aca="false">[2]'Retirement benefit values'!B61</f>
        <v>6435.9926402876</v>
      </c>
      <c r="B60" s="7" t="n">
        <v>609.0825911798</v>
      </c>
      <c r="C60" s="7" t="n">
        <v>594.9801379899</v>
      </c>
      <c r="D60" s="7" t="n">
        <v>526.3284705781</v>
      </c>
      <c r="E60" s="7" t="n">
        <v>783.5188217825</v>
      </c>
      <c r="F60" s="7" t="n">
        <f aca="false">F56+1</f>
        <v>2029</v>
      </c>
      <c r="G60" s="4" t="n">
        <f aca="false">A60*[2]'Inflation indexes'!I153</f>
        <v>5969.77016345673</v>
      </c>
      <c r="H60" s="7" t="n">
        <f aca="false">B60*[2]'Inflation indexes'!I153</f>
        <v>564.960726826375</v>
      </c>
      <c r="I60" s="7" t="n">
        <f aca="false">D60*[2]'Inflation indexes'!I153</f>
        <v>488.2013040485</v>
      </c>
      <c r="J60" s="2" t="n">
        <f aca="false">E60*[2]'Inflation indexes'!I153</f>
        <v>726.760819380757</v>
      </c>
      <c r="K60" s="7" t="n">
        <f aca="false">C60*[2]'Inflation indexes'!I153</f>
        <v>551.879853526798</v>
      </c>
      <c r="R60" s="8" t="n">
        <f aca="false">R56+1</f>
        <v>2029</v>
      </c>
      <c r="S60" s="9" t="n">
        <f aca="false">[2]'Retirement benefit values'!R61</f>
        <v>7115.6899420418</v>
      </c>
      <c r="T60" s="8" t="n">
        <v>632.3998901273</v>
      </c>
      <c r="U60" s="8" t="n">
        <v>632.1766782765</v>
      </c>
      <c r="V60" s="8" t="n">
        <v>562.4456190313</v>
      </c>
      <c r="W60" s="8" t="n">
        <v>866.9589825288</v>
      </c>
      <c r="X60" s="8" t="n">
        <f aca="false">X56+1</f>
        <v>2029</v>
      </c>
      <c r="Y60" s="3" t="n">
        <f aca="false">S60*[2]'Inflation indexes'!I153</f>
        <v>6600.23028033047</v>
      </c>
      <c r="Z60" s="3" t="n">
        <f aca="false">T60*[2]'Inflation indexes'!I153</f>
        <v>586.588923645283</v>
      </c>
      <c r="AA60" s="3" t="n">
        <f aca="false">V60*[2]'Inflation indexes'!I153</f>
        <v>521.702130925675</v>
      </c>
      <c r="AB60" s="3" t="n">
        <f aca="false">W60*[2]'Inflation indexes'!I153</f>
        <v>804.156585643634</v>
      </c>
      <c r="AC60" s="3" t="n">
        <f aca="false">U60*[2]'Inflation indexes'!I153</f>
        <v>586.381881232168</v>
      </c>
      <c r="AJ60" s="7" t="n">
        <f aca="false">AJ56+1</f>
        <v>2029</v>
      </c>
      <c r="AK60" s="6" t="n">
        <f aca="false">[2]'Retirement benefit values'!AO61</f>
        <v>7951.4958077401</v>
      </c>
      <c r="AL60" s="7" t="n">
        <v>670.2417202831</v>
      </c>
      <c r="AM60" s="7" t="n">
        <v>657.6542978698</v>
      </c>
      <c r="AN60" s="7" t="n">
        <v>585.9246547775</v>
      </c>
      <c r="AO60" s="7" t="n">
        <v>906.5594607273</v>
      </c>
      <c r="AP60" s="7" t="n">
        <f aca="false">AP56+1</f>
        <v>2029</v>
      </c>
      <c r="AQ60" s="2" t="n">
        <f aca="false">AK60*[2]'Inflation indexes'!I153</f>
        <v>7375.49047690908</v>
      </c>
      <c r="AR60" s="2" t="n">
        <f aca="false">AL60*[2]'Inflation indexes'!I153</f>
        <v>621.68949650495</v>
      </c>
      <c r="AS60" s="2" t="n">
        <f aca="false">AN60*[2]'Inflation indexes'!I153</f>
        <v>543.480348350445</v>
      </c>
      <c r="AT60" s="2" t="n">
        <f aca="false">AO60*[2]'Inflation indexes'!I153</f>
        <v>840.888410308595</v>
      </c>
      <c r="AU60" s="2" t="n">
        <f aca="false">AM60*[2]'Inflation indexes'!I153</f>
        <v>610.013905347905</v>
      </c>
    </row>
    <row r="61" customFormat="false" ht="15" hidden="false" customHeight="false" outlineLevel="0" collapsed="false">
      <c r="A61" s="6" t="n">
        <f aca="false">[2]'Retirement benefit values'!B62</f>
        <v>6442.2844891625</v>
      </c>
      <c r="B61" s="7" t="n">
        <v>485.5172523286</v>
      </c>
      <c r="C61" s="7" t="n">
        <v>482.7541751969</v>
      </c>
      <c r="D61" s="7" t="n">
        <v>418.8238506713</v>
      </c>
      <c r="E61" s="7" t="n">
        <v>671.7311961129</v>
      </c>
      <c r="F61" s="7" t="n">
        <f aca="false">F57+1</f>
        <v>2029</v>
      </c>
      <c r="G61" s="4" t="n">
        <f aca="false">A61*[2]'Inflation indexes'!I154</f>
        <v>5975.60623161057</v>
      </c>
      <c r="H61" s="7" t="n">
        <f aca="false">B61*[2]'Inflation indexes'!I154</f>
        <v>450.346445185688</v>
      </c>
      <c r="I61" s="7" t="n">
        <f aca="false">D61*[2]'Inflation indexes'!I154</f>
        <v>388.484304943185</v>
      </c>
      <c r="J61" s="2" t="n">
        <f aca="false">E61*[2]'Inflation indexes'!I154</f>
        <v>623.071074897733</v>
      </c>
      <c r="K61" s="7" t="n">
        <f aca="false">C61*[2]'Inflation indexes'!I154</f>
        <v>447.783525005062</v>
      </c>
      <c r="R61" s="8" t="n">
        <f aca="false">R57+1</f>
        <v>2029</v>
      </c>
      <c r="S61" s="9" t="n">
        <f aca="false">[2]'Retirement benefit values'!R62</f>
        <v>7128.6886905909</v>
      </c>
      <c r="T61" s="8" t="n">
        <v>507.4607622465</v>
      </c>
      <c r="U61" s="8" t="n">
        <v>502.3887716444</v>
      </c>
      <c r="V61" s="8" t="n">
        <v>436.3074126548</v>
      </c>
      <c r="W61" s="8" t="n">
        <v>721.6414233481</v>
      </c>
      <c r="X61" s="8" t="n">
        <f aca="false">X57+1</f>
        <v>2029</v>
      </c>
      <c r="Y61" s="3" t="n">
        <f aca="false">S61*[2]'Inflation indexes'!I154</f>
        <v>6612.28740121109</v>
      </c>
      <c r="Z61" s="3" t="n">
        <f aca="false">T61*[2]'Inflation indexes'!I154</f>
        <v>470.700370075127</v>
      </c>
      <c r="AA61" s="3" t="n">
        <f aca="false">V61*[2]'Inflation indexes'!I154</f>
        <v>404.701359951405</v>
      </c>
      <c r="AB61" s="3" t="n">
        <f aca="false">W61*[2]'Inflation indexes'!I154</f>
        <v>669.365811708794</v>
      </c>
      <c r="AC61" s="3" t="n">
        <f aca="false">U61*[2]'Inflation indexes'!I154</f>
        <v>465.995793818123</v>
      </c>
      <c r="AJ61" s="7" t="n">
        <f aca="false">AJ57+1</f>
        <v>2029</v>
      </c>
      <c r="AK61" s="6" t="n">
        <f aca="false">[2]'Retirement benefit values'!AO62</f>
        <v>7959.5688904876</v>
      </c>
      <c r="AL61" s="7" t="n">
        <v>530.5134986372</v>
      </c>
      <c r="AM61" s="7" t="n">
        <v>526.3234110329</v>
      </c>
      <c r="AN61" s="7" t="n">
        <v>456.6891018871</v>
      </c>
      <c r="AO61" s="7" t="n">
        <v>774.2679962654</v>
      </c>
      <c r="AP61" s="7" t="n">
        <f aca="false">AP57+1</f>
        <v>2029</v>
      </c>
      <c r="AQ61" s="2" t="n">
        <f aca="false">AK61*[2]'Inflation indexes'!I154</f>
        <v>7382.97874658351</v>
      </c>
      <c r="AR61" s="2" t="n">
        <f aca="false">AL61*[2]'Inflation indexes'!I154</f>
        <v>492.08316921473</v>
      </c>
      <c r="AS61" s="2" t="n">
        <f aca="false">AN61*[2]'Inflation indexes'!I154</f>
        <v>423.606602244286</v>
      </c>
      <c r="AT61" s="2" t="n">
        <f aca="false">AO61*[2]'Inflation indexes'!I154</f>
        <v>718.180122471063</v>
      </c>
      <c r="AU61" s="2" t="n">
        <f aca="false">AM61*[2]'Inflation indexes'!I154</f>
        <v>488.196611016102</v>
      </c>
    </row>
    <row r="62" customFormat="false" ht="15" hidden="false" customHeight="false" outlineLevel="0" collapsed="false">
      <c r="A62" s="6" t="n">
        <f aca="false">[2]'Retirement benefit values'!B63</f>
        <v>6421.5393694903</v>
      </c>
      <c r="B62" s="7" t="n">
        <v>489.9904970361</v>
      </c>
      <c r="C62" s="7" t="n">
        <v>479.6740693517</v>
      </c>
      <c r="D62" s="7" t="n">
        <v>410.1930844595</v>
      </c>
      <c r="E62" s="7" t="n">
        <v>691.1041935601</v>
      </c>
      <c r="F62" s="7" t="n">
        <f aca="false">F58+1</f>
        <v>2029</v>
      </c>
      <c r="G62" s="4" t="n">
        <f aca="false">A62*[2]'Inflation indexes'!I155</f>
        <v>5956.36388573199</v>
      </c>
      <c r="H62" s="7" t="n">
        <f aca="false">B62*[2]'Inflation indexes'!I155</f>
        <v>454.495648623478</v>
      </c>
      <c r="I62" s="7" t="n">
        <f aca="false">D62*[2]'Inflation indexes'!I155</f>
        <v>380.478750322683</v>
      </c>
      <c r="J62" s="2" t="n">
        <f aca="false">E62*[2]'Inflation indexes'!I155</f>
        <v>641.040694908338</v>
      </c>
      <c r="K62" s="7" t="n">
        <f aca="false">C62*[2]'Inflation indexes'!I155</f>
        <v>444.926541630056</v>
      </c>
      <c r="R62" s="8" t="n">
        <f aca="false">R58+1</f>
        <v>2029</v>
      </c>
      <c r="S62" s="9" t="n">
        <f aca="false">[2]'Retirement benefit values'!R63</f>
        <v>7172.02312856289</v>
      </c>
      <c r="T62" s="8" t="n">
        <v>511.6339409193</v>
      </c>
      <c r="U62" s="8" t="n">
        <v>504.2497880278</v>
      </c>
      <c r="V62" s="8" t="n">
        <v>436.0999903588</v>
      </c>
      <c r="W62" s="8" t="n">
        <v>719.8093978167</v>
      </c>
      <c r="X62" s="8" t="n">
        <f aca="false">X58+1</f>
        <v>2029</v>
      </c>
      <c r="Y62" s="3" t="n">
        <f aca="false">S62*[2]'Inflation indexes'!I155</f>
        <v>6652.4826980851</v>
      </c>
      <c r="Z62" s="3" t="n">
        <f aca="false">T62*[2]'Inflation indexes'!I155</f>
        <v>474.571244223072</v>
      </c>
      <c r="AA62" s="3" t="n">
        <f aca="false">V62*[2]'Inflation indexes'!I155</f>
        <v>404.508963299777</v>
      </c>
      <c r="AB62" s="3" t="n">
        <f aca="false">W62*[2]'Inflation indexes'!I155</f>
        <v>667.666497870617</v>
      </c>
      <c r="AC62" s="3" t="n">
        <f aca="false">U62*[2]'Inflation indexes'!I155</f>
        <v>467.721998414719</v>
      </c>
      <c r="AJ62" s="7" t="n">
        <f aca="false">AJ58+1</f>
        <v>2029</v>
      </c>
      <c r="AK62" s="6" t="n">
        <f aca="false">[2]'Retirement benefit values'!AO63</f>
        <v>7999.2146748522</v>
      </c>
      <c r="AL62" s="7" t="n">
        <v>526.9456231928</v>
      </c>
      <c r="AM62" s="7" t="n">
        <v>527.5952043553</v>
      </c>
      <c r="AN62" s="7" t="n">
        <v>460.2181269295</v>
      </c>
      <c r="AO62" s="7" t="n">
        <v>787.3635505961</v>
      </c>
      <c r="AP62" s="7" t="n">
        <f aca="false">AP58+1</f>
        <v>2029</v>
      </c>
      <c r="AQ62" s="2" t="n">
        <f aca="false">AK62*[2]'Inflation indexes'!I155</f>
        <v>7419.75259544174</v>
      </c>
      <c r="AR62" s="2" t="n">
        <f aca="false">AL62*[2]'Inflation indexes'!I155</f>
        <v>488.773750207383</v>
      </c>
      <c r="AS62" s="2" t="n">
        <f aca="false">AN62*[2]'Inflation indexes'!I155</f>
        <v>426.879985167743</v>
      </c>
      <c r="AT62" s="2" t="n">
        <f aca="false">AO62*[2]'Inflation indexes'!I155</f>
        <v>730.327036534944</v>
      </c>
      <c r="AU62" s="2" t="n">
        <f aca="false">AM62*[2]'Inflation indexes'!I155</f>
        <v>489.376275794247</v>
      </c>
    </row>
    <row r="63" customFormat="false" ht="15" hidden="false" customHeight="false" outlineLevel="0" collapsed="false">
      <c r="A63" s="6" t="n">
        <f aca="false">[2]'Retirement benefit values'!B64</f>
        <v>6413.8600560191</v>
      </c>
      <c r="B63" s="7" t="n">
        <v>480.4365382192</v>
      </c>
      <c r="C63" s="7" t="n">
        <v>474.9106544896</v>
      </c>
      <c r="D63" s="7" t="n">
        <v>408.3351167015</v>
      </c>
      <c r="E63" s="7" t="n">
        <v>650.6290502492</v>
      </c>
      <c r="F63" s="7" t="n">
        <f aca="false">F59+1</f>
        <v>2029</v>
      </c>
      <c r="G63" s="4" t="n">
        <f aca="false">A63*[2]'Inflation indexes'!I156</f>
        <v>5949.24086073826</v>
      </c>
      <c r="H63" s="7" t="n">
        <f aca="false">B63*[2]'Inflation indexes'!I156</f>
        <v>445.633777351127</v>
      </c>
      <c r="I63" s="7" t="n">
        <f aca="false">D63*[2]'Inflation indexes'!I156</f>
        <v>378.755373509455</v>
      </c>
      <c r="J63" s="2" t="n">
        <f aca="false">E63*[2]'Inflation indexes'!I156</f>
        <v>603.497565758916</v>
      </c>
      <c r="K63" s="7" t="n">
        <f aca="false">C63*[2]'Inflation indexes'!I156</f>
        <v>440.508187926242</v>
      </c>
      <c r="R63" s="8" t="n">
        <f aca="false">R59+1</f>
        <v>2029</v>
      </c>
      <c r="S63" s="9" t="n">
        <f aca="false">[2]'Retirement benefit values'!R64</f>
        <v>7193.81121664984</v>
      </c>
      <c r="T63" s="8" t="n">
        <v>515.2847824834</v>
      </c>
      <c r="U63" s="8" t="n">
        <v>508.6057574762</v>
      </c>
      <c r="V63" s="8" t="n">
        <v>444.1976882015</v>
      </c>
      <c r="W63" s="8" t="n">
        <v>721.6145447833</v>
      </c>
      <c r="X63" s="8" t="n">
        <f aca="false">X59+1</f>
        <v>2029</v>
      </c>
      <c r="Y63" s="3" t="n">
        <f aca="false">S63*[2]'Inflation indexes'!I156</f>
        <v>6672.69245988098</v>
      </c>
      <c r="Z63" s="3" t="n">
        <f aca="false">T63*[2]'Inflation indexes'!I156</f>
        <v>477.957619295107</v>
      </c>
      <c r="AA63" s="3" t="n">
        <f aca="false">V63*[2]'Inflation indexes'!I156</f>
        <v>412.020064955089</v>
      </c>
      <c r="AB63" s="3" t="n">
        <f aca="false">W63*[2]'Inflation indexes'!I156</f>
        <v>669.340880223762</v>
      </c>
      <c r="AC63" s="3" t="n">
        <f aca="false">U63*[2]'Inflation indexes'!I156</f>
        <v>471.762421998054</v>
      </c>
      <c r="AJ63" s="7" t="n">
        <f aca="false">AJ59+1</f>
        <v>2029</v>
      </c>
      <c r="AK63" s="6" t="n">
        <f aca="false">[2]'Retirement benefit values'!AO64</f>
        <v>8049.5921996107</v>
      </c>
      <c r="AL63" s="7" t="n">
        <v>530.7060864047</v>
      </c>
      <c r="AM63" s="7" t="n">
        <v>522.7105529285</v>
      </c>
      <c r="AN63" s="7" t="n">
        <v>460.171382753</v>
      </c>
      <c r="AO63" s="7" t="n">
        <v>781.916611709</v>
      </c>
      <c r="AP63" s="7" t="n">
        <f aca="false">AP59+1</f>
        <v>2029</v>
      </c>
      <c r="AQ63" s="2" t="n">
        <f aca="false">AK63*[2]'Inflation indexes'!I156</f>
        <v>7466.48077880378</v>
      </c>
      <c r="AR63" s="2" t="n">
        <f aca="false">AL63*[2]'Inflation indexes'!I156</f>
        <v>492.26180594919</v>
      </c>
      <c r="AS63" s="2" t="n">
        <f aca="false">AN63*[2]'Inflation indexes'!I156</f>
        <v>426.83662713336</v>
      </c>
      <c r="AT63" s="2" t="n">
        <f aca="false">AO63*[2]'Inflation indexes'!I156</f>
        <v>725.274673198349</v>
      </c>
      <c r="AU63" s="2" t="n">
        <f aca="false">AM63*[2]'Inflation indexes'!I156</f>
        <v>484.845467886844</v>
      </c>
    </row>
    <row r="64" customFormat="false" ht="15" hidden="false" customHeight="false" outlineLevel="0" collapsed="false">
      <c r="A64" s="6" t="n">
        <f aca="false">[2]'Retirement benefit values'!B65</f>
        <v>6440.3344939299</v>
      </c>
      <c r="B64" s="7" t="n">
        <v>608.5285284438</v>
      </c>
      <c r="C64" s="7" t="n">
        <v>594.2936034633</v>
      </c>
      <c r="D64" s="7" t="n">
        <v>527.7978967216</v>
      </c>
      <c r="E64" s="7" t="n">
        <v>771.7012665453</v>
      </c>
      <c r="F64" s="7" t="n">
        <f aca="false">F60+1</f>
        <v>2030</v>
      </c>
      <c r="G64" s="4" t="n">
        <f aca="false">A64*[2]'Inflation indexes'!I157</f>
        <v>5973.79749378114</v>
      </c>
      <c r="H64" s="7" t="n">
        <f aca="false">B64*[2]'Inflation indexes'!I157</f>
        <v>564.446800323515</v>
      </c>
      <c r="I64" s="7" t="n">
        <f aca="false">D64*[2]'Inflation indexes'!I157</f>
        <v>489.564285151672</v>
      </c>
      <c r="J64" s="2" t="n">
        <f aca="false">E64*[2]'Inflation indexes'!I157</f>
        <v>715.799326320864</v>
      </c>
      <c r="K64" s="7" t="n">
        <f aca="false">C64*[2]'Inflation indexes'!I157</f>
        <v>551.243051472765</v>
      </c>
      <c r="R64" s="8" t="n">
        <f aca="false">R60+1</f>
        <v>2030</v>
      </c>
      <c r="S64" s="9" t="n">
        <f aca="false">[2]'Retirement benefit values'!R65</f>
        <v>7222.46576005081</v>
      </c>
      <c r="T64" s="8" t="n">
        <v>637.9175523211</v>
      </c>
      <c r="U64" s="8" t="n">
        <v>634.8990854476</v>
      </c>
      <c r="V64" s="8" t="n">
        <v>569.3920017068</v>
      </c>
      <c r="W64" s="8" t="n">
        <v>875.4036921737</v>
      </c>
      <c r="X64" s="8" t="n">
        <f aca="false">X60+1</f>
        <v>2030</v>
      </c>
      <c r="Y64" s="3" t="n">
        <f aca="false">S64*[2]'Inflation indexes'!I157</f>
        <v>6699.27127185348</v>
      </c>
      <c r="Z64" s="3" t="n">
        <f aca="false">T64*[2]'Inflation indexes'!I157</f>
        <v>591.706887101362</v>
      </c>
      <c r="AA64" s="3" t="n">
        <f aca="false">V64*[2]'Inflation indexes'!I157</f>
        <v>528.145318536017</v>
      </c>
      <c r="AB64" s="3" t="n">
        <f aca="false">W64*[2]'Inflation indexes'!I157</f>
        <v>811.989561610948</v>
      </c>
      <c r="AC64" s="3" t="n">
        <f aca="false">U64*[2]'Inflation indexes'!I157</f>
        <v>588.907077578895</v>
      </c>
      <c r="AJ64" s="7" t="n">
        <f aca="false">AJ60+1</f>
        <v>2030</v>
      </c>
      <c r="AK64" s="6" t="n">
        <f aca="false">[2]'Retirement benefit values'!AO65</f>
        <v>8105.6939640752</v>
      </c>
      <c r="AL64" s="7" t="n">
        <v>674.8923067798</v>
      </c>
      <c r="AM64" s="7" t="n">
        <v>661.173156203</v>
      </c>
      <c r="AN64" s="7" t="n">
        <v>598.2195459079</v>
      </c>
      <c r="AO64" s="7" t="n">
        <v>939.344900541</v>
      </c>
      <c r="AP64" s="7" t="n">
        <f aca="false">AP60+1</f>
        <v>2030</v>
      </c>
      <c r="AQ64" s="2" t="n">
        <f aca="false">AK64*[2]'Inflation indexes'!I157</f>
        <v>7518.51853868576</v>
      </c>
      <c r="AR64" s="2" t="n">
        <f aca="false">AL64*[2]'Inflation indexes'!I157</f>
        <v>626.003195115602</v>
      </c>
      <c r="AS64" s="2" t="n">
        <f aca="false">AN64*[2]'Inflation indexes'!I157</f>
        <v>554.884599152996</v>
      </c>
      <c r="AT64" s="2" t="n">
        <f aca="false">AO64*[2]'Inflation indexes'!I157</f>
        <v>871.298877090435</v>
      </c>
      <c r="AU64" s="2" t="n">
        <f aca="false">AM64*[2]'Inflation indexes'!I157</f>
        <v>613.277858037266</v>
      </c>
    </row>
    <row r="65" customFormat="false" ht="15" hidden="false" customHeight="false" outlineLevel="0" collapsed="false">
      <c r="A65" s="6" t="n">
        <f aca="false">[2]'Retirement benefit values'!B66</f>
        <v>6421.8943675891</v>
      </c>
      <c r="B65" s="7" t="n">
        <v>496.3228076303</v>
      </c>
      <c r="C65" s="7" t="n">
        <v>487.2973856972</v>
      </c>
      <c r="D65" s="7" t="n">
        <v>426.140719953</v>
      </c>
      <c r="E65" s="7" t="n">
        <v>681.4283524157</v>
      </c>
      <c r="F65" s="7" t="n">
        <f aca="false">F61+1</f>
        <v>2030</v>
      </c>
      <c r="G65" s="4" t="n">
        <f aca="false">A65*[2]'Inflation indexes'!I158</f>
        <v>5956.69316781429</v>
      </c>
      <c r="H65" s="7" t="n">
        <f aca="false">B65*[2]'Inflation indexes'!I158</f>
        <v>460.369247454894</v>
      </c>
      <c r="I65" s="7" t="n">
        <f aca="false">D65*[2]'Inflation indexes'!I158</f>
        <v>395.271141157754</v>
      </c>
      <c r="J65" s="2" t="n">
        <f aca="false">E65*[2]'Inflation indexes'!I158</f>
        <v>632.065770448572</v>
      </c>
      <c r="K65" s="7" t="n">
        <f aca="false">C65*[2]'Inflation indexes'!I158</f>
        <v>451.997625922645</v>
      </c>
      <c r="R65" s="8" t="n">
        <f aca="false">R61+1</f>
        <v>2030</v>
      </c>
      <c r="S65" s="9" t="n">
        <f aca="false">[2]'Retirement benefit values'!R66</f>
        <v>7229.84053747555</v>
      </c>
      <c r="T65" s="8" t="n">
        <v>514.4313174614</v>
      </c>
      <c r="U65" s="8" t="n">
        <v>505.641210451</v>
      </c>
      <c r="V65" s="8" t="n">
        <v>435.8396993207</v>
      </c>
      <c r="W65" s="8" t="n">
        <v>732.8608548527</v>
      </c>
      <c r="X65" s="8" t="n">
        <f aca="false">X61+1</f>
        <v>2030</v>
      </c>
      <c r="Y65" s="3" t="n">
        <f aca="false">S65*[2]'Inflation indexes'!I158</f>
        <v>6706.11182135268</v>
      </c>
      <c r="Z65" s="3" t="n">
        <f aca="false">T65*[2]'Inflation indexes'!I158</f>
        <v>477.165979169232</v>
      </c>
      <c r="AA65" s="3" t="n">
        <f aca="false">V65*[2]'Inflation indexes'!I158</f>
        <v>404.267527710908</v>
      </c>
      <c r="AB65" s="3" t="n">
        <f aca="false">W65*[2]'Inflation indexes'!I158</f>
        <v>679.772509042139</v>
      </c>
      <c r="AC65" s="3" t="n">
        <f aca="false">U65*[2]'Inflation indexes'!I158</f>
        <v>469.01262637703</v>
      </c>
      <c r="AJ65" s="7" t="n">
        <f aca="false">AJ61+1</f>
        <v>2030</v>
      </c>
      <c r="AK65" s="6" t="n">
        <f aca="false">[2]'Retirement benefit values'!AO66</f>
        <v>8122.4993413282</v>
      </c>
      <c r="AL65" s="7" t="n">
        <v>542.80529311</v>
      </c>
      <c r="AM65" s="7" t="n">
        <v>526.1459906654</v>
      </c>
      <c r="AN65" s="7" t="n">
        <v>464.3458686494</v>
      </c>
      <c r="AO65" s="7" t="n">
        <v>794.8670296862</v>
      </c>
      <c r="AP65" s="7" t="n">
        <f aca="false">AP61+1</f>
        <v>2030</v>
      </c>
      <c r="AQ65" s="2" t="n">
        <f aca="false">AK65*[2]'Inflation indexes'!I158</f>
        <v>7534.10653657789</v>
      </c>
      <c r="AR65" s="2" t="n">
        <f aca="false">AL65*[2]'Inflation indexes'!I158</f>
        <v>503.484547681158</v>
      </c>
      <c r="AS65" s="2" t="n">
        <f aca="false">AN65*[2]'Inflation indexes'!I158</f>
        <v>430.708713809796</v>
      </c>
      <c r="AT65" s="2" t="n">
        <f aca="false">AO65*[2]'Inflation indexes'!I158</f>
        <v>737.286964567459</v>
      </c>
      <c r="AU65" s="2" t="n">
        <f aca="false">AM65*[2]'Inflation indexes'!I158</f>
        <v>488.032042957142</v>
      </c>
    </row>
    <row r="66" customFormat="false" ht="15" hidden="false" customHeight="false" outlineLevel="0" collapsed="false">
      <c r="A66" s="6" t="n">
        <f aca="false">[2]'Retirement benefit values'!B67</f>
        <v>6419.8722118548</v>
      </c>
      <c r="B66" s="7" t="n">
        <v>487.3760179245</v>
      </c>
      <c r="C66" s="7" t="n">
        <v>478.6897062057</v>
      </c>
      <c r="D66" s="7" t="n">
        <v>411.7722466601</v>
      </c>
      <c r="E66" s="7" t="n">
        <v>684.1656363929</v>
      </c>
      <c r="F66" s="7" t="n">
        <f aca="false">F62+1</f>
        <v>2030</v>
      </c>
      <c r="G66" s="4" t="n">
        <f aca="false">A66*[2]'Inflation indexes'!I159</f>
        <v>5954.8174967806</v>
      </c>
      <c r="H66" s="7" t="n">
        <f aca="false">B66*[2]'Inflation indexes'!I159</f>
        <v>452.07056204154</v>
      </c>
      <c r="I66" s="7" t="n">
        <f aca="false">D66*[2]'Inflation indexes'!I159</f>
        <v>381.943518217131</v>
      </c>
      <c r="J66" s="2" t="n">
        <f aca="false">E66*[2]'Inflation indexes'!I159</f>
        <v>634.604765927484</v>
      </c>
      <c r="K66" s="7" t="n">
        <f aca="false">C66*[2]'Inflation indexes'!I159</f>
        <v>444.013485623401</v>
      </c>
      <c r="R66" s="8" t="n">
        <f aca="false">R62+1</f>
        <v>2030</v>
      </c>
      <c r="S66" s="9" t="n">
        <f aca="false">[2]'Retirement benefit values'!R67</f>
        <v>7226.64073895218</v>
      </c>
      <c r="T66" s="8" t="n">
        <v>502.39809548</v>
      </c>
      <c r="U66" s="8" t="n">
        <v>495.7157622605</v>
      </c>
      <c r="V66" s="8" t="n">
        <v>424.7613031235</v>
      </c>
      <c r="W66" s="8" t="n">
        <v>714.5156198377</v>
      </c>
      <c r="X66" s="8" t="n">
        <f aca="false">X62+1</f>
        <v>2030</v>
      </c>
      <c r="Y66" s="3" t="n">
        <f aca="false">S66*[2]'Inflation indexes'!I159</f>
        <v>6703.14381582167</v>
      </c>
      <c r="Z66" s="3" t="n">
        <f aca="false">T66*[2]'Inflation indexes'!I159</f>
        <v>466.004442236274</v>
      </c>
      <c r="AA66" s="3" t="n">
        <f aca="false">V66*[2]'Inflation indexes'!I159</f>
        <v>393.991649105484</v>
      </c>
      <c r="AB66" s="3" t="n">
        <f aca="false">W66*[2]'Inflation indexes'!I159</f>
        <v>662.756200485693</v>
      </c>
      <c r="AC66" s="3" t="n">
        <f aca="false">U66*[2]'Inflation indexes'!I159</f>
        <v>459.806176373393</v>
      </c>
      <c r="AJ66" s="7" t="n">
        <f aca="false">AJ62+1</f>
        <v>2030</v>
      </c>
      <c r="AK66" s="6" t="n">
        <f aca="false">[2]'Retirement benefit values'!AO67</f>
        <v>8130.5811499365</v>
      </c>
      <c r="AL66" s="7" t="n">
        <v>536.5923229495</v>
      </c>
      <c r="AM66" s="7" t="n">
        <v>529.9479412807</v>
      </c>
      <c r="AN66" s="7" t="n">
        <v>467.7351741439</v>
      </c>
      <c r="AO66" s="7" t="n">
        <v>788.7294545125</v>
      </c>
      <c r="AP66" s="7" t="n">
        <f aca="false">AP62+1</f>
        <v>2030</v>
      </c>
      <c r="AQ66" s="2" t="n">
        <f aca="false">AK66*[2]'Inflation indexes'!I159</f>
        <v>7541.6029000129</v>
      </c>
      <c r="AR66" s="2" t="n">
        <f aca="false">AL66*[2]'Inflation indexes'!I159</f>
        <v>497.721644277815</v>
      </c>
      <c r="AS66" s="2" t="n">
        <f aca="false">AN66*[2]'Inflation indexes'!I159</f>
        <v>433.852498451384</v>
      </c>
      <c r="AT66" s="2" t="n">
        <f aca="false">AO66*[2]'Inflation indexes'!I159</f>
        <v>731.593994547796</v>
      </c>
      <c r="AU66" s="2" t="n">
        <f aca="false">AM66*[2]'Inflation indexes'!I159</f>
        <v>491.558580760196</v>
      </c>
    </row>
    <row r="67" customFormat="false" ht="15" hidden="false" customHeight="false" outlineLevel="0" collapsed="false">
      <c r="A67" s="6" t="n">
        <f aca="false">[2]'Retirement benefit values'!B68</f>
        <v>6406.9424841368</v>
      </c>
      <c r="B67" s="7" t="n">
        <v>492.2797296422</v>
      </c>
      <c r="C67" s="7" t="n">
        <v>481.2715971452</v>
      </c>
      <c r="D67" s="7" t="n">
        <v>414.1615822259</v>
      </c>
      <c r="E67" s="7" t="n">
        <v>673.9157241401</v>
      </c>
      <c r="F67" s="7" t="n">
        <f aca="false">F63+1</f>
        <v>2030</v>
      </c>
      <c r="G67" s="4" t="n">
        <f aca="false">A67*[2]'Inflation indexes'!I160</f>
        <v>5942.82439687098</v>
      </c>
      <c r="H67" s="7" t="n">
        <f aca="false">B67*[2]'Inflation indexes'!I160</f>
        <v>456.619049514828</v>
      </c>
      <c r="I67" s="7" t="n">
        <f aca="false">D67*[2]'Inflation indexes'!I160</f>
        <v>384.15977062269</v>
      </c>
      <c r="J67" s="2" t="n">
        <f aca="false">E67*[2]'Inflation indexes'!I160</f>
        <v>625.097355996375</v>
      </c>
      <c r="K67" s="7" t="n">
        <f aca="false">C67*[2]'Inflation indexes'!I160</f>
        <v>446.408344716223</v>
      </c>
      <c r="R67" s="8" t="n">
        <f aca="false">R63+1</f>
        <v>2030</v>
      </c>
      <c r="S67" s="9" t="n">
        <f aca="false">[2]'Retirement benefit values'!R68</f>
        <v>7227.69682031981</v>
      </c>
      <c r="T67" s="8" t="n">
        <v>507.4626191628</v>
      </c>
      <c r="U67" s="8" t="n">
        <v>498.6598773579</v>
      </c>
      <c r="V67" s="8" t="n">
        <v>431.0603952156</v>
      </c>
      <c r="W67" s="8" t="n">
        <v>722.0186445908</v>
      </c>
      <c r="X67" s="8" t="n">
        <f aca="false">X63+1</f>
        <v>2030</v>
      </c>
      <c r="Y67" s="3" t="n">
        <f aca="false">S67*[2]'Inflation indexes'!I160</f>
        <v>6704.12339479123</v>
      </c>
      <c r="Z67" s="3" t="n">
        <f aca="false">T67*[2]'Inflation indexes'!I160</f>
        <v>470.702092476649</v>
      </c>
      <c r="AA67" s="3" t="n">
        <f aca="false">V67*[2]'Inflation indexes'!I160</f>
        <v>399.834435778808</v>
      </c>
      <c r="AB67" s="3" t="n">
        <f aca="false">W67*[2]'Inflation indexes'!I160</f>
        <v>669.715707093322</v>
      </c>
      <c r="AC67" s="3" t="n">
        <f aca="false">U67*[2]'Inflation indexes'!I160</f>
        <v>462.537020152832</v>
      </c>
      <c r="AJ67" s="7" t="n">
        <f aca="false">AJ63+1</f>
        <v>2030</v>
      </c>
      <c r="AK67" s="6" t="n">
        <f aca="false">[2]'Retirement benefit values'!AO68</f>
        <v>8155.6649127402</v>
      </c>
      <c r="AL67" s="7" t="n">
        <v>539.6700754983</v>
      </c>
      <c r="AM67" s="7" t="n">
        <v>530.7422107611</v>
      </c>
      <c r="AN67" s="7" t="n">
        <v>468.6844246757</v>
      </c>
      <c r="AO67" s="7" t="n">
        <v>813.3791382826</v>
      </c>
      <c r="AP67" s="7" t="n">
        <f aca="false">AP63+1</f>
        <v>2030</v>
      </c>
      <c r="AQ67" s="2" t="n">
        <f aca="false">AK67*[2]'Inflation indexes'!I160</f>
        <v>7564.86959827408</v>
      </c>
      <c r="AR67" s="2" t="n">
        <f aca="false">AL67*[2]'Inflation indexes'!I160</f>
        <v>500.576444828909</v>
      </c>
      <c r="AS67" s="2" t="n">
        <f aca="false">AN67*[2]'Inflation indexes'!I160</f>
        <v>434.732985397082</v>
      </c>
      <c r="AT67" s="2" t="n">
        <f aca="false">AO67*[2]'Inflation indexes'!I160</f>
        <v>754.45805840459</v>
      </c>
      <c r="AU67" s="2" t="n">
        <f aca="false">AM67*[2]'Inflation indexes'!I160</f>
        <v>492.295313461871</v>
      </c>
    </row>
    <row r="68" customFormat="false" ht="15" hidden="false" customHeight="false" outlineLevel="0" collapsed="false">
      <c r="A68" s="6" t="n">
        <f aca="false">[2]'Retirement benefit values'!B69</f>
        <v>6386.5444613889</v>
      </c>
      <c r="B68" s="7" t="n">
        <v>597.9743322064</v>
      </c>
      <c r="C68" s="7" t="n">
        <v>591.0944351395</v>
      </c>
      <c r="D68" s="7" t="n">
        <v>522.9156086942</v>
      </c>
      <c r="E68" s="7" t="n">
        <v>768.9644934675</v>
      </c>
      <c r="F68" s="7" t="n">
        <f aca="false">F64+1</f>
        <v>2031</v>
      </c>
      <c r="G68" s="4" t="n">
        <f aca="false">A68*[2]'Inflation indexes'!I161</f>
        <v>5923.90400426026</v>
      </c>
      <c r="H68" s="7" t="n">
        <f aca="false">B68*[2]'Inflation indexes'!I161</f>
        <v>554.657148700408</v>
      </c>
      <c r="I68" s="7" t="n">
        <f aca="false">D68*[2]'Inflation indexes'!I161</f>
        <v>485.035669439323</v>
      </c>
      <c r="J68" s="2" t="n">
        <f aca="false">E68*[2]'Inflation indexes'!I161</f>
        <v>713.260804731866</v>
      </c>
      <c r="K68" s="7" t="n">
        <f aca="false">C68*[2]'Inflation indexes'!I161</f>
        <v>548.275630489753</v>
      </c>
      <c r="R68" s="8" t="n">
        <f aca="false">R64+1</f>
        <v>2031</v>
      </c>
      <c r="S68" s="9" t="n">
        <f aca="false">[2]'Retirement benefit values'!R69</f>
        <v>7260.95902628705</v>
      </c>
      <c r="T68" s="8" t="n">
        <v>630.1758103964</v>
      </c>
      <c r="U68" s="8" t="n">
        <v>626.0218607447</v>
      </c>
      <c r="V68" s="8" t="n">
        <v>557.5374097459</v>
      </c>
      <c r="W68" s="8" t="n">
        <v>857.2584625071</v>
      </c>
      <c r="X68" s="8" t="n">
        <f aca="false">X64+1</f>
        <v>2031</v>
      </c>
      <c r="Y68" s="3" t="n">
        <f aca="false">S68*[2]'Inflation indexes'!I161</f>
        <v>6734.97609084793</v>
      </c>
      <c r="Z68" s="3" t="n">
        <f aca="false">T68*[2]'Inflation indexes'!I161</f>
        <v>584.525955963257</v>
      </c>
      <c r="AA68" s="3" t="n">
        <f aca="false">V68*[2]'Inflation indexes'!I161</f>
        <v>517.149471687912</v>
      </c>
      <c r="AB68" s="3" t="n">
        <f aca="false">W68*[2]'Inflation indexes'!I161</f>
        <v>795.158770041258</v>
      </c>
      <c r="AC68" s="3" t="n">
        <f aca="false">U68*[2]'Inflation indexes'!I161</f>
        <v>580.672917888603</v>
      </c>
      <c r="AJ68" s="7" t="n">
        <f aca="false">AJ64+1</f>
        <v>2031</v>
      </c>
      <c r="AK68" s="6" t="n">
        <f aca="false">[2]'Retirement benefit values'!AO69</f>
        <v>8216.4841325605</v>
      </c>
      <c r="AL68" s="7" t="n">
        <v>674.6049696587</v>
      </c>
      <c r="AM68" s="7" t="n">
        <v>664.9658539591</v>
      </c>
      <c r="AN68" s="7" t="n">
        <v>607.1318457451</v>
      </c>
      <c r="AO68" s="7" t="n">
        <v>907.9303418812</v>
      </c>
      <c r="AP68" s="7" t="n">
        <f aca="false">AP64+1</f>
        <v>2031</v>
      </c>
      <c r="AQ68" s="2" t="n">
        <f aca="false">AK68*[2]'Inflation indexes'!I161</f>
        <v>7621.28308165427</v>
      </c>
      <c r="AR68" s="2" t="n">
        <f aca="false">AL68*[2]'Inflation indexes'!I161</f>
        <v>625.736672658497</v>
      </c>
      <c r="AS68" s="2" t="n">
        <f aca="false">AN68*[2]'Inflation indexes'!I161</f>
        <v>563.151293139383</v>
      </c>
      <c r="AT68" s="2" t="n">
        <f aca="false">AO68*[2]'Inflation indexes'!I161</f>
        <v>842.159985008505</v>
      </c>
      <c r="AU68" s="2" t="n">
        <f aca="false">AM68*[2]'Inflation indexes'!I161</f>
        <v>616.795813257047</v>
      </c>
    </row>
    <row r="69" customFormat="false" ht="15" hidden="false" customHeight="false" outlineLevel="0" collapsed="false">
      <c r="A69" s="6" t="n">
        <f aca="false">[2]'Retirement benefit values'!B70</f>
        <v>6398.8911372029</v>
      </c>
      <c r="B69" s="7" t="n">
        <v>488.8621438196</v>
      </c>
      <c r="C69" s="7" t="n">
        <v>479.2499333646</v>
      </c>
      <c r="D69" s="7" t="n">
        <v>422.9267346247</v>
      </c>
      <c r="E69" s="7" t="n">
        <v>640.5793432486</v>
      </c>
      <c r="F69" s="7" t="n">
        <f aca="false">F65+1</f>
        <v>2031</v>
      </c>
      <c r="G69" s="4" t="n">
        <f aca="false">A69*[2]'Inflation indexes'!I162</f>
        <v>5935.35628847061</v>
      </c>
      <c r="H69" s="7" t="n">
        <f aca="false">B69*[2]'Inflation indexes'!I162</f>
        <v>453.449033168461</v>
      </c>
      <c r="I69" s="7" t="n">
        <f aca="false">D69*[2]'Inflation indexes'!I162</f>
        <v>392.289976512138</v>
      </c>
      <c r="J69" s="2" t="n">
        <f aca="false">E69*[2]'Inflation indexes'!I162</f>
        <v>594.175858237357</v>
      </c>
      <c r="K69" s="7" t="n">
        <f aca="false">C69*[2]'Inflation indexes'!I162</f>
        <v>444.533129999162</v>
      </c>
      <c r="R69" s="8" t="n">
        <f aca="false">R65+1</f>
        <v>2031</v>
      </c>
      <c r="S69" s="9" t="n">
        <f aca="false">[2]'Retirement benefit values'!R70</f>
        <v>7285.23476262679</v>
      </c>
      <c r="T69" s="8" t="n">
        <v>514.4687964672</v>
      </c>
      <c r="U69" s="8" t="n">
        <v>505.5867271605</v>
      </c>
      <c r="V69" s="8" t="n">
        <v>448.4481611104</v>
      </c>
      <c r="W69" s="8" t="n">
        <v>723.7475358035</v>
      </c>
      <c r="X69" s="8" t="n">
        <f aca="false">X65+1</f>
        <v>2031</v>
      </c>
      <c r="Y69" s="3" t="n">
        <f aca="false">S69*[2]'Inflation indexes'!I162</f>
        <v>6757.493295978</v>
      </c>
      <c r="Z69" s="3" t="n">
        <f aca="false">T69*[2]'Inflation indexes'!I162</f>
        <v>477.200743200685</v>
      </c>
      <c r="AA69" s="3" t="n">
        <f aca="false">V69*[2]'Inflation indexes'!I162</f>
        <v>415.962634154639</v>
      </c>
      <c r="AB69" s="3" t="n">
        <f aca="false">W69*[2]'Inflation indexes'!I162</f>
        <v>671.319357649544</v>
      </c>
      <c r="AC69" s="3" t="n">
        <f aca="false">U69*[2]'Inflation indexes'!I162</f>
        <v>468.962089849068</v>
      </c>
      <c r="AJ69" s="7" t="n">
        <f aca="false">AJ65+1</f>
        <v>2031</v>
      </c>
      <c r="AK69" s="6" t="n">
        <f aca="false">[2]'Retirement benefit values'!AO70</f>
        <v>8260.7726398875</v>
      </c>
      <c r="AL69" s="7" t="n">
        <v>542.4057771508</v>
      </c>
      <c r="AM69" s="7" t="n">
        <v>526.7223084647</v>
      </c>
      <c r="AN69" s="7" t="n">
        <v>472.6590943922</v>
      </c>
      <c r="AO69" s="7" t="n">
        <v>774.215226209</v>
      </c>
      <c r="AP69" s="7" t="n">
        <f aca="false">AP65+1</f>
        <v>2031</v>
      </c>
      <c r="AQ69" s="2" t="n">
        <f aca="false">AK69*[2]'Inflation indexes'!I162</f>
        <v>7662.36333522227</v>
      </c>
      <c r="AR69" s="2" t="n">
        <f aca="false">AL69*[2]'Inflation indexes'!I162</f>
        <v>503.113972606518</v>
      </c>
      <c r="AS69" s="2" t="n">
        <f aca="false">AN69*[2]'Inflation indexes'!I162</f>
        <v>438.419730551921</v>
      </c>
      <c r="AT69" s="2" t="n">
        <f aca="false">AO69*[2]'Inflation indexes'!I162</f>
        <v>718.131175070743</v>
      </c>
      <c r="AU69" s="2" t="n">
        <f aca="false">AM69*[2]'Inflation indexes'!I162</f>
        <v>488.566612369387</v>
      </c>
    </row>
    <row r="70" customFormat="false" ht="15" hidden="false" customHeight="false" outlineLevel="0" collapsed="false">
      <c r="A70" s="6" t="n">
        <f aca="false">[2]'Retirement benefit values'!B71</f>
        <v>6393.3803649391</v>
      </c>
      <c r="B70" s="7" t="n">
        <v>491.655689148</v>
      </c>
      <c r="C70" s="7" t="n">
        <v>474.8373153895</v>
      </c>
      <c r="D70" s="7" t="n">
        <v>413.9083001821</v>
      </c>
      <c r="E70" s="7" t="n">
        <v>647.3086516839</v>
      </c>
      <c r="F70" s="7" t="n">
        <f aca="false">F66+1</f>
        <v>2031</v>
      </c>
      <c r="G70" s="4" t="n">
        <f aca="false">A70*[2]'Inflation indexes'!I163</f>
        <v>5930.24471583889</v>
      </c>
      <c r="H70" s="7" t="n">
        <f aca="false">B70*[2]'Inflation indexes'!I163</f>
        <v>456.040214433547</v>
      </c>
      <c r="I70" s="7" t="n">
        <f aca="false">D70*[2]'Inflation indexes'!I163</f>
        <v>383.924836297478</v>
      </c>
      <c r="J70" s="2" t="n">
        <f aca="false">E70*[2]'Inflation indexes'!I163</f>
        <v>600.417696437464</v>
      </c>
      <c r="K70" s="7" t="n">
        <f aca="false">C70*[2]'Inflation indexes'!I163</f>
        <v>440.440161501095</v>
      </c>
      <c r="R70" s="8" t="n">
        <f aca="false">R66+1</f>
        <v>2031</v>
      </c>
      <c r="S70" s="9" t="n">
        <f aca="false">[2]'Retirement benefit values'!R71</f>
        <v>7279.64548210159</v>
      </c>
      <c r="T70" s="8" t="n">
        <v>505.6348926663</v>
      </c>
      <c r="U70" s="8" t="n">
        <v>498.5361656234</v>
      </c>
      <c r="V70" s="8" t="n">
        <v>435.8423983635</v>
      </c>
      <c r="W70" s="8" t="n">
        <v>712.0251422163</v>
      </c>
      <c r="X70" s="8" t="n">
        <f aca="false">X66+1</f>
        <v>2031</v>
      </c>
      <c r="Y70" s="3" t="n">
        <f aca="false">S70*[2]'Inflation indexes'!I163</f>
        <v>6752.30890221321</v>
      </c>
      <c r="Z70" s="3" t="n">
        <f aca="false">T70*[2]'Inflation indexes'!I163</f>
        <v>469.006766251839</v>
      </c>
      <c r="AA70" s="3" t="n">
        <f aca="false">V70*[2]'Inflation indexes'!I163</f>
        <v>404.270031235396</v>
      </c>
      <c r="AB70" s="3" t="n">
        <f aca="false">W70*[2]'Inflation indexes'!I163</f>
        <v>660.446132741997</v>
      </c>
      <c r="AC70" s="3" t="n">
        <f aca="false">U70*[2]'Inflation indexes'!I163</f>
        <v>462.422270080424</v>
      </c>
      <c r="AJ70" s="7" t="n">
        <f aca="false">AJ66+1</f>
        <v>2031</v>
      </c>
      <c r="AK70" s="6" t="n">
        <f aca="false">[2]'Retirement benefit values'!AO71</f>
        <v>8315.2011687824</v>
      </c>
      <c r="AL70" s="7" t="n">
        <v>546.1896137978</v>
      </c>
      <c r="AM70" s="7" t="n">
        <v>528.6112129592</v>
      </c>
      <c r="AN70" s="7" t="n">
        <v>469.1034056288</v>
      </c>
      <c r="AO70" s="7" t="n">
        <v>794.4378036057</v>
      </c>
      <c r="AP70" s="7" t="n">
        <f aca="false">AP66+1</f>
        <v>2031</v>
      </c>
      <c r="AQ70" s="2" t="n">
        <f aca="false">AK70*[2]'Inflation indexes'!I163</f>
        <v>7712.84906850351</v>
      </c>
      <c r="AR70" s="2" t="n">
        <f aca="false">AL70*[2]'Inflation indexes'!I163</f>
        <v>506.6237086148</v>
      </c>
      <c r="AS70" s="2" t="n">
        <f aca="false">AN70*[2]'Inflation indexes'!I163</f>
        <v>435.121615423974</v>
      </c>
      <c r="AT70" s="2" t="n">
        <f aca="false">AO70*[2]'Inflation indexes'!I163</f>
        <v>736.888831568874</v>
      </c>
      <c r="AU70" s="2" t="n">
        <f aca="false">AM70*[2]'Inflation indexes'!I163</f>
        <v>490.318684865912</v>
      </c>
    </row>
    <row r="71" customFormat="false" ht="15" hidden="false" customHeight="false" outlineLevel="0" collapsed="false">
      <c r="A71" s="6" t="n">
        <f aca="false">[2]'Retirement benefit values'!B72</f>
        <v>6381.8515326987</v>
      </c>
      <c r="B71" s="7" t="n">
        <v>482.0383145667</v>
      </c>
      <c r="C71" s="7" t="n">
        <v>471.6485926066</v>
      </c>
      <c r="D71" s="7" t="n">
        <v>408.5067152052</v>
      </c>
      <c r="E71" s="7" t="n">
        <v>650.0143203735</v>
      </c>
      <c r="F71" s="7" t="n">
        <f aca="false">F67+1</f>
        <v>2031</v>
      </c>
      <c r="G71" s="4" t="n">
        <f aca="false">A71*[2]'Inflation indexes'!I164</f>
        <v>5919.55103071915</v>
      </c>
      <c r="H71" s="7" t="n">
        <f aca="false">B71*[2]'Inflation indexes'!I164</f>
        <v>447.119521226591</v>
      </c>
      <c r="I71" s="7" t="n">
        <f aca="false">D71*[2]'Inflation indexes'!I164</f>
        <v>378.914541439678</v>
      </c>
      <c r="J71" s="2" t="n">
        <f aca="false">E71*[2]'Inflation indexes'!I164</f>
        <v>602.927366836131</v>
      </c>
      <c r="K71" s="7" t="n">
        <f aca="false">C71*[2]'Inflation indexes'!I164</f>
        <v>437.482429385348</v>
      </c>
      <c r="R71" s="8" t="n">
        <f aca="false">R67+1</f>
        <v>2031</v>
      </c>
      <c r="S71" s="9" t="n">
        <f aca="false">[2]'Retirement benefit values'!R72</f>
        <v>7313.45060985399</v>
      </c>
      <c r="T71" s="8" t="n">
        <v>520.2895349792</v>
      </c>
      <c r="U71" s="8" t="n">
        <v>502.1375121684</v>
      </c>
      <c r="V71" s="8" t="n">
        <v>438.9589144605</v>
      </c>
      <c r="W71" s="8" t="n">
        <v>735.8626692996</v>
      </c>
      <c r="X71" s="8" t="n">
        <f aca="false">X67+1</f>
        <v>2031</v>
      </c>
      <c r="Y71" s="3" t="n">
        <f aca="false">S71*[2]'Inflation indexes'!I164</f>
        <v>6783.66519087097</v>
      </c>
      <c r="Z71" s="3" t="n">
        <f aca="false">T71*[2]'Inflation indexes'!I164</f>
        <v>482.59982816556</v>
      </c>
      <c r="AA71" s="3" t="n">
        <f aca="false">V71*[2]'Inflation indexes'!I164</f>
        <v>407.160787308257</v>
      </c>
      <c r="AB71" s="3" t="n">
        <f aca="false">W71*[2]'Inflation indexes'!I164</f>
        <v>682.556872437641</v>
      </c>
      <c r="AC71" s="3" t="n">
        <f aca="false">U71*[2]'Inflation indexes'!I164</f>
        <v>465.76273554616</v>
      </c>
      <c r="AJ71" s="7" t="n">
        <f aca="false">AJ67+1</f>
        <v>2031</v>
      </c>
      <c r="AK71" s="6" t="n">
        <f aca="false">[2]'Retirement benefit values'!AO72</f>
        <v>8321.8281733402</v>
      </c>
      <c r="AL71" s="7" t="n">
        <v>545.6472564173</v>
      </c>
      <c r="AM71" s="7" t="n">
        <v>527.4699535849</v>
      </c>
      <c r="AN71" s="7" t="n">
        <v>464.7752423715</v>
      </c>
      <c r="AO71" s="7" t="n">
        <v>797.6525025668</v>
      </c>
      <c r="AP71" s="7" t="n">
        <f aca="false">AP67+1</f>
        <v>2031</v>
      </c>
      <c r="AQ71" s="2" t="n">
        <f aca="false">AK71*[2]'Inflation indexes'!I164</f>
        <v>7718.99601370581</v>
      </c>
      <c r="AR71" s="2" t="n">
        <f aca="false">AL71*[2]'Inflation indexes'!I164</f>
        <v>506.120639532997</v>
      </c>
      <c r="AS71" s="2" t="n">
        <f aca="false">AN71*[2]'Inflation indexes'!I164</f>
        <v>431.106983754842</v>
      </c>
      <c r="AT71" s="2" t="n">
        <f aca="false">AO71*[2]'Inflation indexes'!I164</f>
        <v>739.870658151823</v>
      </c>
      <c r="AU71" s="2" t="n">
        <f aca="false">AM71*[2]'Inflation indexes'!I164</f>
        <v>489.260098173501</v>
      </c>
    </row>
    <row r="72" customFormat="false" ht="15" hidden="false" customHeight="false" outlineLevel="0" collapsed="false">
      <c r="A72" s="6" t="n">
        <f aca="false">[2]'Retirement benefit values'!B73</f>
        <v>6362.7802209505</v>
      </c>
      <c r="B72" s="7" t="n">
        <v>589.6495285239</v>
      </c>
      <c r="C72" s="7" t="n">
        <v>588.292378228</v>
      </c>
      <c r="D72" s="7" t="n">
        <v>521.2955682453</v>
      </c>
      <c r="E72" s="7" t="n">
        <v>748.1970911508</v>
      </c>
      <c r="F72" s="7" t="n">
        <f aca="false">F68+1</f>
        <v>2032</v>
      </c>
      <c r="G72" s="4" t="n">
        <f aca="false">A72*[2]'Inflation indexes'!I165</f>
        <v>5901.86124233441</v>
      </c>
      <c r="H72" s="7" t="n">
        <f aca="false">B72*[2]'Inflation indexes'!I165</f>
        <v>546.935392723042</v>
      </c>
      <c r="I72" s="7" t="n">
        <f aca="false">D72*[2]'Inflation indexes'!I165</f>
        <v>483.532984511609</v>
      </c>
      <c r="J72" s="2" t="n">
        <f aca="false">E72*[2]'Inflation indexes'!I165</f>
        <v>693.997790360675</v>
      </c>
      <c r="K72" s="7" t="n">
        <f aca="false">C72*[2]'Inflation indexes'!I165</f>
        <v>545.676554219549</v>
      </c>
      <c r="R72" s="8" t="n">
        <f aca="false">R68+1</f>
        <v>2032</v>
      </c>
      <c r="S72" s="9" t="n">
        <f aca="false">[2]'Retirement benefit values'!R73</f>
        <v>7319.57452702237</v>
      </c>
      <c r="T72" s="8" t="n">
        <v>634.1151470919</v>
      </c>
      <c r="U72" s="8" t="n">
        <v>628.8926889082</v>
      </c>
      <c r="V72" s="8" t="n">
        <v>566.8322808538</v>
      </c>
      <c r="W72" s="8" t="n">
        <v>846.6531738382</v>
      </c>
      <c r="X72" s="8" t="n">
        <f aca="false">X68+1</f>
        <v>2032</v>
      </c>
      <c r="Y72" s="3" t="n">
        <f aca="false">S72*[2]'Inflation indexes'!I165</f>
        <v>6789.34549226946</v>
      </c>
      <c r="Z72" s="3" t="n">
        <f aca="false">T72*[2]'Inflation indexes'!I165</f>
        <v>588.17992761658</v>
      </c>
      <c r="AA72" s="3" t="n">
        <f aca="false">V72*[2]'Inflation indexes'!I165</f>
        <v>525.771023531489</v>
      </c>
      <c r="AB72" s="3" t="n">
        <f aca="false">W72*[2]'Inflation indexes'!I165</f>
        <v>785.321727115799</v>
      </c>
      <c r="AC72" s="3" t="n">
        <f aca="false">U72*[2]'Inflation indexes'!I165</f>
        <v>583.335783630181</v>
      </c>
      <c r="AJ72" s="7" t="n">
        <f aca="false">AJ68+1</f>
        <v>2032</v>
      </c>
      <c r="AK72" s="6" t="n">
        <f aca="false">[2]'Retirement benefit values'!AO73</f>
        <v>8342.0539716047</v>
      </c>
      <c r="AL72" s="7" t="n">
        <v>668.565832896</v>
      </c>
      <c r="AM72" s="7" t="n">
        <v>661.1250752011</v>
      </c>
      <c r="AN72" s="7" t="n">
        <v>607.361364373</v>
      </c>
      <c r="AO72" s="7" t="n">
        <v>909.1829088904</v>
      </c>
      <c r="AP72" s="7" t="n">
        <f aca="false">AP68+1</f>
        <v>2032</v>
      </c>
      <c r="AQ72" s="2" t="n">
        <f aca="false">AK72*[2]'Inflation indexes'!I165</f>
        <v>7737.7566577525</v>
      </c>
      <c r="AR72" s="2" t="n">
        <f aca="false">AL72*[2]'Inflation indexes'!I165</f>
        <v>620.135010184037</v>
      </c>
      <c r="AS72" s="2" t="n">
        <f aca="false">AN72*[2]'Inflation indexes'!I165</f>
        <v>563.364185467478</v>
      </c>
      <c r="AT72" s="2" t="n">
        <f aca="false">AO72*[2]'Inflation indexes'!I165</f>
        <v>843.321816225099</v>
      </c>
      <c r="AU72" s="2" t="n">
        <f aca="false">AM72*[2]'Inflation indexes'!I165</f>
        <v>613.233260016942</v>
      </c>
    </row>
    <row r="73" customFormat="false" ht="15" hidden="false" customHeight="false" outlineLevel="0" collapsed="false">
      <c r="A73" s="6" t="n">
        <f aca="false">[2]'Retirement benefit values'!B74</f>
        <v>6362.3552246927</v>
      </c>
      <c r="B73" s="7" t="n">
        <v>481.7359495453</v>
      </c>
      <c r="C73" s="7" t="n">
        <v>473.7288046404</v>
      </c>
      <c r="D73" s="7" t="n">
        <v>413.2859861667</v>
      </c>
      <c r="E73" s="7" t="n">
        <v>632.0468298714</v>
      </c>
      <c r="F73" s="7" t="n">
        <f aca="false">F69+1</f>
        <v>2032</v>
      </c>
      <c r="G73" s="4" t="n">
        <f aca="false">A73*[2]'Inflation indexes'!I166</f>
        <v>5901.46703275072</v>
      </c>
      <c r="H73" s="7" t="n">
        <f aca="false">B73*[2]'Inflation indexes'!I166</f>
        <v>446.839059488346</v>
      </c>
      <c r="I73" s="7" t="n">
        <f aca="false">D73*[2]'Inflation indexes'!I166</f>
        <v>383.347602629096</v>
      </c>
      <c r="J73" s="2" t="n">
        <f aca="false">E73*[2]'Inflation indexes'!I166</f>
        <v>586.261439028788</v>
      </c>
      <c r="K73" s="7" t="n">
        <f aca="false">C73*[2]'Inflation indexes'!I166</f>
        <v>439.411951127698</v>
      </c>
      <c r="R73" s="8" t="n">
        <f aca="false">R69+1</f>
        <v>2032</v>
      </c>
      <c r="S73" s="9" t="n">
        <f aca="false">[2]'Retirement benefit values'!R74</f>
        <v>7346.12567946538</v>
      </c>
      <c r="T73" s="8" t="n">
        <v>515.7446027291</v>
      </c>
      <c r="U73" s="8" t="n">
        <v>502.1758707357</v>
      </c>
      <c r="V73" s="8" t="n">
        <v>438.6521249892</v>
      </c>
      <c r="W73" s="8" t="n">
        <v>719.8930926347</v>
      </c>
      <c r="X73" s="8" t="n">
        <f aca="false">X69+1</f>
        <v>2032</v>
      </c>
      <c r="Y73" s="3" t="n">
        <f aca="false">S73*[2]'Inflation indexes'!I166</f>
        <v>6813.97328265373</v>
      </c>
      <c r="Z73" s="3" t="n">
        <f aca="false">T73*[2]'Inflation indexes'!I166</f>
        <v>478.38413022151</v>
      </c>
      <c r="AA73" s="3" t="n">
        <f aca="false">V73*[2]'Inflation indexes'!I166</f>
        <v>406.876221626692</v>
      </c>
      <c r="AB73" s="3" t="n">
        <f aca="false">W73*[2]'Inflation indexes'!I166</f>
        <v>667.744129846795</v>
      </c>
      <c r="AC73" s="3" t="n">
        <f aca="false">U73*[2]'Inflation indexes'!I166</f>
        <v>465.798315423792</v>
      </c>
      <c r="AJ73" s="7" t="n">
        <f aca="false">AJ69+1</f>
        <v>2032</v>
      </c>
      <c r="AK73" s="6" t="n">
        <f aca="false">[2]'Retirement benefit values'!AO74</f>
        <v>8411.6206423161</v>
      </c>
      <c r="AL73" s="7" t="n">
        <v>529.1597279558</v>
      </c>
      <c r="AM73" s="7" t="n">
        <v>520.3019834967</v>
      </c>
      <c r="AN73" s="7" t="n">
        <v>463.1794807923</v>
      </c>
      <c r="AO73" s="7" t="n">
        <v>762.4496907316</v>
      </c>
      <c r="AP73" s="7" t="n">
        <f aca="false">AP69+1</f>
        <v>2032</v>
      </c>
      <c r="AQ73" s="2" t="n">
        <f aca="false">AK73*[2]'Inflation indexes'!I166</f>
        <v>7802.28392780938</v>
      </c>
      <c r="AR73" s="2" t="n">
        <f aca="false">AL73*[2]'Inflation indexes'!I166</f>
        <v>490.827465506898</v>
      </c>
      <c r="AS73" s="2" t="n">
        <f aca="false">AN73*[2]'Inflation indexes'!I166</f>
        <v>429.626818938639</v>
      </c>
      <c r="AT73" s="2" t="n">
        <f aca="false">AO73*[2]'Inflation indexes'!I166</f>
        <v>707.217933465959</v>
      </c>
      <c r="AU73" s="2" t="n">
        <f aca="false">AM73*[2]'Inflation indexes'!I166</f>
        <v>482.611374914058</v>
      </c>
    </row>
    <row r="74" customFormat="false" ht="15" hidden="false" customHeight="false" outlineLevel="0" collapsed="false">
      <c r="A74" s="6" t="n">
        <f aca="false">[2]'Retirement benefit values'!B75</f>
        <v>6351.3492051603</v>
      </c>
      <c r="B74" s="7" t="n">
        <v>488.5085898462</v>
      </c>
      <c r="C74" s="7" t="n">
        <v>471.9319687232</v>
      </c>
      <c r="D74" s="7" t="n">
        <v>409.8288061498</v>
      </c>
      <c r="E74" s="7" t="n">
        <v>664.3042497483</v>
      </c>
      <c r="F74" s="7" t="n">
        <f aca="false">F70+1</f>
        <v>2032</v>
      </c>
      <c r="G74" s="4" t="n">
        <f aca="false">A74*[2]'Inflation indexes'!I167</f>
        <v>5891.25828785383</v>
      </c>
      <c r="H74" s="7" t="n">
        <f aca="false">B74*[2]'Inflation indexes'!I167</f>
        <v>453.121090599297</v>
      </c>
      <c r="I74" s="7" t="n">
        <f aca="false">D74*[2]'Inflation indexes'!I167</f>
        <v>380.140860286757</v>
      </c>
      <c r="J74" s="2" t="n">
        <f aca="false">E74*[2]'Inflation indexes'!I167</f>
        <v>616.182135569952</v>
      </c>
      <c r="K74" s="7" t="n">
        <f aca="false">C74*[2]'Inflation indexes'!I167</f>
        <v>437.745277772608</v>
      </c>
      <c r="R74" s="8" t="n">
        <f aca="false">R70+1</f>
        <v>2032</v>
      </c>
      <c r="S74" s="9" t="n">
        <f aca="false">[2]'Retirement benefit values'!R75</f>
        <v>7380.84421278949</v>
      </c>
      <c r="T74" s="8" t="n">
        <v>517.3483134603</v>
      </c>
      <c r="U74" s="8" t="n">
        <v>508.0046967889</v>
      </c>
      <c r="V74" s="8" t="n">
        <v>448.719234694</v>
      </c>
      <c r="W74" s="8" t="n">
        <v>721.3893453693</v>
      </c>
      <c r="X74" s="8" t="n">
        <f aca="false">X70+1</f>
        <v>2032</v>
      </c>
      <c r="Y74" s="3" t="n">
        <f aca="false">S74*[2]'Inflation indexes'!I167</f>
        <v>6846.17680990139</v>
      </c>
      <c r="Z74" s="3" t="n">
        <f aca="false">T74*[2]'Inflation indexes'!I167</f>
        <v>479.871668354168</v>
      </c>
      <c r="AA74" s="3" t="n">
        <f aca="false">V74*[2]'Inflation indexes'!I167</f>
        <v>416.214071202803</v>
      </c>
      <c r="AB74" s="3" t="n">
        <f aca="false">W74*[2]'Inflation indexes'!I167</f>
        <v>669.131994226269</v>
      </c>
      <c r="AC74" s="3" t="n">
        <f aca="false">U74*[2]'Inflation indexes'!I167</f>
        <v>471.204902069425</v>
      </c>
      <c r="AJ74" s="7" t="n">
        <f aca="false">AJ70+1</f>
        <v>2032</v>
      </c>
      <c r="AK74" s="6" t="n">
        <f aca="false">[2]'Retirement benefit values'!AO75</f>
        <v>8430.6600460451</v>
      </c>
      <c r="AL74" s="7" t="n">
        <v>535.3171235557</v>
      </c>
      <c r="AM74" s="7" t="n">
        <v>519.4025121742</v>
      </c>
      <c r="AN74" s="7" t="n">
        <v>457.8145047586</v>
      </c>
      <c r="AO74" s="7" t="n">
        <v>785.1302009004</v>
      </c>
      <c r="AP74" s="7" t="n">
        <f aca="false">AP70+1</f>
        <v>2032</v>
      </c>
      <c r="AQ74" s="2" t="n">
        <f aca="false">AK74*[2]'Inflation indexes'!I167</f>
        <v>7819.94411958771</v>
      </c>
      <c r="AR74" s="2" t="n">
        <f aca="false">AL74*[2]'Inflation indexes'!I167</f>
        <v>496.538820163643</v>
      </c>
      <c r="AS74" s="2" t="n">
        <f aca="false">AN74*[2]'Inflation indexes'!I167</f>
        <v>424.650481076914</v>
      </c>
      <c r="AT74" s="2" t="n">
        <f aca="false">AO74*[2]'Inflation indexes'!I167</f>
        <v>728.255470403171</v>
      </c>
      <c r="AU74" s="2" t="n">
        <f aca="false">AM74*[2]'Inflation indexes'!I167</f>
        <v>481.777061178157</v>
      </c>
    </row>
    <row r="75" customFormat="false" ht="15" hidden="false" customHeight="false" outlineLevel="0" collapsed="false">
      <c r="A75" s="6" t="n">
        <f aca="false">[2]'Retirement benefit values'!B76</f>
        <v>6331.8381979457</v>
      </c>
      <c r="B75" s="7" t="n">
        <v>473.4976103563</v>
      </c>
      <c r="C75" s="7" t="n">
        <v>462.940044409</v>
      </c>
      <c r="D75" s="7" t="n">
        <v>397.5200343639</v>
      </c>
      <c r="E75" s="7" t="n">
        <v>643.8849007728</v>
      </c>
      <c r="F75" s="7" t="n">
        <f aca="false">F71+1</f>
        <v>2032</v>
      </c>
      <c r="G75" s="4" t="n">
        <f aca="false">A75*[2]'Inflation indexes'!I168</f>
        <v>5873.16065548558</v>
      </c>
      <c r="H75" s="7" t="n">
        <f aca="false">B75*[2]'Inflation indexes'!I168</f>
        <v>439.197504527722</v>
      </c>
      <c r="I75" s="7" t="n">
        <f aca="false">D75*[2]'Inflation indexes'!I168</f>
        <v>368.723734341601</v>
      </c>
      <c r="J75" s="2" t="n">
        <f aca="false">E75*[2]'Inflation indexes'!I168</f>
        <v>597.241961600812</v>
      </c>
      <c r="K75" s="7" t="n">
        <f aca="false">C75*[2]'Inflation indexes'!I168</f>
        <v>429.404727296066</v>
      </c>
      <c r="R75" s="8" t="n">
        <f aca="false">R71+1</f>
        <v>2032</v>
      </c>
      <c r="S75" s="9" t="n">
        <f aca="false">[2]'Retirement benefit values'!R76</f>
        <v>7369.20626439879</v>
      </c>
      <c r="T75" s="8" t="n">
        <v>528.4505681489</v>
      </c>
      <c r="U75" s="8" t="n">
        <v>509.9915716206</v>
      </c>
      <c r="V75" s="8" t="n">
        <v>441.5900787255</v>
      </c>
      <c r="W75" s="8" t="n">
        <v>747.665061453</v>
      </c>
      <c r="X75" s="8" t="n">
        <f aca="false">X71+1</f>
        <v>2032</v>
      </c>
      <c r="Y75" s="3" t="n">
        <f aca="false">S75*[2]'Inflation indexes'!I168</f>
        <v>6835.3819129912</v>
      </c>
      <c r="Z75" s="3" t="n">
        <f aca="false">T75*[2]'Inflation indexes'!I168</f>
        <v>490.169677144952</v>
      </c>
      <c r="AA75" s="3" t="n">
        <f aca="false">V75*[2]'Inflation indexes'!I168</f>
        <v>409.601350373234</v>
      </c>
      <c r="AB75" s="3" t="n">
        <f aca="false">W75*[2]'Inflation indexes'!I168</f>
        <v>693.504300825569</v>
      </c>
      <c r="AC75" s="3" t="n">
        <f aca="false">U75*[2]'Inflation indexes'!I168</f>
        <v>473.047847944558</v>
      </c>
      <c r="AJ75" s="7" t="n">
        <f aca="false">AJ71+1</f>
        <v>2032</v>
      </c>
      <c r="AK75" s="6" t="n">
        <f aca="false">[2]'Retirement benefit values'!AO76</f>
        <v>8481.5162305601</v>
      </c>
      <c r="AL75" s="7" t="n">
        <v>540.2703726936</v>
      </c>
      <c r="AM75" s="7" t="n">
        <v>516.6523432311</v>
      </c>
      <c r="AN75" s="7" t="n">
        <v>455.2860520269</v>
      </c>
      <c r="AO75" s="7" t="n">
        <v>806.0950657999</v>
      </c>
      <c r="AP75" s="7" t="n">
        <f aca="false">AP71+1</f>
        <v>2032</v>
      </c>
      <c r="AQ75" s="2" t="n">
        <f aca="false">AK75*[2]'Inflation indexes'!I168</f>
        <v>7867.11628865522</v>
      </c>
      <c r="AR75" s="2" t="n">
        <f aca="false">AL75*[2]'Inflation indexes'!I168</f>
        <v>501.1332565728</v>
      </c>
      <c r="AS75" s="2" t="n">
        <f aca="false">AN75*[2]'Inflation indexes'!I168</f>
        <v>422.305189135011</v>
      </c>
      <c r="AT75" s="2" t="n">
        <f aca="false">AO75*[2]'Inflation indexes'!I168</f>
        <v>747.70164319313</v>
      </c>
      <c r="AU75" s="2" t="n">
        <f aca="false">AM75*[2]'Inflation indexes'!I168</f>
        <v>479.226114118614</v>
      </c>
    </row>
    <row r="76" customFormat="false" ht="15" hidden="false" customHeight="false" outlineLevel="0" collapsed="false">
      <c r="A76" s="6" t="n">
        <f aca="false">[2]'Retirement benefit values'!B77</f>
        <v>6343.9756330241</v>
      </c>
      <c r="B76" s="7" t="n">
        <v>587.4537298032</v>
      </c>
      <c r="C76" s="7" t="n">
        <v>581.8789576823</v>
      </c>
      <c r="D76" s="7" t="n">
        <v>518.0011872675</v>
      </c>
      <c r="E76" s="7" t="n">
        <v>780.138716049</v>
      </c>
      <c r="F76" s="7" t="n">
        <f aca="false">F72+1</f>
        <v>2033</v>
      </c>
      <c r="G76" s="4" t="n">
        <f aca="false">A76*[2]'Inflation indexes'!I169</f>
        <v>5884.41885633223</v>
      </c>
      <c r="H76" s="7" t="n">
        <f aca="false">B76*[2]'Inflation indexes'!I169</f>
        <v>544.898657378483</v>
      </c>
      <c r="I76" s="7" t="n">
        <f aca="false">D76*[2]'Inflation indexes'!I169</f>
        <v>480.477248066974</v>
      </c>
      <c r="J76" s="2" t="n">
        <f aca="false">E76*[2]'Inflation indexes'!I169</f>
        <v>723.625568070669</v>
      </c>
      <c r="K76" s="7" t="n">
        <f aca="false">C76*[2]'Inflation indexes'!I169</f>
        <v>539.727721031059</v>
      </c>
      <c r="R76" s="8" t="n">
        <f aca="false">R72+1</f>
        <v>2033</v>
      </c>
      <c r="S76" s="9" t="n">
        <f aca="false">[2]'Retirement benefit values'!R77</f>
        <v>7350.87988540511</v>
      </c>
      <c r="T76" s="8" t="n">
        <v>645.4243297561</v>
      </c>
      <c r="U76" s="8" t="n">
        <v>635.4594035116</v>
      </c>
      <c r="V76" s="8" t="n">
        <v>564.7231784756</v>
      </c>
      <c r="W76" s="8" t="n">
        <v>897.2183588134</v>
      </c>
      <c r="X76" s="8" t="n">
        <f aca="false">X72+1</f>
        <v>2033</v>
      </c>
      <c r="Y76" s="3" t="n">
        <f aca="false">S76*[2]'Inflation indexes'!I169</f>
        <v>6818.38309452832</v>
      </c>
      <c r="Z76" s="3" t="n">
        <f aca="false">T76*[2]'Inflation indexes'!I169</f>
        <v>598.669874547098</v>
      </c>
      <c r="AA76" s="3" t="n">
        <f aca="false">V76*[2]'Inflation indexes'!I169</f>
        <v>523.814704257561</v>
      </c>
      <c r="AB76" s="3" t="n">
        <f aca="false">W76*[2]'Inflation indexes'!I169</f>
        <v>832.223976612643</v>
      </c>
      <c r="AC76" s="3" t="n">
        <f aca="false">U76*[2]'Inflation indexes'!I169</f>
        <v>589.426806274602</v>
      </c>
      <c r="AJ76" s="7" t="n">
        <f aca="false">AJ72+1</f>
        <v>2033</v>
      </c>
      <c r="AK76" s="6" t="n">
        <f aca="false">[2]'Retirement benefit values'!AO77</f>
        <v>8498.6769172192</v>
      </c>
      <c r="AL76" s="7" t="n">
        <v>661.5836406854</v>
      </c>
      <c r="AM76" s="7" t="n">
        <v>655.0646487507</v>
      </c>
      <c r="AN76" s="7" t="n">
        <v>591.5963894638</v>
      </c>
      <c r="AO76" s="7" t="n">
        <v>956.8906092877</v>
      </c>
      <c r="AP76" s="7" t="n">
        <f aca="false">AP72+1</f>
        <v>2033</v>
      </c>
      <c r="AQ76" s="2" t="n">
        <f aca="false">AK76*[2]'Inflation indexes'!I169</f>
        <v>7883.0338573859</v>
      </c>
      <c r="AR76" s="2" t="n">
        <f aca="false">AL76*[2]'Inflation indexes'!I169</f>
        <v>613.6586070767</v>
      </c>
      <c r="AS76" s="2" t="n">
        <f aca="false">AN76*[2]'Inflation indexes'!I169</f>
        <v>548.741223307537</v>
      </c>
      <c r="AT76" s="2" t="n">
        <f aca="false">AO76*[2]'Inflation indexes'!I169</f>
        <v>887.573576958344</v>
      </c>
      <c r="AU76" s="2" t="n">
        <f aca="false">AM76*[2]'Inflation indexes'!I169</f>
        <v>607.611850077013</v>
      </c>
    </row>
    <row r="77" customFormat="false" ht="15" hidden="false" customHeight="false" outlineLevel="0" collapsed="false">
      <c r="A77" s="6" t="n">
        <f aca="false">[2]'Retirement benefit values'!B78</f>
        <v>6330.8555414127</v>
      </c>
      <c r="B77" s="7" t="n">
        <v>483.1131106481</v>
      </c>
      <c r="C77" s="7" t="n">
        <v>464.4984832489</v>
      </c>
      <c r="D77" s="7" t="n">
        <v>402.5530512648</v>
      </c>
      <c r="E77" s="7" t="n">
        <v>666.4079145476</v>
      </c>
      <c r="F77" s="7" t="n">
        <f aca="false">F73+1</f>
        <v>2033</v>
      </c>
      <c r="G77" s="4" t="n">
        <f aca="false">A77*[2]'Inflation indexes'!I170</f>
        <v>5872.2491824651</v>
      </c>
      <c r="H77" s="7" t="n">
        <f aca="false">B77*[2]'Inflation indexes'!I170</f>
        <v>448.116459218468</v>
      </c>
      <c r="I77" s="7" t="n">
        <f aca="false">D77*[2]'Inflation indexes'!I170</f>
        <v>373.392160147293</v>
      </c>
      <c r="J77" s="2" t="n">
        <f aca="false">E77*[2]'Inflation indexes'!I170</f>
        <v>618.133411162494</v>
      </c>
      <c r="K77" s="7" t="n">
        <f aca="false">C77*[2]'Inflation indexes'!I170</f>
        <v>430.850273027391</v>
      </c>
      <c r="R77" s="8" t="n">
        <f aca="false">R73+1</f>
        <v>2033</v>
      </c>
      <c r="S77" s="9" t="n">
        <f aca="false">[2]'Retirement benefit values'!R78</f>
        <v>7384.6985490097</v>
      </c>
      <c r="T77" s="8" t="n">
        <v>533.0181024348</v>
      </c>
      <c r="U77" s="8" t="n">
        <v>513.901799373</v>
      </c>
      <c r="V77" s="8" t="n">
        <v>456.1136938348</v>
      </c>
      <c r="W77" s="8" t="n">
        <v>729.4544730998</v>
      </c>
      <c r="X77" s="8" t="n">
        <f aca="false">X73+1</f>
        <v>2033</v>
      </c>
      <c r="Y77" s="3" t="n">
        <f aca="false">S77*[2]'Inflation indexes'!I170</f>
        <v>6849.75193850289</v>
      </c>
      <c r="Z77" s="3" t="n">
        <f aca="false">T77*[2]'Inflation indexes'!I170</f>
        <v>494.406339836243</v>
      </c>
      <c r="AA77" s="3" t="n">
        <f aca="false">V77*[2]'Inflation indexes'!I170</f>
        <v>423.072876677086</v>
      </c>
      <c r="AB77" s="3" t="n">
        <f aca="false">W77*[2]'Inflation indexes'!I170</f>
        <v>676.612885144108</v>
      </c>
      <c r="AC77" s="3" t="n">
        <f aca="false">U77*[2]'Inflation indexes'!I170</f>
        <v>476.674819302865</v>
      </c>
      <c r="AJ77" s="7" t="n">
        <f aca="false">AJ73+1</f>
        <v>2033</v>
      </c>
      <c r="AK77" s="6" t="n">
        <f aca="false">[2]'Retirement benefit values'!AO78</f>
        <v>8548.4402657339</v>
      </c>
      <c r="AL77" s="7" t="n">
        <v>534.8744197053</v>
      </c>
      <c r="AM77" s="7" t="n">
        <v>518.4904193435</v>
      </c>
      <c r="AN77" s="7" t="n">
        <v>464.5532861104</v>
      </c>
      <c r="AO77" s="7" t="n">
        <v>801.9648826444</v>
      </c>
      <c r="AP77" s="7" t="n">
        <f aca="false">AP73+1</f>
        <v>2033</v>
      </c>
      <c r="AQ77" s="2" t="n">
        <f aca="false">AK77*[2]'Inflation indexes'!I170</f>
        <v>7929.19235535203</v>
      </c>
      <c r="AR77" s="2" t="n">
        <f aca="false">AL77*[2]'Inflation indexes'!I170</f>
        <v>496.128185723072</v>
      </c>
      <c r="AS77" s="2" t="n">
        <f aca="false">AN77*[2]'Inflation indexes'!I170</f>
        <v>430.901105976671</v>
      </c>
      <c r="AT77" s="2" t="n">
        <f aca="false">AO77*[2]'Inflation indexes'!I170</f>
        <v>743.870649972757</v>
      </c>
      <c r="AU77" s="2" t="n">
        <f aca="false">AM77*[2]'Inflation indexes'!I170</f>
        <v>480.931040234483</v>
      </c>
    </row>
    <row r="78" customFormat="false" ht="15" hidden="false" customHeight="false" outlineLevel="0" collapsed="false">
      <c r="A78" s="6" t="n">
        <f aca="false">[2]'Retirement benefit values'!B79</f>
        <v>6365.6553902141</v>
      </c>
      <c r="B78" s="7" t="n">
        <v>481.7456058786</v>
      </c>
      <c r="C78" s="7" t="n">
        <v>468.6337297114</v>
      </c>
      <c r="D78" s="7" t="n">
        <v>402.8093658327</v>
      </c>
      <c r="E78" s="7" t="n">
        <v>700.3936073769</v>
      </c>
      <c r="F78" s="7" t="n">
        <f aca="false">F74+1</f>
        <v>2033</v>
      </c>
      <c r="G78" s="4" t="n">
        <f aca="false">A78*[2]'Inflation indexes'!I171</f>
        <v>5904.52813470736</v>
      </c>
      <c r="H78" s="7" t="n">
        <f aca="false">B78*[2]'Inflation indexes'!I171</f>
        <v>446.848016318107</v>
      </c>
      <c r="I78" s="7" t="n">
        <f aca="false">D78*[2]'Inflation indexes'!I171</f>
        <v>373.629907320951</v>
      </c>
      <c r="J78" s="2" t="n">
        <f aca="false">E78*[2]'Inflation indexes'!I171</f>
        <v>649.657184786278</v>
      </c>
      <c r="K78" s="7" t="n">
        <f aca="false">C78*[2]'Inflation indexes'!I171</f>
        <v>434.685962769458</v>
      </c>
      <c r="R78" s="8" t="n">
        <f aca="false">R74+1</f>
        <v>2033</v>
      </c>
      <c r="S78" s="9" t="n">
        <f aca="false">[2]'Retirement benefit values'!R79</f>
        <v>7395.92823193328</v>
      </c>
      <c r="T78" s="8" t="n">
        <v>523.338025416</v>
      </c>
      <c r="U78" s="8" t="n">
        <v>508.0359225266</v>
      </c>
      <c r="V78" s="8" t="n">
        <v>446.6987468824</v>
      </c>
      <c r="W78" s="8" t="n">
        <v>731.0748778012</v>
      </c>
      <c r="X78" s="8" t="n">
        <f aca="false">X74+1</f>
        <v>2033</v>
      </c>
      <c r="Y78" s="3" t="n">
        <f aca="false">S78*[2]'Inflation indexes'!I171</f>
        <v>6860.16814464374</v>
      </c>
      <c r="Z78" s="3" t="n">
        <f aca="false">T78*[2]'Inflation indexes'!I171</f>
        <v>485.427486348273</v>
      </c>
      <c r="AA78" s="3" t="n">
        <f aca="false">V78*[2]'Inflation indexes'!I171</f>
        <v>414.339947267699</v>
      </c>
      <c r="AB78" s="3" t="n">
        <f aca="false">W78*[2]'Inflation indexes'!I171</f>
        <v>678.115907937917</v>
      </c>
      <c r="AC78" s="3" t="n">
        <f aca="false">U78*[2]'Inflation indexes'!I171</f>
        <v>471.233865818713</v>
      </c>
      <c r="AJ78" s="7" t="n">
        <f aca="false">AJ74+1</f>
        <v>2033</v>
      </c>
      <c r="AK78" s="6" t="n">
        <f aca="false">[2]'Retirement benefit values'!AO79</f>
        <v>8578.1653660837</v>
      </c>
      <c r="AL78" s="7" t="n">
        <v>539.3422028742</v>
      </c>
      <c r="AM78" s="7" t="n">
        <v>526.3599112994</v>
      </c>
      <c r="AN78" s="7" t="n">
        <v>469.8018335412</v>
      </c>
      <c r="AO78" s="7" t="n">
        <v>798.4414371789</v>
      </c>
      <c r="AP78" s="7" t="n">
        <f aca="false">AP74+1</f>
        <v>2033</v>
      </c>
      <c r="AQ78" s="2" t="n">
        <f aca="false">AK78*[2]'Inflation indexes'!I171</f>
        <v>7956.76417326605</v>
      </c>
      <c r="AR78" s="2" t="n">
        <f aca="false">AL78*[2]'Inflation indexes'!I171</f>
        <v>500.272323255414</v>
      </c>
      <c r="AS78" s="2" t="n">
        <f aca="false">AN78*[2]'Inflation indexes'!I171</f>
        <v>435.769449308474</v>
      </c>
      <c r="AT78" s="2" t="n">
        <f aca="false">AO78*[2]'Inflation indexes'!I171</f>
        <v>740.602442442369</v>
      </c>
      <c r="AU78" s="2" t="n">
        <f aca="false">AM78*[2]'Inflation indexes'!I171</f>
        <v>488.230467208004</v>
      </c>
    </row>
    <row r="79" customFormat="false" ht="15" hidden="false" customHeight="false" outlineLevel="0" collapsed="false">
      <c r="A79" s="6" t="n">
        <f aca="false">[2]'Retirement benefit values'!B80</f>
        <v>6348.3877396837</v>
      </c>
      <c r="B79" s="7" t="n">
        <v>482.2043992667</v>
      </c>
      <c r="C79" s="7" t="n">
        <v>469.4900380278</v>
      </c>
      <c r="D79" s="7" t="n">
        <v>406.8876983029</v>
      </c>
      <c r="E79" s="7" t="n">
        <v>698.527121477</v>
      </c>
      <c r="F79" s="7" t="n">
        <f aca="false">F75+1</f>
        <v>2033</v>
      </c>
      <c r="G79" s="4" t="n">
        <f aca="false">A79*[2]'Inflation indexes'!I172</f>
        <v>5888.51135055442</v>
      </c>
      <c r="H79" s="7" t="n">
        <f aca="false">B79*[2]'Inflation indexes'!I172</f>
        <v>447.273574772342</v>
      </c>
      <c r="I79" s="7" t="n">
        <f aca="false">D79*[2]'Inflation indexes'!I172</f>
        <v>377.412805912981</v>
      </c>
      <c r="J79" s="2" t="n">
        <f aca="false">E79*[2]'Inflation indexes'!I172</f>
        <v>647.925906884251</v>
      </c>
      <c r="K79" s="7" t="n">
        <f aca="false">C79*[2]'Inflation indexes'!I172</f>
        <v>435.480240221854</v>
      </c>
      <c r="R79" s="8" t="n">
        <f aca="false">R75+1</f>
        <v>2033</v>
      </c>
      <c r="S79" s="9" t="n">
        <f aca="false">[2]'Retirement benefit values'!R80</f>
        <v>7390.39517187662</v>
      </c>
      <c r="T79" s="8" t="n">
        <v>533.4464644046</v>
      </c>
      <c r="U79" s="8" t="n">
        <v>510.704046223</v>
      </c>
      <c r="V79" s="8" t="n">
        <v>447.0707894094</v>
      </c>
      <c r="W79" s="8" t="n">
        <v>753.2750601651</v>
      </c>
      <c r="X79" s="8" t="n">
        <f aca="false">X75+1</f>
        <v>2033</v>
      </c>
      <c r="Y79" s="3" t="n">
        <f aca="false">S79*[2]'Inflation indexes'!I172</f>
        <v>6855.035898744</v>
      </c>
      <c r="Z79" s="3" t="n">
        <f aca="false">T79*[2]'Inflation indexes'!I172</f>
        <v>494.803671320196</v>
      </c>
      <c r="AA79" s="3" t="n">
        <f aca="false">V79*[2]'Inflation indexes'!I172</f>
        <v>414.685039082024</v>
      </c>
      <c r="AB79" s="3" t="n">
        <f aca="false">W79*[2]'Inflation indexes'!I172</f>
        <v>698.70791195447</v>
      </c>
      <c r="AC79" s="3" t="n">
        <f aca="false">U79*[2]'Inflation indexes'!I172</f>
        <v>473.708710978646</v>
      </c>
      <c r="AJ79" s="7" t="n">
        <f aca="false">AJ75+1</f>
        <v>2033</v>
      </c>
      <c r="AK79" s="6" t="n">
        <f aca="false">[2]'Retirement benefit values'!AO80</f>
        <v>8590.218760239</v>
      </c>
      <c r="AL79" s="7" t="n">
        <v>541.4435423448</v>
      </c>
      <c r="AM79" s="7" t="n">
        <v>523.308188751</v>
      </c>
      <c r="AN79" s="7" t="n">
        <v>467.0917449259</v>
      </c>
      <c r="AO79" s="7" t="n">
        <v>785.1789930914</v>
      </c>
      <c r="AP79" s="7" t="n">
        <f aca="false">AP75+1</f>
        <v>2033</v>
      </c>
      <c r="AQ79" s="2" t="n">
        <f aca="false">AK79*[2]'Inflation indexes'!I172</f>
        <v>7967.94442110323</v>
      </c>
      <c r="AR79" s="2" t="n">
        <f aca="false">AL79*[2]'Inflation indexes'!I172</f>
        <v>502.221441965768</v>
      </c>
      <c r="AS79" s="2" t="n">
        <f aca="false">AN79*[2]'Inflation indexes'!I172</f>
        <v>433.255679162954</v>
      </c>
      <c r="AT79" s="2" t="n">
        <f aca="false">AO79*[2]'Inflation indexes'!I172</f>
        <v>728.300728094148</v>
      </c>
      <c r="AU79" s="2" t="n">
        <f aca="false">AM79*[2]'Inflation indexes'!I172</f>
        <v>485.399811047438</v>
      </c>
    </row>
    <row r="80" customFormat="false" ht="15" hidden="false" customHeight="false" outlineLevel="0" collapsed="false">
      <c r="A80" s="6" t="n">
        <f aca="false">[2]'Retirement benefit values'!B81</f>
        <v>6364.5475283016</v>
      </c>
      <c r="B80" s="7" t="n">
        <v>589.9938338661</v>
      </c>
      <c r="C80" s="7" t="n">
        <v>578.6264814531</v>
      </c>
      <c r="D80" s="7" t="n">
        <v>514.6040753663</v>
      </c>
      <c r="E80" s="7" t="n">
        <v>788.4490555721</v>
      </c>
      <c r="F80" s="7" t="n">
        <f aca="false">F76+1</f>
        <v>2034</v>
      </c>
      <c r="G80" s="4" t="n">
        <f aca="false">A80*[2]'Inflation indexes'!I173</f>
        <v>5903.50052616892</v>
      </c>
      <c r="H80" s="7" t="n">
        <f aca="false">B80*[2]'Inflation indexes'!I173</f>
        <v>547.254756630657</v>
      </c>
      <c r="I80" s="7" t="n">
        <f aca="false">D80*[2]'Inflation indexes'!I173</f>
        <v>477.326222513781</v>
      </c>
      <c r="J80" s="2" t="n">
        <f aca="false">E80*[2]'Inflation indexes'!I173</f>
        <v>731.333907670477</v>
      </c>
      <c r="K80" s="7" t="n">
        <f aca="false">C80*[2]'Inflation indexes'!I173</f>
        <v>536.71085376044</v>
      </c>
      <c r="R80" s="8" t="n">
        <f aca="false">R76+1</f>
        <v>2034</v>
      </c>
      <c r="S80" s="9" t="n">
        <f aca="false">[2]'Retirement benefit values'!R81</f>
        <v>7393.32283265106</v>
      </c>
      <c r="T80" s="8" t="n">
        <v>635.8912152803</v>
      </c>
      <c r="U80" s="8" t="n">
        <v>633.1227473464</v>
      </c>
      <c r="V80" s="8" t="n">
        <v>566.6680267974</v>
      </c>
      <c r="W80" s="8" t="n">
        <v>880.7052031766</v>
      </c>
      <c r="X80" s="8" t="n">
        <f aca="false">X76+1</f>
        <v>2034</v>
      </c>
      <c r="Y80" s="3" t="n">
        <f aca="false">S80*[2]'Inflation indexes'!I173</f>
        <v>6857.75148014952</v>
      </c>
      <c r="Z80" s="3" t="n">
        <f aca="false">T80*[2]'Inflation indexes'!I173</f>
        <v>589.827337654466</v>
      </c>
      <c r="AA80" s="3" t="n">
        <f aca="false">V80*[2]'Inflation indexes'!I173</f>
        <v>525.618668017751</v>
      </c>
      <c r="AB80" s="3" t="n">
        <f aca="false">W80*[2]'Inflation indexes'!I173</f>
        <v>816.907031840518</v>
      </c>
      <c r="AC80" s="3" t="n">
        <f aca="false">U80*[2]'Inflation indexes'!I173</f>
        <v>587.259417180657</v>
      </c>
      <c r="AJ80" s="7" t="n">
        <f aca="false">AJ76+1</f>
        <v>2034</v>
      </c>
      <c r="AK80" s="6" t="n">
        <f aca="false">[2]'Retirement benefit values'!AO81</f>
        <v>8651.4455948892</v>
      </c>
      <c r="AL80" s="7" t="n">
        <v>670.4926352532</v>
      </c>
      <c r="AM80" s="7" t="n">
        <v>665.7078245954</v>
      </c>
      <c r="AN80" s="7" t="n">
        <v>596.6657404534</v>
      </c>
      <c r="AO80" s="7" t="n">
        <v>949.3365344547</v>
      </c>
      <c r="AP80" s="7" t="n">
        <f aca="false">AP76+1</f>
        <v>2034</v>
      </c>
      <c r="AQ80" s="2" t="n">
        <f aca="false">AK80*[2]'Inflation indexes'!I173</f>
        <v>8024.73599174762</v>
      </c>
      <c r="AR80" s="2" t="n">
        <f aca="false">AL80*[2]'Inflation indexes'!I173</f>
        <v>621.922235226976</v>
      </c>
      <c r="AS80" s="2" t="n">
        <f aca="false">AN80*[2]'Inflation indexes'!I173</f>
        <v>553.44335116523</v>
      </c>
      <c r="AT80" s="2" t="n">
        <f aca="false">AO80*[2]'Inflation indexes'!I173</f>
        <v>880.566718332019</v>
      </c>
      <c r="AU80" s="2" t="n">
        <f aca="false">AM80*[2]'Inflation indexes'!I173</f>
        <v>617.484035636143</v>
      </c>
    </row>
    <row r="81" customFormat="false" ht="15" hidden="false" customHeight="false" outlineLevel="0" collapsed="false">
      <c r="A81" s="6" t="n">
        <f aca="false">[2]'Retirement benefit values'!B82</f>
        <v>6370.1438255216</v>
      </c>
      <c r="B81" s="7" t="n">
        <v>484.9700807176</v>
      </c>
      <c r="C81" s="7" t="n">
        <v>465.9501218693</v>
      </c>
      <c r="D81" s="7" t="n">
        <v>408.7666478652</v>
      </c>
      <c r="E81" s="7" t="n">
        <v>660.207625283</v>
      </c>
      <c r="F81" s="7" t="n">
        <f aca="false">F77+1</f>
        <v>2034</v>
      </c>
      <c r="G81" s="4" t="n">
        <f aca="false">A81*[2]'Inflation indexes'!I174</f>
        <v>5908.69142834004</v>
      </c>
      <c r="H81" s="7" t="n">
        <f aca="false">B81*[2]'Inflation indexes'!I174</f>
        <v>449.838910615621</v>
      </c>
      <c r="I81" s="7" t="n">
        <f aca="false">D81*[2]'Inflation indexes'!I174</f>
        <v>379.15564461131</v>
      </c>
      <c r="J81" s="2" t="n">
        <f aca="false">E81*[2]'Inflation indexes'!I174</f>
        <v>612.382270052589</v>
      </c>
      <c r="K81" s="7" t="n">
        <f aca="false">C81*[2]'Inflation indexes'!I174</f>
        <v>432.196755133342</v>
      </c>
      <c r="R81" s="8" t="n">
        <f aca="false">R77+1</f>
        <v>2034</v>
      </c>
      <c r="S81" s="9" t="n">
        <f aca="false">[2]'Retirement benefit values'!R82</f>
        <v>7429.12503601062</v>
      </c>
      <c r="T81" s="8" t="n">
        <v>520.8292653598</v>
      </c>
      <c r="U81" s="8" t="n">
        <v>503.1985251882</v>
      </c>
      <c r="V81" s="8" t="n">
        <v>443.4331004917</v>
      </c>
      <c r="W81" s="8" t="n">
        <v>710.7624612071</v>
      </c>
      <c r="X81" s="8" t="n">
        <f aca="false">X77+1</f>
        <v>2034</v>
      </c>
      <c r="Y81" s="3" t="n">
        <f aca="false">S81*[2]'Inflation indexes'!I174</f>
        <v>6890.96017651502</v>
      </c>
      <c r="Z81" s="3" t="n">
        <f aca="false">T81*[2]'Inflation indexes'!I174</f>
        <v>483.100460546997</v>
      </c>
      <c r="AA81" s="3" t="n">
        <f aca="false">V81*[2]'Inflation indexes'!I174</f>
        <v>411.31086388038</v>
      </c>
      <c r="AB81" s="3" t="n">
        <f aca="false">W81*[2]'Inflation indexes'!I174</f>
        <v>659.274920182259</v>
      </c>
      <c r="AC81" s="3" t="n">
        <f aca="false">U81*[2]'Inflation indexes'!I174</f>
        <v>466.746888919641</v>
      </c>
      <c r="AJ81" s="7" t="n">
        <f aca="false">AJ77+1</f>
        <v>2034</v>
      </c>
      <c r="AK81" s="6" t="n">
        <f aca="false">[2]'Retirement benefit values'!AO82</f>
        <v>8686.2820320458</v>
      </c>
      <c r="AL81" s="7" t="n">
        <v>568.2227482236</v>
      </c>
      <c r="AM81" s="7" t="n">
        <v>530.8808279686</v>
      </c>
      <c r="AN81" s="7" t="n">
        <v>472.6750942351</v>
      </c>
      <c r="AO81" s="7" t="n">
        <v>858.8092725605</v>
      </c>
      <c r="AP81" s="7" t="n">
        <f aca="false">AP77+1</f>
        <v>2034</v>
      </c>
      <c r="AQ81" s="2" t="n">
        <f aca="false">AK81*[2]'Inflation indexes'!I174</f>
        <v>8057.04888188935</v>
      </c>
      <c r="AR81" s="2" t="n">
        <f aca="false">AL81*[2]'Inflation indexes'!I174</f>
        <v>527.060765624345</v>
      </c>
      <c r="AS81" s="2" t="n">
        <f aca="false">AN81*[2]'Inflation indexes'!I174</f>
        <v>438.434571368264</v>
      </c>
      <c r="AT81" s="2" t="n">
        <f aca="false">AO81*[2]'Inflation indexes'!I174</f>
        <v>796.597239614393</v>
      </c>
      <c r="AU81" s="2" t="n">
        <f aca="false">AM81*[2]'Inflation indexes'!I174</f>
        <v>492.423889256737</v>
      </c>
    </row>
    <row r="82" customFormat="false" ht="15" hidden="false" customHeight="false" outlineLevel="0" collapsed="false">
      <c r="A82" s="6" t="n">
        <f aca="false">[2]'Retirement benefit values'!B83</f>
        <v>6350.4428176157</v>
      </c>
      <c r="B82" s="7" t="n">
        <v>477.1330561164</v>
      </c>
      <c r="C82" s="7" t="n">
        <v>464.050074915</v>
      </c>
      <c r="D82" s="7" t="n">
        <v>404.0656564681</v>
      </c>
      <c r="E82" s="7" t="n">
        <v>658.8406761014</v>
      </c>
      <c r="F82" s="7" t="n">
        <f aca="false">F78+1</f>
        <v>2034</v>
      </c>
      <c r="G82" s="4" t="n">
        <f aca="false">A82*[2]'Inflation indexes'!I175</f>
        <v>5890.41755890607</v>
      </c>
      <c r="H82" s="7" t="n">
        <f aca="false">B82*[2]'Inflation indexes'!I175</f>
        <v>442.569599065814</v>
      </c>
      <c r="I82" s="7" t="n">
        <f aca="false">D82*[2]'Inflation indexes'!I175</f>
        <v>374.795192424743</v>
      </c>
      <c r="J82" s="2" t="n">
        <f aca="false">E82*[2]'Inflation indexes'!I175</f>
        <v>611.114342493412</v>
      </c>
      <c r="K82" s="7" t="n">
        <f aca="false">C82*[2]'Inflation indexes'!I175</f>
        <v>430.434347335368</v>
      </c>
      <c r="R82" s="8" t="n">
        <f aca="false">R78+1</f>
        <v>2034</v>
      </c>
      <c r="S82" s="9" t="n">
        <f aca="false">[2]'Retirement benefit values'!R83</f>
        <v>7457.08781064449</v>
      </c>
      <c r="T82" s="8" t="n">
        <v>515.9267648343</v>
      </c>
      <c r="U82" s="8" t="n">
        <v>504.4319035117</v>
      </c>
      <c r="V82" s="8" t="n">
        <v>445.7186135061</v>
      </c>
      <c r="W82" s="8" t="n">
        <v>728.1379596782</v>
      </c>
      <c r="X82" s="8" t="n">
        <f aca="false">X78+1</f>
        <v>2034</v>
      </c>
      <c r="Y82" s="3" t="n">
        <f aca="false">S82*[2]'Inflation indexes'!I175</f>
        <v>6916.89733136069</v>
      </c>
      <c r="Z82" s="3" t="n">
        <f aca="false">T82*[2]'Inflation indexes'!I175</f>
        <v>478.553096527303</v>
      </c>
      <c r="AA82" s="3" t="n">
        <f aca="false">V82*[2]'Inflation indexes'!I175</f>
        <v>413.430814626773</v>
      </c>
      <c r="AB82" s="3" t="n">
        <f aca="false">W82*[2]'Inflation indexes'!I175</f>
        <v>675.391739784981</v>
      </c>
      <c r="AC82" s="3" t="n">
        <f aca="false">U82*[2]'Inflation indexes'!I175</f>
        <v>467.890921476452</v>
      </c>
      <c r="AJ82" s="7" t="n">
        <f aca="false">AJ78+1</f>
        <v>2034</v>
      </c>
      <c r="AK82" s="6" t="n">
        <f aca="false">[2]'Retirement benefit values'!AO83</f>
        <v>8711.6334021729</v>
      </c>
      <c r="AL82" s="7" t="n">
        <v>558.479903967</v>
      </c>
      <c r="AM82" s="7" t="n">
        <v>526.393038554</v>
      </c>
      <c r="AN82" s="7" t="n">
        <v>470.1427520292</v>
      </c>
      <c r="AO82" s="7" t="n">
        <v>837.3861658202</v>
      </c>
      <c r="AP82" s="7" t="n">
        <f aca="false">AP78+1</f>
        <v>2034</v>
      </c>
      <c r="AQ82" s="2" t="n">
        <f aca="false">AK82*[2]'Inflation indexes'!I175</f>
        <v>8080.56380203394</v>
      </c>
      <c r="AR82" s="2" t="n">
        <f aca="false">AL82*[2]'Inflation indexes'!I175</f>
        <v>518.023691749186</v>
      </c>
      <c r="AS82" s="2" t="n">
        <f aca="false">AN82*[2]'Inflation indexes'!I175</f>
        <v>436.085671705171</v>
      </c>
      <c r="AT82" s="2" t="n">
        <f aca="false">AO82*[2]'Inflation indexes'!I175</f>
        <v>776.726019963483</v>
      </c>
      <c r="AU82" s="2" t="n">
        <f aca="false">AM82*[2]'Inflation indexes'!I175</f>
        <v>488.261194728553</v>
      </c>
    </row>
    <row r="83" customFormat="false" ht="15" hidden="false" customHeight="false" outlineLevel="0" collapsed="false">
      <c r="A83" s="6" t="n">
        <f aca="false">[2]'Retirement benefit values'!B84</f>
        <v>6324.9867174337</v>
      </c>
      <c r="B83" s="7" t="n">
        <v>475.4969925235</v>
      </c>
      <c r="C83" s="7" t="n">
        <v>463.8316722274</v>
      </c>
      <c r="D83" s="7" t="n">
        <v>401.7222862017</v>
      </c>
      <c r="E83" s="7" t="n">
        <v>671.8824314754</v>
      </c>
      <c r="F83" s="7" t="n">
        <f aca="false">F79+1</f>
        <v>2034</v>
      </c>
      <c r="G83" s="4" t="n">
        <f aca="false">A83*[2]'Inflation indexes'!I176</f>
        <v>5866.80549533825</v>
      </c>
      <c r="H83" s="7" t="n">
        <f aca="false">B83*[2]'Inflation indexes'!I176</f>
        <v>441.052051708585</v>
      </c>
      <c r="I83" s="7" t="n">
        <f aca="false">D83*[2]'Inflation indexes'!I176</f>
        <v>372.621575598223</v>
      </c>
      <c r="J83" s="2" t="n">
        <f aca="false">E83*[2]'Inflation indexes'!I176</f>
        <v>623.211354790078</v>
      </c>
      <c r="K83" s="7" t="n">
        <f aca="false">C83*[2]'Inflation indexes'!I176</f>
        <v>430.231765710291</v>
      </c>
      <c r="R83" s="8" t="n">
        <f aca="false">R79+1</f>
        <v>2034</v>
      </c>
      <c r="S83" s="9" t="n">
        <f aca="false">[2]'Retirement benefit values'!R84</f>
        <v>7460.33787082545</v>
      </c>
      <c r="T83" s="8" t="n">
        <v>520.1117691106</v>
      </c>
      <c r="U83" s="8" t="n">
        <v>507.190854442</v>
      </c>
      <c r="V83" s="8" t="n">
        <v>441.5441426053</v>
      </c>
      <c r="W83" s="8" t="n">
        <v>752.902788282</v>
      </c>
      <c r="X83" s="8" t="n">
        <f aca="false">X79+1</f>
        <v>2034</v>
      </c>
      <c r="Y83" s="3" t="n">
        <f aca="false">S83*[2]'Inflation indexes'!I176</f>
        <v>6919.91195760129</v>
      </c>
      <c r="Z83" s="3" t="n">
        <f aca="false">T83*[2]'Inflation indexes'!I176</f>
        <v>482.434939633555</v>
      </c>
      <c r="AA83" s="3" t="n">
        <f aca="false">V83*[2]'Inflation indexes'!I176</f>
        <v>409.558741859657</v>
      </c>
      <c r="AB83" s="3" t="n">
        <f aca="false">W83*[2]'Inflation indexes'!I176</f>
        <v>698.362607398571</v>
      </c>
      <c r="AC83" s="3" t="n">
        <f aca="false">U83*[2]'Inflation indexes'!I176</f>
        <v>470.450014357175</v>
      </c>
      <c r="AJ83" s="7" t="n">
        <f aca="false">AJ79+1</f>
        <v>2034</v>
      </c>
      <c r="AK83" s="6" t="n">
        <f aca="false">[2]'Retirement benefit values'!AO84</f>
        <v>8775.050608009</v>
      </c>
      <c r="AL83" s="7" t="n">
        <v>550.3690670358</v>
      </c>
      <c r="AM83" s="7" t="n">
        <v>525.9651716416</v>
      </c>
      <c r="AN83" s="7" t="n">
        <v>467.2926193589</v>
      </c>
      <c r="AO83" s="7" t="n">
        <v>818.3317829167</v>
      </c>
      <c r="AP83" s="7" t="n">
        <f aca="false">AP79+1</f>
        <v>2034</v>
      </c>
      <c r="AQ83" s="2" t="n">
        <f aca="false">AK83*[2]'Inflation indexes'!I176</f>
        <v>8139.38707365801</v>
      </c>
      <c r="AR83" s="2" t="n">
        <f aca="false">AL83*[2]'Inflation indexes'!I176</f>
        <v>510.500402799251</v>
      </c>
      <c r="AS83" s="2" t="n">
        <f aca="false">AN83*[2]'Inflation indexes'!I176</f>
        <v>433.442002277934</v>
      </c>
      <c r="AT83" s="2" t="n">
        <f aca="false">AO83*[2]'Inflation indexes'!I176</f>
        <v>759.051934100124</v>
      </c>
      <c r="AU83" s="2" t="n">
        <f aca="false">AM83*[2]'Inflation indexes'!I176</f>
        <v>487.864322440106</v>
      </c>
    </row>
    <row r="84" customFormat="false" ht="15" hidden="false" customHeight="false" outlineLevel="0" collapsed="false">
      <c r="A84" s="6" t="n">
        <f aca="false">[2]'Retirement benefit values'!B85</f>
        <v>6300.7784406322</v>
      </c>
      <c r="B84" s="7" t="n">
        <v>587.9224081611</v>
      </c>
      <c r="C84" s="7" t="n">
        <v>580.1860913614</v>
      </c>
      <c r="D84" s="7" t="n">
        <v>515.732398148</v>
      </c>
      <c r="E84" s="7" t="n">
        <v>803.6821172338</v>
      </c>
      <c r="F84" s="7" t="n">
        <f aca="false">F80+1</f>
        <v>2035</v>
      </c>
      <c r="G84" s="4" t="n">
        <f aca="false">A84*[2]'Inflation indexes'!I177</f>
        <v>5844.35086298618</v>
      </c>
      <c r="H84" s="7" t="n">
        <f aca="false">B84*[2]'Inflation indexes'!I177</f>
        <v>545.333384736581</v>
      </c>
      <c r="I84" s="7" t="n">
        <f aca="false">D84*[2]'Inflation indexes'!I177</f>
        <v>478.372809738691</v>
      </c>
      <c r="J84" s="2" t="n">
        <f aca="false">E84*[2]'Inflation indexes'!I177</f>
        <v>745.463488309968</v>
      </c>
      <c r="K84" s="7" t="n">
        <f aca="false">C84*[2]'Inflation indexes'!I177</f>
        <v>538.157485728121</v>
      </c>
      <c r="R84" s="8" t="n">
        <f aca="false">R80+1</f>
        <v>2035</v>
      </c>
      <c r="S84" s="9" t="n">
        <f aca="false">[2]'Retirement benefit values'!R85</f>
        <v>7463.84477744591</v>
      </c>
      <c r="T84" s="8" t="n">
        <v>626.7297287509</v>
      </c>
      <c r="U84" s="8" t="n">
        <v>628.7206627422</v>
      </c>
      <c r="V84" s="8" t="n">
        <v>564.7171820702</v>
      </c>
      <c r="W84" s="8" t="n">
        <v>867.5745139281</v>
      </c>
      <c r="X84" s="8" t="n">
        <f aca="false">X80+1</f>
        <v>2035</v>
      </c>
      <c r="Y84" s="3" t="n">
        <f aca="false">S84*[2]'Inflation indexes'!I177</f>
        <v>6923.16482435844</v>
      </c>
      <c r="Z84" s="3" t="n">
        <f aca="false">T84*[2]'Inflation indexes'!I177</f>
        <v>581.329508027725</v>
      </c>
      <c r="AA84" s="3" t="n">
        <f aca="false">V84*[2]'Inflation indexes'!I177</f>
        <v>523.809142230994</v>
      </c>
      <c r="AB84" s="3" t="n">
        <f aca="false">W84*[2]'Inflation indexes'!I177</f>
        <v>804.727528027752</v>
      </c>
      <c r="AC84" s="3" t="n">
        <f aca="false">U84*[2]'Inflation indexes'!I177</f>
        <v>583.176219017461</v>
      </c>
      <c r="AJ84" s="7" t="n">
        <f aca="false">AJ80+1</f>
        <v>2035</v>
      </c>
      <c r="AK84" s="6" t="n">
        <f aca="false">[2]'Retirement benefit values'!AO85</f>
        <v>8793.9374097294</v>
      </c>
      <c r="AL84" s="7" t="n">
        <v>677.9543667695</v>
      </c>
      <c r="AM84" s="7" t="n">
        <v>669.9655292159</v>
      </c>
      <c r="AN84" s="7" t="n">
        <v>615.0591348964</v>
      </c>
      <c r="AO84" s="7" t="n">
        <v>960.5682927606</v>
      </c>
      <c r="AP84" s="7" t="n">
        <f aca="false">AP80+1</f>
        <v>2035</v>
      </c>
      <c r="AQ84" s="2" t="n">
        <f aca="false">AK84*[2]'Inflation indexes'!I177</f>
        <v>8156.90571789756</v>
      </c>
      <c r="AR84" s="2" t="n">
        <f aca="false">AL84*[2]'Inflation indexes'!I177</f>
        <v>628.843439874553</v>
      </c>
      <c r="AS84" s="2" t="n">
        <f aca="false">AN84*[2]'Inflation indexes'!I177</f>
        <v>570.504330486922</v>
      </c>
      <c r="AT84" s="2" t="n">
        <f aca="false">AO84*[2]'Inflation indexes'!I177</f>
        <v>890.984849514767</v>
      </c>
      <c r="AU84" s="2" t="n">
        <f aca="false">AM84*[2]'Inflation indexes'!I177</f>
        <v>621.433312683038</v>
      </c>
    </row>
    <row r="85" customFormat="false" ht="15" hidden="false" customHeight="false" outlineLevel="0" collapsed="false">
      <c r="A85" s="6" t="n">
        <f aca="false">[2]'Retirement benefit values'!B86</f>
        <v>6303.05098201</v>
      </c>
      <c r="B85" s="7" t="n">
        <v>468.2439875406</v>
      </c>
      <c r="C85" s="7" t="n">
        <v>462.2955583593</v>
      </c>
      <c r="D85" s="7" t="n">
        <v>398.5822399726</v>
      </c>
      <c r="E85" s="7" t="n">
        <v>650.8121317596</v>
      </c>
      <c r="F85" s="7" t="n">
        <f aca="false">F81+1</f>
        <v>2035</v>
      </c>
      <c r="G85" s="4" t="n">
        <f aca="false">A85*[2]'Inflation indexes'!I178</f>
        <v>5846.45878175965</v>
      </c>
      <c r="H85" s="7" t="n">
        <f aca="false">B85*[2]'Inflation indexes'!I178</f>
        <v>434.324453471247</v>
      </c>
      <c r="I85" s="7" t="n">
        <f aca="false">D85*[2]'Inflation indexes'!I178</f>
        <v>369.708993912996</v>
      </c>
      <c r="J85" s="2" t="n">
        <f aca="false">E85*[2]'Inflation indexes'!I178</f>
        <v>603.667384868314</v>
      </c>
      <c r="K85" s="7" t="n">
        <f aca="false">C85*[2]'Inflation indexes'!I178</f>
        <v>428.806927732688</v>
      </c>
      <c r="R85" s="8" t="n">
        <f aca="false">R81+1</f>
        <v>2035</v>
      </c>
      <c r="S85" s="9" t="n">
        <f aca="false">[2]'Retirement benefit values'!R86</f>
        <v>7479.07941469532</v>
      </c>
      <c r="T85" s="8" t="n">
        <v>513.545908948</v>
      </c>
      <c r="U85" s="8" t="n">
        <v>503.4411409197</v>
      </c>
      <c r="V85" s="8" t="n">
        <v>438.934328426</v>
      </c>
      <c r="W85" s="8" t="n">
        <v>741.4837818054</v>
      </c>
      <c r="X85" s="8" t="n">
        <f aca="false">X81+1</f>
        <v>2035</v>
      </c>
      <c r="Y85" s="3" t="n">
        <f aca="false">S85*[2]'Inflation indexes'!I178</f>
        <v>6937.29586645027</v>
      </c>
      <c r="Z85" s="3" t="n">
        <f aca="false">T85*[2]'Inflation indexes'!I178</f>
        <v>476.344709534354</v>
      </c>
      <c r="AA85" s="3" t="n">
        <f aca="false">V85*[2]'Inflation indexes'!I178</f>
        <v>407.137982282926</v>
      </c>
      <c r="AB85" s="3" t="n">
        <f aca="false">W85*[2]'Inflation indexes'!I178</f>
        <v>687.770792278459</v>
      </c>
      <c r="AC85" s="3" t="n">
        <f aca="false">U85*[2]'Inflation indexes'!I178</f>
        <v>466.971929598841</v>
      </c>
      <c r="AJ85" s="7" t="n">
        <f aca="false">AJ81+1</f>
        <v>2035</v>
      </c>
      <c r="AK85" s="6" t="n">
        <f aca="false">[2]'Retirement benefit values'!AO86</f>
        <v>8836.4334353932</v>
      </c>
      <c r="AL85" s="7" t="n">
        <v>555.8190030137</v>
      </c>
      <c r="AM85" s="7" t="n">
        <v>526.4803468101</v>
      </c>
      <c r="AN85" s="7" t="n">
        <v>469.0069068342</v>
      </c>
      <c r="AO85" s="7" t="n">
        <v>857.9098228471</v>
      </c>
      <c r="AP85" s="7" t="n">
        <f aca="false">AP81+1</f>
        <v>2035</v>
      </c>
      <c r="AQ85" s="2" t="n">
        <f aca="false">AK85*[2]'Inflation indexes'!I178</f>
        <v>8196.32333694286</v>
      </c>
      <c r="AR85" s="2" t="n">
        <f aca="false">AL85*[2]'Inflation indexes'!I178</f>
        <v>515.555546117775</v>
      </c>
      <c r="AS85" s="2" t="n">
        <f aca="false">AN85*[2]'Inflation indexes'!I178</f>
        <v>435.03210698961</v>
      </c>
      <c r="AT85" s="2" t="n">
        <f aca="false">AO85*[2]'Inflation indexes'!I178</f>
        <v>795.762945922232</v>
      </c>
      <c r="AU85" s="2" t="n">
        <f aca="false">AM85*[2]'Inflation indexes'!I178</f>
        <v>488.342178385841</v>
      </c>
    </row>
    <row r="86" customFormat="false" ht="15" hidden="false" customHeight="false" outlineLevel="0" collapsed="false">
      <c r="A86" s="6" t="n">
        <f aca="false">[2]'Retirement benefit values'!B87</f>
        <v>6296.6236215063</v>
      </c>
      <c r="B86" s="7" t="n">
        <v>469.0019933366</v>
      </c>
      <c r="C86" s="7" t="n">
        <v>456.1109383265</v>
      </c>
      <c r="D86" s="7" t="n">
        <v>392.6954830342</v>
      </c>
      <c r="E86" s="7" t="n">
        <v>645.6347389757</v>
      </c>
      <c r="F86" s="7" t="n">
        <f aca="false">F82+1</f>
        <v>2035</v>
      </c>
      <c r="G86" s="4" t="n">
        <f aca="false">A86*[2]'Inflation indexes'!I179</f>
        <v>5840.49701842192</v>
      </c>
      <c r="H86" s="7" t="n">
        <f aca="false">B86*[2]'Inflation indexes'!I179</f>
        <v>435.027549425142</v>
      </c>
      <c r="I86" s="7" t="n">
        <f aca="false">D86*[2]'Inflation indexes'!I179</f>
        <v>364.248672888016</v>
      </c>
      <c r="J86" s="2" t="n">
        <f aca="false">E86*[2]'Inflation indexes'!I179</f>
        <v>598.865041749966</v>
      </c>
      <c r="K86" s="7" t="n">
        <f aca="false">C86*[2]'Inflation indexes'!I179</f>
        <v>423.070320777451</v>
      </c>
      <c r="R86" s="8" t="n">
        <f aca="false">R82+1</f>
        <v>2035</v>
      </c>
      <c r="S86" s="9" t="n">
        <f aca="false">[2]'Retirement benefit values'!R87</f>
        <v>7487.71545865687</v>
      </c>
      <c r="T86" s="8" t="n">
        <v>522.4302860814</v>
      </c>
      <c r="U86" s="8" t="n">
        <v>513.0195117529</v>
      </c>
      <c r="V86" s="8" t="n">
        <v>454.1630175579</v>
      </c>
      <c r="W86" s="8" t="n">
        <v>735.0665735805</v>
      </c>
      <c r="X86" s="8" t="n">
        <f aca="false">X82+1</f>
        <v>2035</v>
      </c>
      <c r="Y86" s="3" t="n">
        <f aca="false">S86*[2]'Inflation indexes'!I179</f>
        <v>6945.30631650101</v>
      </c>
      <c r="Z86" s="3" t="n">
        <f aca="false">T86*[2]'Inflation indexes'!I179</f>
        <v>484.585503534003</v>
      </c>
      <c r="AA86" s="3" t="n">
        <f aca="false">V86*[2]'Inflation indexes'!I179</f>
        <v>421.263507138111</v>
      </c>
      <c r="AB86" s="3" t="n">
        <f aca="false">W86*[2]'Inflation indexes'!I179</f>
        <v>681.818445789762</v>
      </c>
      <c r="AC86" s="3" t="n">
        <f aca="false">U86*[2]'Inflation indexes'!I179</f>
        <v>475.856444484179</v>
      </c>
      <c r="AJ86" s="7" t="n">
        <f aca="false">AJ82+1</f>
        <v>2035</v>
      </c>
      <c r="AK86" s="6" t="n">
        <f aca="false">[2]'Retirement benefit values'!AO87</f>
        <v>8879.2392824633</v>
      </c>
      <c r="AL86" s="7" t="n">
        <v>544.6582145601</v>
      </c>
      <c r="AM86" s="7" t="n">
        <v>517.968285343</v>
      </c>
      <c r="AN86" s="7" t="n">
        <v>464.6575528795</v>
      </c>
      <c r="AO86" s="7" t="n">
        <v>848.0505727114</v>
      </c>
      <c r="AP86" s="7" t="n">
        <f aca="false">AP82+1</f>
        <v>2035</v>
      </c>
      <c r="AQ86" s="2" t="n">
        <f aca="false">AK86*[2]'Inflation indexes'!I179</f>
        <v>8236.02833397175</v>
      </c>
      <c r="AR86" s="2" t="n">
        <f aca="false">AL86*[2]'Inflation indexes'!I179</f>
        <v>505.203243740378</v>
      </c>
      <c r="AS86" s="2" t="n">
        <f aca="false">AN86*[2]'Inflation indexes'!I179</f>
        <v>430.997819674465</v>
      </c>
      <c r="AT86" s="2" t="n">
        <f aca="false">AO86*[2]'Inflation indexes'!I179</f>
        <v>786.617898594843</v>
      </c>
      <c r="AU86" s="2" t="n">
        <f aca="false">AM86*[2]'Inflation indexes'!I179</f>
        <v>480.446729553641</v>
      </c>
    </row>
    <row r="87" customFormat="false" ht="15" hidden="false" customHeight="false" outlineLevel="0" collapsed="false">
      <c r="A87" s="6" t="n">
        <f aca="false">[2]'Retirement benefit values'!B88</f>
        <v>6300.9291553524</v>
      </c>
      <c r="B87" s="7" t="n">
        <v>470.8841466669</v>
      </c>
      <c r="C87" s="7" t="n">
        <v>461.0691765632</v>
      </c>
      <c r="D87" s="7" t="n">
        <v>402.4260018848</v>
      </c>
      <c r="E87" s="7" t="n">
        <v>655.4597848315</v>
      </c>
      <c r="F87" s="7" t="n">
        <f aca="false">F83+1</f>
        <v>2035</v>
      </c>
      <c r="G87" s="4" t="n">
        <f aca="false">A87*[2]'Inflation indexes'!I180</f>
        <v>5844.49065995148</v>
      </c>
      <c r="H87" s="7" t="n">
        <f aca="false">B87*[2]'Inflation indexes'!I180</f>
        <v>436.773359810931</v>
      </c>
      <c r="I87" s="7" t="n">
        <f aca="false">D87*[2]'Inflation indexes'!I180</f>
        <v>373.274314207996</v>
      </c>
      <c r="J87" s="2" t="n">
        <f aca="false">E87*[2]'Inflation indexes'!I180</f>
        <v>607.97836255108</v>
      </c>
      <c r="K87" s="7" t="n">
        <f aca="false">C87*[2]'Inflation indexes'!I180</f>
        <v>427.669384875735</v>
      </c>
      <c r="R87" s="8" t="n">
        <f aca="false">R83+1</f>
        <v>2035</v>
      </c>
      <c r="S87" s="9" t="n">
        <f aca="false">[2]'Retirement benefit values'!R88</f>
        <v>7494.60706394945</v>
      </c>
      <c r="T87" s="8" t="n">
        <v>529.4657594006</v>
      </c>
      <c r="U87" s="8" t="n">
        <v>510.5716450605</v>
      </c>
      <c r="V87" s="8" t="n">
        <v>454.0971995271</v>
      </c>
      <c r="W87" s="8" t="n">
        <v>761.4219218006</v>
      </c>
      <c r="X87" s="8" t="n">
        <f aca="false">X83+1</f>
        <v>2035</v>
      </c>
      <c r="Y87" s="3" t="n">
        <f aca="false">S87*[2]'Inflation indexes'!I180</f>
        <v>6951.69869479499</v>
      </c>
      <c r="Z87" s="3" t="n">
        <f aca="false">T87*[2]'Inflation indexes'!I180</f>
        <v>491.111328073305</v>
      </c>
      <c r="AA87" s="3" t="n">
        <f aca="false">V87*[2]'Inflation indexes'!I180</f>
        <v>421.202456956974</v>
      </c>
      <c r="AB87" s="3" t="n">
        <f aca="false">W87*[2]'Inflation indexes'!I180</f>
        <v>706.264615983772</v>
      </c>
      <c r="AC87" s="3" t="n">
        <f aca="false">U87*[2]'Inflation indexes'!I180</f>
        <v>473.585900939282</v>
      </c>
      <c r="AJ87" s="7" t="n">
        <f aca="false">AJ83+1</f>
        <v>2035</v>
      </c>
      <c r="AK87" s="6" t="n">
        <f aca="false">[2]'Retirement benefit values'!AO88</f>
        <v>8931.9981298514</v>
      </c>
      <c r="AL87" s="7" t="n">
        <v>533.4281117633</v>
      </c>
      <c r="AM87" s="7" t="n">
        <v>508.5670114484</v>
      </c>
      <c r="AN87" s="7" t="n">
        <v>455.0884572386</v>
      </c>
      <c r="AO87" s="7" t="n">
        <v>819.7314579404</v>
      </c>
      <c r="AP87" s="7" t="n">
        <f aca="false">AP83+1</f>
        <v>2035</v>
      </c>
      <c r="AQ87" s="2" t="n">
        <f aca="false">AK87*[2]'Inflation indexes'!I180</f>
        <v>8284.96533725921</v>
      </c>
      <c r="AR87" s="2" t="n">
        <f aca="false">AL87*[2]'Inflation indexes'!I180</f>
        <v>494.786648141864</v>
      </c>
      <c r="AS87" s="2" t="n">
        <f aca="false">AN87*[2]'Inflation indexes'!I180</f>
        <v>422.121908087692</v>
      </c>
      <c r="AT87" s="2" t="n">
        <f aca="false">AO87*[2]'Inflation indexes'!I180</f>
        <v>760.350216845619</v>
      </c>
      <c r="AU87" s="2" t="n">
        <f aca="false">AM87*[2]'Inflation indexes'!I180</f>
        <v>471.726482727511</v>
      </c>
    </row>
    <row r="88" customFormat="false" ht="15" hidden="false" customHeight="false" outlineLevel="0" collapsed="false">
      <c r="A88" s="6" t="n">
        <f aca="false">[2]'Retirement benefit values'!B89</f>
        <v>6283.5001481756</v>
      </c>
      <c r="B88" s="7" t="n">
        <v>585.8679317705</v>
      </c>
      <c r="C88" s="7" t="n">
        <v>578.96329218</v>
      </c>
      <c r="D88" s="7" t="n">
        <v>515.9389592545</v>
      </c>
      <c r="E88" s="7" t="n">
        <v>781.4299294949</v>
      </c>
      <c r="F88" s="7" t="n">
        <f aca="false">F84+1</f>
        <v>2036</v>
      </c>
      <c r="G88" s="4" t="n">
        <f aca="false">A88*[2]'Inflation indexes'!I181</f>
        <v>5828.3242078068</v>
      </c>
      <c r="H88" s="7" t="n">
        <f aca="false">B88*[2]'Inflation indexes'!I181</f>
        <v>543.427734350757</v>
      </c>
      <c r="I88" s="7" t="n">
        <f aca="false">D88*[2]'Inflation indexes'!I181</f>
        <v>478.564407585276</v>
      </c>
      <c r="J88" s="2" t="n">
        <f aca="false">E88*[2]'Inflation indexes'!I181</f>
        <v>724.823246181072</v>
      </c>
      <c r="K88" s="7" t="n">
        <f aca="false">C88*[2]'Inflation indexes'!I181</f>
        <v>537.023265961721</v>
      </c>
      <c r="R88" s="8" t="n">
        <f aca="false">R84+1</f>
        <v>2036</v>
      </c>
      <c r="S88" s="9" t="n">
        <f aca="false">[2]'Retirement benefit values'!R89</f>
        <v>7531.6177484579</v>
      </c>
      <c r="T88" s="8" t="n">
        <v>643.1901011931</v>
      </c>
      <c r="U88" s="8" t="n">
        <v>634.2407626495</v>
      </c>
      <c r="V88" s="8" t="n">
        <v>573.3674752017</v>
      </c>
      <c r="W88" s="8" t="n">
        <v>910.0500216127</v>
      </c>
      <c r="X88" s="8" t="n">
        <f aca="false">X84+1</f>
        <v>2036</v>
      </c>
      <c r="Y88" s="3" t="n">
        <f aca="false">S88*[2]'Inflation indexes'!I181</f>
        <v>6986.02833009081</v>
      </c>
      <c r="Z88" s="3" t="n">
        <f aca="false">T88*[2]'Inflation indexes'!I181</f>
        <v>596.59749321306</v>
      </c>
      <c r="AA88" s="3" t="n">
        <f aca="false">V88*[2]'Inflation indexes'!I181</f>
        <v>531.832809243652</v>
      </c>
      <c r="AB88" s="3" t="n">
        <f aca="false">W88*[2]'Inflation indexes'!I181</f>
        <v>844.126115413624</v>
      </c>
      <c r="AC88" s="3" t="n">
        <f aca="false">U88*[2]'Inflation indexes'!I181</f>
        <v>588.296443599387</v>
      </c>
      <c r="AJ88" s="7" t="n">
        <f aca="false">AJ84+1</f>
        <v>2036</v>
      </c>
      <c r="AK88" s="6" t="n">
        <f aca="false">[2]'Retirement benefit values'!AO89</f>
        <v>8919.8896332579</v>
      </c>
      <c r="AL88" s="7" t="n">
        <v>691.5028039294</v>
      </c>
      <c r="AM88" s="7" t="n">
        <v>669.4022406241</v>
      </c>
      <c r="AN88" s="7" t="n">
        <v>614.6877998916</v>
      </c>
      <c r="AO88" s="7" t="n">
        <v>1012.8580031733</v>
      </c>
      <c r="AP88" s="7" t="n">
        <f aca="false">AP84+1</f>
        <v>2036</v>
      </c>
      <c r="AQ88" s="2" t="n">
        <f aca="false">AK88*[2]'Inflation indexes'!I181</f>
        <v>8273.73397859735</v>
      </c>
      <c r="AR88" s="2" t="n">
        <f aca="false">AL88*[2]'Inflation indexes'!I181</f>
        <v>641.410429993893</v>
      </c>
      <c r="AS88" s="2" t="n">
        <f aca="false">AN88*[2]'Inflation indexes'!I181</f>
        <v>570.15989494198</v>
      </c>
      <c r="AT88" s="2" t="n">
        <f aca="false">AO88*[2]'Inflation indexes'!I181</f>
        <v>939.486700048826</v>
      </c>
      <c r="AU88" s="2" t="n">
        <f aca="false">AM88*[2]'Inflation indexes'!I181</f>
        <v>620.910828644183</v>
      </c>
    </row>
    <row r="89" customFormat="false" ht="15" hidden="false" customHeight="false" outlineLevel="0" collapsed="false">
      <c r="A89" s="6" t="n">
        <f aca="false">[2]'Retirement benefit values'!B90</f>
        <v>6279.0288240866</v>
      </c>
      <c r="B89" s="7" t="n">
        <v>463.4422766667</v>
      </c>
      <c r="C89" s="7" t="n">
        <v>453.6387246089</v>
      </c>
      <c r="D89" s="7" t="n">
        <v>387.0533695766</v>
      </c>
      <c r="E89" s="7" t="n">
        <v>639.1784966511</v>
      </c>
      <c r="F89" s="7" t="n">
        <f aca="false">F85+1</f>
        <v>2036</v>
      </c>
      <c r="G89" s="4" t="n">
        <f aca="false">A89*[2]'Inflation indexes'!I182</f>
        <v>5824.17678585816</v>
      </c>
      <c r="H89" s="7" t="n">
        <f aca="false">B89*[2]'Inflation indexes'!I182</f>
        <v>429.870577913789</v>
      </c>
      <c r="I89" s="7" t="n">
        <f aca="false">D89*[2]'Inflation indexes'!I182</f>
        <v>359.015273401637</v>
      </c>
      <c r="J89" s="2" t="n">
        <f aca="false">E89*[2]'Inflation indexes'!I182</f>
        <v>592.876488786717</v>
      </c>
      <c r="K89" s="7" t="n">
        <f aca="false">C89*[2]'Inflation indexes'!I182</f>
        <v>420.77719390272</v>
      </c>
      <c r="R89" s="8" t="n">
        <f aca="false">R85+1</f>
        <v>2036</v>
      </c>
      <c r="S89" s="9" t="n">
        <f aca="false">[2]'Retirement benefit values'!R90</f>
        <v>7510.18752612397</v>
      </c>
      <c r="T89" s="8" t="n">
        <v>518.1998543929</v>
      </c>
      <c r="U89" s="8" t="n">
        <v>491.4490710546</v>
      </c>
      <c r="V89" s="8" t="n">
        <v>430.9673168706</v>
      </c>
      <c r="W89" s="8" t="n">
        <v>759.8008692433</v>
      </c>
      <c r="X89" s="8" t="n">
        <f aca="false">X85+1</f>
        <v>2036</v>
      </c>
      <c r="Y89" s="3" t="n">
        <f aca="false">S89*[2]'Inflation indexes'!I182</f>
        <v>6966.15051029895</v>
      </c>
      <c r="Z89" s="3" t="n">
        <f aca="false">T89*[2]'Inflation indexes'!I182</f>
        <v>480.661523771431</v>
      </c>
      <c r="AA89" s="3" t="n">
        <f aca="false">V89*[2]'Inflation indexes'!I182</f>
        <v>399.748100017116</v>
      </c>
      <c r="AB89" s="3" t="n">
        <f aca="false">W89*[2]'Inflation indexes'!I182</f>
        <v>704.76099226466</v>
      </c>
      <c r="AC89" s="3" t="n">
        <f aca="false">U89*[2]'Inflation indexes'!I182</f>
        <v>455.848563728186</v>
      </c>
      <c r="AJ89" s="7" t="n">
        <f aca="false">AJ85+1</f>
        <v>2036</v>
      </c>
      <c r="AK89" s="6" t="n">
        <f aca="false">[2]'Retirement benefit values'!AO90</f>
        <v>8956.5948758949</v>
      </c>
      <c r="AL89" s="7" t="n">
        <v>559.4562503866</v>
      </c>
      <c r="AM89" s="7" t="n">
        <v>528.9470392972</v>
      </c>
      <c r="AN89" s="7" t="n">
        <v>474.0106603297</v>
      </c>
      <c r="AO89" s="7" t="n">
        <v>899.915018902</v>
      </c>
      <c r="AP89" s="7" t="n">
        <f aca="false">AP85+1</f>
        <v>2036</v>
      </c>
      <c r="AQ89" s="2" t="n">
        <f aca="false">AK89*[2]'Inflation indexes'!I182</f>
        <v>8307.7802981915</v>
      </c>
      <c r="AR89" s="2" t="n">
        <f aca="false">AL89*[2]'Inflation indexes'!I182</f>
        <v>518.929311760067</v>
      </c>
      <c r="AS89" s="2" t="n">
        <f aca="false">AN89*[2]'Inflation indexes'!I182</f>
        <v>439.673389227216</v>
      </c>
      <c r="AT89" s="2" t="n">
        <f aca="false">AO89*[2]'Inflation indexes'!I182</f>
        <v>834.725290992205</v>
      </c>
      <c r="AU89" s="2" t="n">
        <f aca="false">AM89*[2]'Inflation indexes'!I182</f>
        <v>490.630183987298</v>
      </c>
    </row>
    <row r="90" customFormat="false" ht="15" hidden="false" customHeight="false" outlineLevel="0" collapsed="false">
      <c r="A90" s="6" t="n">
        <f aca="false">[2]'Retirement benefit values'!B91</f>
        <v>6301.2028306525</v>
      </c>
      <c r="B90" s="7" t="n">
        <v>483.3443629862</v>
      </c>
      <c r="C90" s="7" t="n">
        <v>463.2352244214</v>
      </c>
      <c r="D90" s="7" t="n">
        <v>394.4791943428</v>
      </c>
      <c r="E90" s="7" t="n">
        <v>680.4096683557</v>
      </c>
      <c r="F90" s="7" t="n">
        <f aca="false">F86+1</f>
        <v>2036</v>
      </c>
      <c r="G90" s="4" t="n">
        <f aca="false">A90*[2]'Inflation indexes'!I183</f>
        <v>5844.74451024814</v>
      </c>
      <c r="H90" s="7" t="n">
        <f aca="false">B90*[2]'Inflation indexes'!I183</f>
        <v>448.33095966702</v>
      </c>
      <c r="I90" s="7" t="n">
        <f aca="false">D90*[2]'Inflation indexes'!I183</f>
        <v>365.903172379461</v>
      </c>
      <c r="J90" s="2" t="n">
        <f aca="false">E90*[2]'Inflation indexes'!I183</f>
        <v>631.120879730502</v>
      </c>
      <c r="K90" s="7" t="n">
        <f aca="false">C90*[2]'Inflation indexes'!I183</f>
        <v>429.678524506436</v>
      </c>
      <c r="R90" s="8" t="n">
        <f aca="false">R86+1</f>
        <v>2036</v>
      </c>
      <c r="S90" s="9" t="n">
        <f aca="false">[2]'Retirement benefit values'!R91</f>
        <v>7548.4900474517</v>
      </c>
      <c r="T90" s="8" t="n">
        <v>514.0335567578</v>
      </c>
      <c r="U90" s="8" t="n">
        <v>497.0751795754</v>
      </c>
      <c r="V90" s="8" t="n">
        <v>432.2106944958</v>
      </c>
      <c r="W90" s="8" t="n">
        <v>784.503982597</v>
      </c>
      <c r="X90" s="8" t="n">
        <f aca="false">X86+1</f>
        <v>2036</v>
      </c>
      <c r="Y90" s="3" t="n">
        <f aca="false">S90*[2]'Inflation indexes'!I183</f>
        <v>7001.67840192147</v>
      </c>
      <c r="Z90" s="3" t="n">
        <f aca="false">T90*[2]'Inflation indexes'!I183</f>
        <v>476.797032199703</v>
      </c>
      <c r="AA90" s="3" t="n">
        <f aca="false">V90*[2]'Inflation indexes'!I183</f>
        <v>400.901407527501</v>
      </c>
      <c r="AB90" s="3" t="n">
        <f aca="false">W90*[2]'Inflation indexes'!I183</f>
        <v>727.674615272908</v>
      </c>
      <c r="AC90" s="3" t="n">
        <f aca="false">U90*[2]'Inflation indexes'!I183</f>
        <v>461.067117673322</v>
      </c>
      <c r="AJ90" s="7" t="n">
        <f aca="false">AJ86+1</f>
        <v>2036</v>
      </c>
      <c r="AK90" s="6" t="n">
        <f aca="false">[2]'Retirement benefit values'!AO91</f>
        <v>8991.7531893098</v>
      </c>
      <c r="AL90" s="7" t="n">
        <v>546.6587669972</v>
      </c>
      <c r="AM90" s="7" t="n">
        <v>522.9412195533</v>
      </c>
      <c r="AN90" s="7" t="n">
        <v>464.1217674743</v>
      </c>
      <c r="AO90" s="7" t="n">
        <v>915.8776540954</v>
      </c>
      <c r="AP90" s="7" t="n">
        <f aca="false">AP86+1</f>
        <v>2036</v>
      </c>
      <c r="AQ90" s="2" t="n">
        <f aca="false">AK90*[2]'Inflation indexes'!I183</f>
        <v>8340.39174791689</v>
      </c>
      <c r="AR90" s="2" t="n">
        <f aca="false">AL90*[2]'Inflation indexes'!I183</f>
        <v>507.05887641694</v>
      </c>
      <c r="AS90" s="2" t="n">
        <f aca="false">AN90*[2]'Inflation indexes'!I183</f>
        <v>430.500846494919</v>
      </c>
      <c r="AT90" s="2" t="n">
        <f aca="false">AO90*[2]'Inflation indexes'!I183</f>
        <v>849.531594950851</v>
      </c>
      <c r="AU90" s="2" t="n">
        <f aca="false">AM90*[2]'Inflation indexes'!I183</f>
        <v>485.059425051092</v>
      </c>
    </row>
    <row r="91" customFormat="false" ht="15" hidden="false" customHeight="false" outlineLevel="0" collapsed="false">
      <c r="A91" s="6" t="n">
        <f aca="false">[2]'Retirement benefit values'!B92</f>
        <v>6309.6474143274</v>
      </c>
      <c r="B91" s="7" t="n">
        <v>475.5255672076</v>
      </c>
      <c r="C91" s="7" t="n">
        <v>459.8342846274</v>
      </c>
      <c r="D91" s="7" t="n">
        <v>398.574392721</v>
      </c>
      <c r="E91" s="7" t="n">
        <v>661.5965940661</v>
      </c>
      <c r="F91" s="7" t="n">
        <f aca="false">F87+1</f>
        <v>2036</v>
      </c>
      <c r="G91" s="4" t="n">
        <f aca="false">A91*[2]'Inflation indexes'!I184</f>
        <v>5852.5773693707</v>
      </c>
      <c r="H91" s="7" t="n">
        <f aca="false">B91*[2]'Inflation indexes'!I184</f>
        <v>441.078556446254</v>
      </c>
      <c r="I91" s="7" t="n">
        <f aca="false">D91*[2]'Inflation indexes'!I184</f>
        <v>369.70171511529</v>
      </c>
      <c r="J91" s="2" t="n">
        <f aca="false">E91*[2]'Inflation indexes'!I184</f>
        <v>613.670622116172</v>
      </c>
      <c r="K91" s="7" t="n">
        <f aca="false">C91*[2]'Inflation indexes'!I184</f>
        <v>426.523948352504</v>
      </c>
      <c r="R91" s="8" t="n">
        <f aca="false">R87+1</f>
        <v>2036</v>
      </c>
      <c r="S91" s="9" t="n">
        <f aca="false">[2]'Retirement benefit values'!R92</f>
        <v>7568.59100045473</v>
      </c>
      <c r="T91" s="8" t="n">
        <v>521.0461428707</v>
      </c>
      <c r="U91" s="8" t="n">
        <v>505.4139316173</v>
      </c>
      <c r="V91" s="8" t="n">
        <v>442.4607385372</v>
      </c>
      <c r="W91" s="8" t="n">
        <v>753.8635705788</v>
      </c>
      <c r="X91" s="8" t="n">
        <f aca="false">X87+1</f>
        <v>2036</v>
      </c>
      <c r="Y91" s="3" t="n">
        <f aca="false">S91*[2]'Inflation indexes'!I184</f>
        <v>7020.32324448132</v>
      </c>
      <c r="Z91" s="3" t="n">
        <f aca="false">T91*[2]'Inflation indexes'!I184</f>
        <v>483.301627478977</v>
      </c>
      <c r="AA91" s="3" t="n">
        <f aca="false">V91*[2]'Inflation indexes'!I184</f>
        <v>410.408939700461</v>
      </c>
      <c r="AB91" s="3" t="n">
        <f aca="false">W91*[2]'Inflation indexes'!I184</f>
        <v>699.2537907497</v>
      </c>
      <c r="AC91" s="3" t="n">
        <f aca="false">U91*[2]'Inflation indexes'!I184</f>
        <v>468.801811592732</v>
      </c>
      <c r="AJ91" s="7" t="n">
        <f aca="false">AJ87+1</f>
        <v>2036</v>
      </c>
      <c r="AK91" s="6" t="n">
        <f aca="false">[2]'Retirement benefit values'!AO92</f>
        <v>9016.7106187287</v>
      </c>
      <c r="AL91" s="7" t="n">
        <v>552.9026455525</v>
      </c>
      <c r="AM91" s="7" t="n">
        <v>522.4243124578</v>
      </c>
      <c r="AN91" s="7" t="n">
        <v>470.4625389597</v>
      </c>
      <c r="AO91" s="7" t="n">
        <v>877.0322245893</v>
      </c>
      <c r="AP91" s="7" t="n">
        <f aca="false">AP87+1</f>
        <v>2036</v>
      </c>
      <c r="AQ91" s="2" t="n">
        <f aca="false">AK91*[2]'Inflation indexes'!I184</f>
        <v>8363.54126436737</v>
      </c>
      <c r="AR91" s="2" t="n">
        <f aca="false">AL91*[2]'Inflation indexes'!I184</f>
        <v>512.85044921495</v>
      </c>
      <c r="AS91" s="2" t="n">
        <f aca="false">AN91*[2]'Inflation indexes'!I184</f>
        <v>436.382293311667</v>
      </c>
      <c r="AT91" s="2" t="n">
        <f aca="false">AO91*[2]'Inflation indexes'!I184</f>
        <v>813.500123348389</v>
      </c>
      <c r="AU91" s="2" t="n">
        <f aca="false">AM91*[2]'Inflation indexes'!I184</f>
        <v>484.579962638926</v>
      </c>
    </row>
    <row r="92" customFormat="false" ht="15" hidden="false" customHeight="false" outlineLevel="0" collapsed="false">
      <c r="A92" s="6" t="n">
        <f aca="false">[2]'Retirement benefit values'!B93</f>
        <v>6306.2212745856</v>
      </c>
      <c r="B92" s="7" t="n">
        <v>575.4237609964</v>
      </c>
      <c r="C92" s="7" t="n">
        <v>576.3779340362</v>
      </c>
      <c r="D92" s="7" t="n">
        <v>504.4281916696</v>
      </c>
      <c r="E92" s="7" t="n">
        <v>792.2739366633</v>
      </c>
      <c r="F92" s="7" t="n">
        <f aca="false">F88+1</f>
        <v>2037</v>
      </c>
      <c r="G92" s="4" t="n">
        <f aca="false">A92*[2]'Inflation indexes'!I185</f>
        <v>5849.39941874994</v>
      </c>
      <c r="H92" s="7" t="n">
        <f aca="false">B92*[2]'Inflation indexes'!I185</f>
        <v>533.740137960577</v>
      </c>
      <c r="I92" s="7" t="n">
        <f aca="false">D92*[2]'Inflation indexes'!I185</f>
        <v>467.887478519715</v>
      </c>
      <c r="J92" s="2" t="n">
        <f aca="false">E92*[2]'Inflation indexes'!I185</f>
        <v>734.881714868714</v>
      </c>
      <c r="K92" s="7" t="n">
        <f aca="false">C92*[2]'Inflation indexes'!I185</f>
        <v>534.625190828431</v>
      </c>
      <c r="R92" s="8" t="n">
        <f aca="false">R88+1</f>
        <v>2037</v>
      </c>
      <c r="S92" s="9" t="n">
        <f aca="false">[2]'Retirement benefit values'!R93</f>
        <v>7549.09066670269</v>
      </c>
      <c r="T92" s="8" t="n">
        <v>632.9803187717</v>
      </c>
      <c r="U92" s="8" t="n">
        <v>630.4650136379</v>
      </c>
      <c r="V92" s="8" t="n">
        <v>561.8309281138</v>
      </c>
      <c r="W92" s="8" t="n">
        <v>881.2661772162</v>
      </c>
      <c r="X92" s="8" t="n">
        <f aca="false">X88+1</f>
        <v>2037</v>
      </c>
      <c r="Y92" s="3" t="n">
        <f aca="false">S92*[2]'Inflation indexes'!I185</f>
        <v>7002.23551239138</v>
      </c>
      <c r="Z92" s="3" t="n">
        <f aca="false">T92*[2]'Inflation indexes'!I185</f>
        <v>587.127306113539</v>
      </c>
      <c r="AA92" s="3" t="n">
        <f aca="false">V92*[2]'Inflation indexes'!I185</f>
        <v>521.131968138964</v>
      </c>
      <c r="AB92" s="3" t="n">
        <f aca="false">W92*[2]'Inflation indexes'!I185</f>
        <v>817.427368993037</v>
      </c>
      <c r="AC92" s="3" t="n">
        <f aca="false">U92*[2]'Inflation indexes'!I185</f>
        <v>584.79420935924</v>
      </c>
      <c r="AJ92" s="7" t="n">
        <f aca="false">AJ88+1</f>
        <v>2037</v>
      </c>
      <c r="AK92" s="6" t="n">
        <f aca="false">[2]'Retirement benefit values'!AO93</f>
        <v>9036.4123214206</v>
      </c>
      <c r="AL92" s="7" t="n">
        <v>681.6420407331</v>
      </c>
      <c r="AM92" s="7" t="n">
        <v>665.2556790764</v>
      </c>
      <c r="AN92" s="7" t="n">
        <v>604.4519808011</v>
      </c>
      <c r="AO92" s="7" t="n">
        <v>1030.2258454291</v>
      </c>
      <c r="AP92" s="7" t="n">
        <f aca="false">AP88+1</f>
        <v>2037</v>
      </c>
      <c r="AQ92" s="2" t="n">
        <f aca="false">AK92*[2]'Inflation indexes'!I185</f>
        <v>8381.81577825714</v>
      </c>
      <c r="AR92" s="2" t="n">
        <f aca="false">AL92*[2]'Inflation indexes'!I185</f>
        <v>632.263979211819</v>
      </c>
      <c r="AS92" s="2" t="n">
        <f aca="false">AN92*[2]'Inflation indexes'!I185</f>
        <v>560.665557266311</v>
      </c>
      <c r="AT92" s="2" t="n">
        <f aca="false">AO92*[2]'Inflation indexes'!I185</f>
        <v>955.596418051497</v>
      </c>
      <c r="AU92" s="2" t="n">
        <f aca="false">AM92*[2]'Inflation indexes'!I185</f>
        <v>617.064643480228</v>
      </c>
    </row>
    <row r="93" customFormat="false" ht="15" hidden="false" customHeight="false" outlineLevel="0" collapsed="false">
      <c r="A93" s="6" t="n">
        <f aca="false">[2]'Retirement benefit values'!B94</f>
        <v>6280.4341115449</v>
      </c>
      <c r="B93" s="7" t="n">
        <v>494.4535107911</v>
      </c>
      <c r="C93" s="7" t="n">
        <v>464.0570419152</v>
      </c>
      <c r="D93" s="7" t="n">
        <v>394.0038755672</v>
      </c>
      <c r="E93" s="7" t="n">
        <v>665.9523384629</v>
      </c>
      <c r="F93" s="7" t="n">
        <f aca="false">F89+1</f>
        <v>2037</v>
      </c>
      <c r="G93" s="4" t="n">
        <f aca="false">A93*[2]'Inflation indexes'!I186</f>
        <v>5825.48027447421</v>
      </c>
      <c r="H93" s="7" t="n">
        <f aca="false">B93*[2]'Inflation indexes'!I186</f>
        <v>458.635362237648</v>
      </c>
      <c r="I93" s="7" t="n">
        <f aca="false">D93*[2]'Inflation indexes'!I186</f>
        <v>365.462285634665</v>
      </c>
      <c r="J93" s="2" t="n">
        <f aca="false">E93*[2]'Inflation indexes'!I186</f>
        <v>617.710836950616</v>
      </c>
      <c r="K93" s="7" t="n">
        <f aca="false">C93*[2]'Inflation indexes'!I186</f>
        <v>430.440809646972</v>
      </c>
      <c r="R93" s="8" t="n">
        <f aca="false">R89+1</f>
        <v>2037</v>
      </c>
      <c r="S93" s="9" t="n">
        <f aca="false">[2]'Retirement benefit values'!R94</f>
        <v>7548.53864980425</v>
      </c>
      <c r="T93" s="8" t="n">
        <v>507.2420414209</v>
      </c>
      <c r="U93" s="8" t="n">
        <v>488.9470771319</v>
      </c>
      <c r="V93" s="8" t="n">
        <v>420.9955354141</v>
      </c>
      <c r="W93" s="8" t="n">
        <v>755.5215720291</v>
      </c>
      <c r="X93" s="8" t="n">
        <f aca="false">X89+1</f>
        <v>2037</v>
      </c>
      <c r="Y93" s="3" t="n">
        <f aca="false">S93*[2]'Inflation indexes'!I186</f>
        <v>7001.72348352587</v>
      </c>
      <c r="Z93" s="3" t="n">
        <f aca="false">T93*[2]'Inflation indexes'!I186</f>
        <v>470.497493357925</v>
      </c>
      <c r="AA93" s="3" t="n">
        <f aca="false">V93*[2]'Inflation indexes'!I186</f>
        <v>390.498673123293</v>
      </c>
      <c r="AB93" s="3" t="n">
        <f aca="false">W93*[2]'Inflation indexes'!I186</f>
        <v>700.791686788768</v>
      </c>
      <c r="AC93" s="3" t="n">
        <f aca="false">U93*[2]'Inflation indexes'!I186</f>
        <v>453.527813922571</v>
      </c>
      <c r="AJ93" s="7" t="n">
        <f aca="false">AJ89+1</f>
        <v>2037</v>
      </c>
      <c r="AK93" s="6" t="n">
        <f aca="false">[2]'Retirement benefit values'!AO94</f>
        <v>9099.78432136</v>
      </c>
      <c r="AL93" s="7" t="n">
        <v>543.0638102848</v>
      </c>
      <c r="AM93" s="7" t="n">
        <v>516.8462418201</v>
      </c>
      <c r="AN93" s="7" t="n">
        <v>460.7254552528</v>
      </c>
      <c r="AO93" s="7" t="n">
        <v>899.177069144</v>
      </c>
      <c r="AP93" s="7" t="n">
        <f aca="false">AP89+1</f>
        <v>2037</v>
      </c>
      <c r="AQ93" s="2" t="n">
        <f aca="false">AK93*[2]'Inflation indexes'!I186</f>
        <v>8440.59711869384</v>
      </c>
      <c r="AR93" s="2" t="n">
        <f aca="false">AL93*[2]'Inflation indexes'!I186</f>
        <v>503.724337905155</v>
      </c>
      <c r="AS93" s="2" t="n">
        <f aca="false">AN93*[2]'Inflation indexes'!I186</f>
        <v>427.350562692731</v>
      </c>
      <c r="AT93" s="2" t="n">
        <f aca="false">AO93*[2]'Inflation indexes'!I186</f>
        <v>834.040798219504</v>
      </c>
      <c r="AU93" s="2" t="n">
        <f aca="false">AM93*[2]'Inflation indexes'!I186</f>
        <v>479.405966718833</v>
      </c>
    </row>
    <row r="94" customFormat="false" ht="15" hidden="false" customHeight="false" outlineLevel="0" collapsed="false">
      <c r="A94" s="6" t="n">
        <f aca="false">[2]'Retirement benefit values'!B95</f>
        <v>6259.072508917</v>
      </c>
      <c r="B94" s="7" t="n">
        <v>476.6137076531</v>
      </c>
      <c r="C94" s="7" t="n">
        <v>459.3337119146</v>
      </c>
      <c r="D94" s="7" t="n">
        <v>397.0860051055</v>
      </c>
      <c r="E94" s="7" t="n">
        <v>654.3805948503</v>
      </c>
      <c r="F94" s="7" t="n">
        <f aca="false">F90+1</f>
        <v>2037</v>
      </c>
      <c r="G94" s="4" t="n">
        <f aca="false">A94*[2]'Inflation indexes'!I187</f>
        <v>5805.66610358573</v>
      </c>
      <c r="H94" s="7" t="n">
        <f aca="false">B94*[2]'Inflation indexes'!I187</f>
        <v>442.087872138216</v>
      </c>
      <c r="I94" s="7" t="n">
        <f aca="false">D94*[2]'Inflation indexes'!I187</f>
        <v>368.321146106704</v>
      </c>
      <c r="J94" s="2" t="n">
        <f aca="false">E94*[2]'Inflation indexes'!I187</f>
        <v>606.977348952938</v>
      </c>
      <c r="K94" s="7" t="n">
        <f aca="false">C94*[2]'Inflation indexes'!I187</f>
        <v>426.059637062461</v>
      </c>
      <c r="R94" s="8" t="n">
        <f aca="false">R90+1</f>
        <v>2037</v>
      </c>
      <c r="S94" s="9" t="n">
        <f aca="false">[2]'Retirement benefit values'!R95</f>
        <v>7546.33259702551</v>
      </c>
      <c r="T94" s="8" t="n">
        <v>516.2899175305</v>
      </c>
      <c r="U94" s="8" t="n">
        <v>496.6974584426</v>
      </c>
      <c r="V94" s="8" t="n">
        <v>417.1340374102</v>
      </c>
      <c r="W94" s="8" t="n">
        <v>811.5893925785</v>
      </c>
      <c r="X94" s="8" t="n">
        <f aca="false">X90+1</f>
        <v>2037</v>
      </c>
      <c r="Y94" s="3" t="n">
        <f aca="false">S94*[2]'Inflation indexes'!I187</f>
        <v>6999.67723692591</v>
      </c>
      <c r="Z94" s="3" t="n">
        <f aca="false">T94*[2]'Inflation indexes'!I187</f>
        <v>478.889942489025</v>
      </c>
      <c r="AA94" s="3" t="n">
        <f aca="false">V94*[2]'Inflation indexes'!I187</f>
        <v>386.916901536789</v>
      </c>
      <c r="AB94" s="3" t="n">
        <f aca="false">W94*[2]'Inflation indexes'!I187</f>
        <v>752.797961648476</v>
      </c>
      <c r="AC94" s="3" t="n">
        <f aca="false">U94*[2]'Inflation indexes'!I187</f>
        <v>460.716758610669</v>
      </c>
      <c r="AJ94" s="7" t="n">
        <f aca="false">AJ90+1</f>
        <v>2037</v>
      </c>
      <c r="AK94" s="6" t="n">
        <f aca="false">[2]'Retirement benefit values'!AO95</f>
        <v>9149.7934913041</v>
      </c>
      <c r="AL94" s="7" t="n">
        <v>554.7727401637</v>
      </c>
      <c r="AM94" s="7" t="n">
        <v>522.0058452458</v>
      </c>
      <c r="AN94" s="7" t="n">
        <v>467.3429974887</v>
      </c>
      <c r="AO94" s="7" t="n">
        <v>897.8834183854</v>
      </c>
      <c r="AP94" s="7" t="n">
        <f aca="false">AP90+1</f>
        <v>2037</v>
      </c>
      <c r="AQ94" s="2" t="n">
        <f aca="false">AK94*[2]'Inflation indexes'!I187</f>
        <v>8486.98363081673</v>
      </c>
      <c r="AR94" s="2" t="n">
        <f aca="false">AL94*[2]'Inflation indexes'!I187</f>
        <v>514.585074413695</v>
      </c>
      <c r="AS94" s="2" t="n">
        <f aca="false">AN94*[2]'Inflation indexes'!I187</f>
        <v>433.488731022508</v>
      </c>
      <c r="AT94" s="2" t="n">
        <f aca="false">AO94*[2]'Inflation indexes'!I187</f>
        <v>832.840859355018</v>
      </c>
      <c r="AU94" s="2" t="n">
        <f aca="false">AM94*[2]'Inflation indexes'!I187</f>
        <v>484.191809137795</v>
      </c>
    </row>
    <row r="95" customFormat="false" ht="15" hidden="false" customHeight="false" outlineLevel="0" collapsed="false">
      <c r="A95" s="6" t="n">
        <f aca="false">[2]'Retirement benefit values'!B96</f>
        <v>6259.7360123736</v>
      </c>
      <c r="B95" s="7" t="n">
        <v>468.6971268668</v>
      </c>
      <c r="C95" s="7" t="n">
        <v>463.9203626143</v>
      </c>
      <c r="D95" s="7" t="n">
        <v>400.5331252816</v>
      </c>
      <c r="E95" s="7" t="n">
        <v>675.6268592273</v>
      </c>
      <c r="F95" s="7" t="n">
        <f aca="false">F91+1</f>
        <v>2037</v>
      </c>
      <c r="G95" s="4" t="n">
        <f aca="false">A95*[2]'Inflation indexes'!I188</f>
        <v>5806.28154293751</v>
      </c>
      <c r="H95" s="7" t="n">
        <f aca="false">B95*[2]'Inflation indexes'!I188</f>
        <v>434.744767443097</v>
      </c>
      <c r="I95" s="7" t="n">
        <f aca="false">D95*[2]'Inflation indexes'!I188</f>
        <v>371.518557341812</v>
      </c>
      <c r="J95" s="2" t="n">
        <f aca="false">E95*[2]'Inflation indexes'!I188</f>
        <v>626.684536678538</v>
      </c>
      <c r="K95" s="7" t="n">
        <f aca="false">C95*[2]'Inflation indexes'!I188</f>
        <v>430.314031377002</v>
      </c>
      <c r="R95" s="8" t="n">
        <f aca="false">R91+1</f>
        <v>2037</v>
      </c>
      <c r="S95" s="9" t="n">
        <f aca="false">[2]'Retirement benefit values'!R96</f>
        <v>7559.9656151426</v>
      </c>
      <c r="T95" s="8" t="n">
        <v>523.791200757</v>
      </c>
      <c r="U95" s="8" t="n">
        <v>506.5751731292</v>
      </c>
      <c r="V95" s="8" t="n">
        <v>437.3506474106</v>
      </c>
      <c r="W95" s="8" t="n">
        <v>808.2682592817</v>
      </c>
      <c r="X95" s="8" t="n">
        <f aca="false">X91+1</f>
        <v>2037</v>
      </c>
      <c r="Y95" s="3" t="n">
        <f aca="false">S95*[2]'Inflation indexes'!I188</f>
        <v>7012.32268096881</v>
      </c>
      <c r="Z95" s="3" t="n">
        <f aca="false">T95*[2]'Inflation indexes'!I188</f>
        <v>485.847833726016</v>
      </c>
      <c r="AA95" s="3" t="n">
        <f aca="false">V95*[2]'Inflation indexes'!I188</f>
        <v>405.669022916038</v>
      </c>
      <c r="AB95" s="3" t="n">
        <f aca="false">W95*[2]'Inflation indexes'!I188</f>
        <v>749.717410819379</v>
      </c>
      <c r="AC95" s="3" t="n">
        <f aca="false">U95*[2]'Inflation indexes'!I188</f>
        <v>469.878932919272</v>
      </c>
      <c r="AJ95" s="7" t="n">
        <f aca="false">AJ91+1</f>
        <v>2037</v>
      </c>
      <c r="AK95" s="6" t="n">
        <f aca="false">[2]'Retirement benefit values'!AO96</f>
        <v>9175.5180823167</v>
      </c>
      <c r="AL95" s="7" t="n">
        <v>548.9721395637</v>
      </c>
      <c r="AM95" s="7" t="n">
        <v>516.9265532467</v>
      </c>
      <c r="AN95" s="7" t="n">
        <v>458.5012980846</v>
      </c>
      <c r="AO95" s="7" t="n">
        <v>858.1975015157</v>
      </c>
      <c r="AP95" s="7" t="n">
        <f aca="false">AP91+1</f>
        <v>2037</v>
      </c>
      <c r="AQ95" s="2" t="n">
        <f aca="false">AK95*[2]'Inflation indexes'!I188</f>
        <v>8510.844735774</v>
      </c>
      <c r="AR95" s="2" t="n">
        <f aca="false">AL95*[2]'Inflation indexes'!I188</f>
        <v>509.204668573072</v>
      </c>
      <c r="AS95" s="2" t="n">
        <f aca="false">AN95*[2]'Inflation indexes'!I188</f>
        <v>425.287523182953</v>
      </c>
      <c r="AT95" s="2" t="n">
        <f aca="false">AO95*[2]'Inflation indexes'!I188</f>
        <v>796.02978518518</v>
      </c>
      <c r="AU95" s="2" t="n">
        <f aca="false">AM95*[2]'Inflation indexes'!I188</f>
        <v>479.480460396048</v>
      </c>
    </row>
    <row r="96" customFormat="false" ht="15" hidden="false" customHeight="false" outlineLevel="0" collapsed="false">
      <c r="A96" s="6" t="n">
        <f aca="false">[2]'Retirement benefit values'!B97</f>
        <v>6244.6045964637</v>
      </c>
      <c r="B96" s="7" t="n">
        <v>577.9487957595</v>
      </c>
      <c r="C96" s="7" t="n">
        <v>576.4760889131</v>
      </c>
      <c r="D96" s="7" t="n">
        <v>512.3313240277</v>
      </c>
      <c r="E96" s="7" t="n">
        <v>783.513473092</v>
      </c>
      <c r="F96" s="7" t="n">
        <f aca="false">F92+1</f>
        <v>2038</v>
      </c>
      <c r="G96" s="4" t="n">
        <f aca="false">A96*[2]'Inflation indexes'!I189</f>
        <v>5792.24624484466</v>
      </c>
      <c r="H96" s="7" t="n">
        <f aca="false">B96*[2]'Inflation indexes'!I189</f>
        <v>536.082259531085</v>
      </c>
      <c r="I96" s="7" t="n">
        <f aca="false">D96*[2]'Inflation indexes'!I189</f>
        <v>475.218108989039</v>
      </c>
      <c r="J96" s="2" t="n">
        <f aca="false">E96*[2]'Inflation indexes'!I189</f>
        <v>726.755858148707</v>
      </c>
      <c r="K96" s="7" t="n">
        <f aca="false">C96*[2]'Inflation indexes'!I189</f>
        <v>534.716235378707</v>
      </c>
      <c r="R96" s="8" t="n">
        <f aca="false">R92+1</f>
        <v>2038</v>
      </c>
      <c r="S96" s="9" t="n">
        <f aca="false">[2]'Retirement benefit values'!R97</f>
        <v>7588.75727650791</v>
      </c>
      <c r="T96" s="8" t="n">
        <v>642.3294281699</v>
      </c>
      <c r="U96" s="8" t="n">
        <v>637.6773209928</v>
      </c>
      <c r="V96" s="8" t="n">
        <v>573.4061761545</v>
      </c>
      <c r="W96" s="8" t="n">
        <v>893.2164953291</v>
      </c>
      <c r="X96" s="8" t="n">
        <f aca="false">X92+1</f>
        <v>2038</v>
      </c>
      <c r="Y96" s="3" t="n">
        <f aca="false">S96*[2]'Inflation indexes'!I189</f>
        <v>7039.028678098</v>
      </c>
      <c r="Z96" s="3" t="n">
        <f aca="false">T96*[2]'Inflation indexes'!I189</f>
        <v>595.799167232662</v>
      </c>
      <c r="AA96" s="3" t="n">
        <f aca="false">V96*[2]'Inflation indexes'!I189</f>
        <v>531.868706704423</v>
      </c>
      <c r="AB96" s="3" t="n">
        <f aca="false">W96*[2]'Inflation indexes'!I189</f>
        <v>828.512007603037</v>
      </c>
      <c r="AC96" s="3" t="n">
        <f aca="false">U96*[2]'Inflation indexes'!I189</f>
        <v>591.484058099502</v>
      </c>
      <c r="AJ96" s="7" t="n">
        <f aca="false">AJ92+1</f>
        <v>2038</v>
      </c>
      <c r="AK96" s="6" t="n">
        <f aca="false">[2]'Retirement benefit values'!AO97</f>
        <v>9192.4399185202</v>
      </c>
      <c r="AL96" s="7" t="n">
        <v>681.6338921415</v>
      </c>
      <c r="AM96" s="7" t="n">
        <v>670.8849799482</v>
      </c>
      <c r="AN96" s="7" t="n">
        <v>612.4269035165</v>
      </c>
      <c r="AO96" s="7" t="n">
        <v>1053.8558958666</v>
      </c>
      <c r="AP96" s="7" t="n">
        <f aca="false">AP92+1</f>
        <v>2038</v>
      </c>
      <c r="AQ96" s="2" t="n">
        <f aca="false">AK96*[2]'Inflation indexes'!I189</f>
        <v>8526.54075634528</v>
      </c>
      <c r="AR96" s="2" t="n">
        <f aca="false">AL96*[2]'Inflation indexes'!I189</f>
        <v>632.256420903143</v>
      </c>
      <c r="AS96" s="2" t="n">
        <f aca="false">AN96*[2]'Inflation indexes'!I189</f>
        <v>568.062777608711</v>
      </c>
      <c r="AT96" s="2" t="n">
        <f aca="false">AO96*[2]'Inflation indexes'!I189</f>
        <v>977.514710682804</v>
      </c>
      <c r="AU96" s="2" t="n">
        <f aca="false">AM96*[2]'Inflation indexes'!I189</f>
        <v>622.286158522869</v>
      </c>
    </row>
    <row r="97" customFormat="false" ht="15" hidden="false" customHeight="false" outlineLevel="0" collapsed="false">
      <c r="A97" s="6" t="n">
        <f aca="false">[2]'Retirement benefit values'!B98</f>
        <v>6216.5671261637</v>
      </c>
      <c r="B97" s="7" t="n">
        <v>465.5053189273</v>
      </c>
      <c r="C97" s="7" t="n">
        <v>449.0323260601</v>
      </c>
      <c r="D97" s="7" t="n">
        <v>383.9590768844</v>
      </c>
      <c r="E97" s="7" t="n">
        <v>658.9671894538</v>
      </c>
      <c r="F97" s="7" t="n">
        <f aca="false">F93+1</f>
        <v>2038</v>
      </c>
      <c r="G97" s="4" t="n">
        <f aca="false">A97*[2]'Inflation indexes'!I190</f>
        <v>5766.23980527728</v>
      </c>
      <c r="H97" s="7" t="n">
        <f aca="false">B97*[2]'Inflation indexes'!I190</f>
        <v>431.784173659096</v>
      </c>
      <c r="I97" s="7" t="n">
        <f aca="false">D97*[2]'Inflation indexes'!I190</f>
        <v>356.145130872998</v>
      </c>
      <c r="J97" s="2" t="n">
        <f aca="false">E97*[2]'Inflation indexes'!I190</f>
        <v>611.23169123488</v>
      </c>
      <c r="K97" s="7" t="n">
        <f aca="false">C97*[2]'Inflation indexes'!I190</f>
        <v>416.504482270721</v>
      </c>
      <c r="R97" s="8" t="n">
        <f aca="false">R93+1</f>
        <v>2038</v>
      </c>
      <c r="S97" s="9" t="n">
        <f aca="false">[2]'Retirement benefit values'!R98</f>
        <v>7612.15899996146</v>
      </c>
      <c r="T97" s="8" t="n">
        <v>537.1209433922</v>
      </c>
      <c r="U97" s="8" t="n">
        <v>505.3930486735</v>
      </c>
      <c r="V97" s="8" t="n">
        <v>447.4217926745</v>
      </c>
      <c r="W97" s="8" t="n">
        <v>769.292754264</v>
      </c>
      <c r="X97" s="8" t="n">
        <f aca="false">X93+1</f>
        <v>2038</v>
      </c>
      <c r="Y97" s="3" t="n">
        <f aca="false">S97*[2]'Inflation indexes'!I190</f>
        <v>7060.73518372263</v>
      </c>
      <c r="Z97" s="3" t="n">
        <f aca="false">T97*[2]'Inflation indexes'!I190</f>
        <v>498.211971523821</v>
      </c>
      <c r="AA97" s="3" t="n">
        <f aca="false">V97*[2]'Inflation indexes'!I190</f>
        <v>415.010615715868</v>
      </c>
      <c r="AB97" s="3" t="n">
        <f aca="false">W97*[2]'Inflation indexes'!I190</f>
        <v>713.565286358602</v>
      </c>
      <c r="AC97" s="3" t="n">
        <f aca="false">U97*[2]'Inflation indexes'!I190</f>
        <v>468.782441406688</v>
      </c>
      <c r="AJ97" s="7" t="n">
        <f aca="false">AJ93+1</f>
        <v>2038</v>
      </c>
      <c r="AK97" s="6" t="n">
        <f aca="false">[2]'Retirement benefit values'!AO98</f>
        <v>9215.2321820007</v>
      </c>
      <c r="AL97" s="7" t="n">
        <v>547.1890407569</v>
      </c>
      <c r="AM97" s="7" t="n">
        <v>518.5608003276</v>
      </c>
      <c r="AN97" s="7" t="n">
        <v>464.9815689208</v>
      </c>
      <c r="AO97" s="7" t="n">
        <v>886.7403267073</v>
      </c>
      <c r="AP97" s="7" t="n">
        <f aca="false">AP93+1</f>
        <v>2038</v>
      </c>
      <c r="AQ97" s="2" t="n">
        <f aca="false">AK97*[2]'Inflation indexes'!I190</f>
        <v>8547.68195119871</v>
      </c>
      <c r="AR97" s="2" t="n">
        <f aca="false">AL97*[2]'Inflation indexes'!I190</f>
        <v>507.550737213876</v>
      </c>
      <c r="AS97" s="2" t="n">
        <f aca="false">AN97*[2]'Inflation indexes'!I190</f>
        <v>431.29836403552</v>
      </c>
      <c r="AT97" s="2" t="n">
        <f aca="false">AO97*[2]'Inflation indexes'!I190</f>
        <v>822.504971800987</v>
      </c>
      <c r="AU97" s="2" t="n">
        <f aca="false">AM97*[2]'Inflation indexes'!I190</f>
        <v>480.996322829172</v>
      </c>
    </row>
    <row r="98" customFormat="false" ht="15" hidden="false" customHeight="false" outlineLevel="0" collapsed="false">
      <c r="A98" s="6" t="n">
        <f aca="false">[2]'Retirement benefit values'!B99</f>
        <v>6208.7158761459</v>
      </c>
      <c r="B98" s="7" t="n">
        <v>479.3635344703</v>
      </c>
      <c r="C98" s="7" t="n">
        <v>456.2694612803</v>
      </c>
      <c r="D98" s="7" t="n">
        <v>391.0659841048</v>
      </c>
      <c r="E98" s="7" t="n">
        <v>695.6338249635</v>
      </c>
      <c r="F98" s="7" t="n">
        <f aca="false">F94+1</f>
        <v>2038</v>
      </c>
      <c r="G98" s="4" t="n">
        <f aca="false">A98*[2]'Inflation indexes'!I191</f>
        <v>5758.95729879822</v>
      </c>
      <c r="H98" s="7" t="n">
        <f aca="false">B98*[2]'Inflation indexes'!I191</f>
        <v>444.638501855415</v>
      </c>
      <c r="I98" s="7" t="n">
        <f aca="false">D98*[2]'Inflation indexes'!I191</f>
        <v>362.73721465091</v>
      </c>
      <c r="J98" s="2" t="n">
        <f aca="false">E98*[2]'Inflation indexes'!I191</f>
        <v>645.242200397049</v>
      </c>
      <c r="K98" s="7" t="n">
        <f aca="false">C98*[2]'Inflation indexes'!I191</f>
        <v>423.217360348922</v>
      </c>
      <c r="R98" s="8" t="n">
        <f aca="false">R94+1</f>
        <v>2038</v>
      </c>
      <c r="S98" s="9" t="n">
        <f aca="false">[2]'Retirement benefit values'!R99</f>
        <v>7620.18764040909</v>
      </c>
      <c r="T98" s="8" t="n">
        <v>527.24631378</v>
      </c>
      <c r="U98" s="8" t="n">
        <v>509.2148843411</v>
      </c>
      <c r="V98" s="8" t="n">
        <v>447.0630747496</v>
      </c>
      <c r="W98" s="8" t="n">
        <v>785.1486560778</v>
      </c>
      <c r="X98" s="8" t="n">
        <f aca="false">X94+1</f>
        <v>2038</v>
      </c>
      <c r="Y98" s="3" t="n">
        <f aca="false">S98*[2]'Inflation indexes'!I191</f>
        <v>7068.18223049166</v>
      </c>
      <c r="Z98" s="3" t="n">
        <f aca="false">T98*[2]'Inflation indexes'!I191</f>
        <v>489.052658807226</v>
      </c>
      <c r="AA98" s="3" t="n">
        <f aca="false">V98*[2]'Inflation indexes'!I191</f>
        <v>414.677883271185</v>
      </c>
      <c r="AB98" s="3" t="n">
        <f aca="false">W98*[2]'Inflation indexes'!I191</f>
        <v>728.272588689901</v>
      </c>
      <c r="AC98" s="3" t="n">
        <f aca="false">U98*[2]'Inflation indexes'!I191</f>
        <v>472.327423791418</v>
      </c>
      <c r="AJ98" s="7" t="n">
        <f aca="false">AJ94+1</f>
        <v>2038</v>
      </c>
      <c r="AK98" s="6" t="n">
        <f aca="false">[2]'Retirement benefit values'!AO99</f>
        <v>9299.0451477995</v>
      </c>
      <c r="AL98" s="7" t="n">
        <v>553.2699389856</v>
      </c>
      <c r="AM98" s="7" t="n">
        <v>510.7439391051</v>
      </c>
      <c r="AN98" s="7" t="n">
        <v>452.990546219</v>
      </c>
      <c r="AO98" s="7" t="n">
        <v>910.3475024783</v>
      </c>
      <c r="AP98" s="7" t="n">
        <f aca="false">AP94+1</f>
        <v>2038</v>
      </c>
      <c r="AQ98" s="2" t="n">
        <f aca="false">AK98*[2]'Inflation indexes'!I191</f>
        <v>8625.42351656416</v>
      </c>
      <c r="AR98" s="2" t="n">
        <f aca="false">AL98*[2]'Inflation indexes'!I191</f>
        <v>513.191135959125</v>
      </c>
      <c r="AS98" s="2" t="n">
        <f aca="false">AN98*[2]'Inflation indexes'!I191</f>
        <v>420.175969471791</v>
      </c>
      <c r="AT98" s="2" t="n">
        <f aca="false">AO98*[2]'Inflation indexes'!I191</f>
        <v>844.402046803686</v>
      </c>
      <c r="AU98" s="2" t="n">
        <f aca="false">AM98*[2]'Inflation indexes'!I191</f>
        <v>473.745714025512</v>
      </c>
    </row>
    <row r="99" customFormat="false" ht="15" hidden="false" customHeight="false" outlineLevel="0" collapsed="false">
      <c r="A99" s="6" t="n">
        <f aca="false">[2]'Retirement benefit values'!B100</f>
        <v>6206.4330554339</v>
      </c>
      <c r="B99" s="7" t="n">
        <v>461.8979847949</v>
      </c>
      <c r="C99" s="7" t="n">
        <v>451.1442056046</v>
      </c>
      <c r="D99" s="7" t="n">
        <v>389.3289456187</v>
      </c>
      <c r="E99" s="7" t="n">
        <v>650.6873614201</v>
      </c>
      <c r="F99" s="7" t="n">
        <f aca="false">F95+1</f>
        <v>2038</v>
      </c>
      <c r="G99" s="4" t="n">
        <f aca="false">A99*[2]'Inflation indexes'!I192</f>
        <v>5756.83984532419</v>
      </c>
      <c r="H99" s="7" t="n">
        <f aca="false">B99*[2]'Inflation indexes'!I192</f>
        <v>428.438154346019</v>
      </c>
      <c r="I99" s="7" t="n">
        <f aca="false">D99*[2]'Inflation indexes'!I192</f>
        <v>361.126007008722</v>
      </c>
      <c r="J99" s="2" t="n">
        <f aca="false">E99*[2]'Inflation indexes'!I192</f>
        <v>603.551652876116</v>
      </c>
      <c r="K99" s="7" t="n">
        <f aca="false">C99*[2]'Inflation indexes'!I192</f>
        <v>418.463377533381</v>
      </c>
      <c r="R99" s="8" t="n">
        <f aca="false">R95+1</f>
        <v>2038</v>
      </c>
      <c r="S99" s="9" t="n">
        <f aca="false">[2]'Retirement benefit values'!R100</f>
        <v>7640.56171336285</v>
      </c>
      <c r="T99" s="8" t="n">
        <v>518.5290177107</v>
      </c>
      <c r="U99" s="8" t="n">
        <v>503.9180073384</v>
      </c>
      <c r="V99" s="8" t="n">
        <v>446.2516007701</v>
      </c>
      <c r="W99" s="8" t="n">
        <v>730.5216845694</v>
      </c>
      <c r="X99" s="8" t="n">
        <f aca="false">X95+1</f>
        <v>2038</v>
      </c>
      <c r="Y99" s="3" t="n">
        <f aca="false">S99*[2]'Inflation indexes'!I192</f>
        <v>7087.08040822824</v>
      </c>
      <c r="Z99" s="3" t="n">
        <f aca="false">T99*[2]'Inflation indexes'!I192</f>
        <v>480.966842540941</v>
      </c>
      <c r="AA99" s="3" t="n">
        <f aca="false">V99*[2]'Inflation indexes'!I192</f>
        <v>413.925192362107</v>
      </c>
      <c r="AB99" s="3" t="n">
        <f aca="false">W99*[2]'Inflation indexes'!I192</f>
        <v>677.602787952485</v>
      </c>
      <c r="AC99" s="3" t="n">
        <f aca="false">U99*[2]'Inflation indexes'!I192</f>
        <v>467.41425187567</v>
      </c>
      <c r="AJ99" s="7" t="n">
        <f aca="false">AJ95+1</f>
        <v>2038</v>
      </c>
      <c r="AK99" s="6" t="n">
        <f aca="false">[2]'Retirement benefit values'!AO100</f>
        <v>9311.7278671242</v>
      </c>
      <c r="AL99" s="7" t="n">
        <v>539.546444811</v>
      </c>
      <c r="AM99" s="7" t="n">
        <v>505.9540531403</v>
      </c>
      <c r="AN99" s="7" t="n">
        <v>448.589148902</v>
      </c>
      <c r="AO99" s="7" t="n">
        <v>869.716605314</v>
      </c>
      <c r="AP99" s="7" t="n">
        <f aca="false">AP95+1</f>
        <v>2038</v>
      </c>
      <c r="AQ99" s="2" t="n">
        <f aca="false">AK99*[2]'Inflation indexes'!I192</f>
        <v>8637.18750133663</v>
      </c>
      <c r="AR99" s="2" t="n">
        <f aca="false">AL99*[2]'Inflation indexes'!I192</f>
        <v>500.461769932653</v>
      </c>
      <c r="AS99" s="2" t="n">
        <f aca="false">AN99*[2]'Inflation indexes'!I192</f>
        <v>416.093408808799</v>
      </c>
      <c r="AT99" s="2" t="n">
        <f aca="false">AO99*[2]'Inflation indexes'!I192</f>
        <v>806.714446589917</v>
      </c>
      <c r="AU99" s="2" t="n">
        <f aca="false">AM99*[2]'Inflation indexes'!I192</f>
        <v>469.302806782264</v>
      </c>
    </row>
    <row r="100" customFormat="false" ht="15" hidden="false" customHeight="false" outlineLevel="0" collapsed="false">
      <c r="A100" s="6" t="n">
        <f aca="false">[2]'Retirement benefit values'!B101</f>
        <v>6222.8033465836</v>
      </c>
      <c r="B100" s="7" t="n">
        <v>584.9534493847</v>
      </c>
      <c r="C100" s="7" t="n">
        <v>573.3479538705</v>
      </c>
      <c r="D100" s="7" t="n">
        <v>508.8044066566</v>
      </c>
      <c r="E100" s="7" t="n">
        <v>813.0943486597</v>
      </c>
      <c r="F100" s="7" t="n">
        <f aca="false">F96+1</f>
        <v>2039</v>
      </c>
      <c r="G100" s="4" t="n">
        <f aca="false">A100*[2]'Inflation indexes'!I193</f>
        <v>5772.02427469423</v>
      </c>
      <c r="H100" s="7" t="n">
        <f aca="false">B100*[2]'Inflation indexes'!I193</f>
        <v>542.579496951046</v>
      </c>
      <c r="I100" s="7" t="n">
        <f aca="false">D100*[2]'Inflation indexes'!I193</f>
        <v>471.946681057445</v>
      </c>
      <c r="J100" s="2" t="n">
        <f aca="false">E100*[2]'Inflation indexes'!I193</f>
        <v>754.193898905244</v>
      </c>
      <c r="K100" s="7" t="n">
        <f aca="false">C100*[2]'Inflation indexes'!I193</f>
        <v>531.814702035167</v>
      </c>
      <c r="R100" s="8" t="n">
        <f aca="false">R96+1</f>
        <v>2039</v>
      </c>
      <c r="S100" s="9" t="n">
        <f aca="false">[2]'Retirement benefit values'!R101</f>
        <v>7645.7898886079</v>
      </c>
      <c r="T100" s="8" t="n">
        <v>648.026107463</v>
      </c>
      <c r="U100" s="8" t="n">
        <v>642.6401916167</v>
      </c>
      <c r="V100" s="8" t="n">
        <v>570.5951880356</v>
      </c>
      <c r="W100" s="8" t="n">
        <v>915.6519097144</v>
      </c>
      <c r="X100" s="8" t="n">
        <f aca="false">X96+1</f>
        <v>2039</v>
      </c>
      <c r="Y100" s="3" t="n">
        <f aca="false">S100*[2]'Inflation indexes'!I193</f>
        <v>7091.9298551328</v>
      </c>
      <c r="Z100" s="3" t="n">
        <f aca="false">T100*[2]'Inflation indexes'!I193</f>
        <v>601.083179812454</v>
      </c>
      <c r="AA100" s="3" t="n">
        <f aca="false">V100*[2]'Inflation indexes'!I193</f>
        <v>529.261346202331</v>
      </c>
      <c r="AB100" s="3" t="n">
        <f aca="false">W100*[2]'Inflation indexes'!I193</f>
        <v>849.322203463697</v>
      </c>
      <c r="AC100" s="3" t="n">
        <f aca="false">U100*[2]'Inflation indexes'!I193</f>
        <v>596.087419015454</v>
      </c>
      <c r="AJ100" s="7" t="n">
        <f aca="false">AJ96+1</f>
        <v>2039</v>
      </c>
      <c r="AK100" s="6" t="n">
        <f aca="false">[2]'Retirement benefit values'!AO101</f>
        <v>9357.055345002</v>
      </c>
      <c r="AL100" s="7" t="n">
        <v>692.1338100036</v>
      </c>
      <c r="AM100" s="7" t="n">
        <v>665.2693782091</v>
      </c>
      <c r="AN100" s="7" t="n">
        <v>600.2316106476</v>
      </c>
      <c r="AO100" s="7" t="n">
        <v>1074.7030762628</v>
      </c>
      <c r="AP100" s="7" t="n">
        <f aca="false">AP96+1</f>
        <v>2039</v>
      </c>
      <c r="AQ100" s="2" t="n">
        <f aca="false">AK100*[2]'Inflation indexes'!I193</f>
        <v>8679.23146256272</v>
      </c>
      <c r="AR100" s="2" t="n">
        <f aca="false">AL100*[2]'Inflation indexes'!I193</f>
        <v>641.995726069457</v>
      </c>
      <c r="AS100" s="2" t="n">
        <f aca="false">AN100*[2]'Inflation indexes'!I193</f>
        <v>556.750910182442</v>
      </c>
      <c r="AT100" s="2" t="n">
        <f aca="false">AO100*[2]'Inflation indexes'!I193</f>
        <v>996.851724019705</v>
      </c>
      <c r="AU100" s="2" t="n">
        <f aca="false">AM100*[2]'Inflation indexes'!I193</f>
        <v>617.077350249522</v>
      </c>
    </row>
    <row r="101" customFormat="false" ht="15" hidden="false" customHeight="false" outlineLevel="0" collapsed="false">
      <c r="A101" s="6" t="n">
        <f aca="false">[2]'Retirement benefit values'!B102</f>
        <v>6198.7036687683</v>
      </c>
      <c r="B101" s="7" t="n">
        <v>469.0580769086</v>
      </c>
      <c r="C101" s="7" t="n">
        <v>454.8818192985</v>
      </c>
      <c r="D101" s="7" t="n">
        <v>385.1590304759</v>
      </c>
      <c r="E101" s="7" t="n">
        <v>687.919900302</v>
      </c>
      <c r="F101" s="7" t="n">
        <f aca="false">F97+1</f>
        <v>2039</v>
      </c>
      <c r="G101" s="4" t="n">
        <f aca="false">A101*[2]'Inflation indexes'!I194</f>
        <v>5749.67037443181</v>
      </c>
      <c r="H101" s="7" t="n">
        <f aca="false">B101*[2]'Inflation indexes'!I194</f>
        <v>435.07957031042</v>
      </c>
      <c r="I101" s="7" t="n">
        <f aca="false">D101*[2]'Inflation indexes'!I194</f>
        <v>357.258159981084</v>
      </c>
      <c r="J101" s="2" t="n">
        <f aca="false">E101*[2]'Inflation indexes'!I194</f>
        <v>638.087071443185</v>
      </c>
      <c r="K101" s="7" t="n">
        <f aca="false">C101*[2]'Inflation indexes'!I194</f>
        <v>421.930238973324</v>
      </c>
      <c r="R101" s="8" t="n">
        <f aca="false">R97+1</f>
        <v>2039</v>
      </c>
      <c r="S101" s="9" t="n">
        <f aca="false">[2]'Retirement benefit values'!R102</f>
        <v>7639.9478093168</v>
      </c>
      <c r="T101" s="8" t="n">
        <v>519.3679282352</v>
      </c>
      <c r="U101" s="8" t="n">
        <v>504.9726373535</v>
      </c>
      <c r="V101" s="8" t="n">
        <v>438.3114176309</v>
      </c>
      <c r="W101" s="8" t="n">
        <v>760.3352445664</v>
      </c>
      <c r="X101" s="8" t="n">
        <f aca="false">X97+1</f>
        <v>2039</v>
      </c>
      <c r="Y101" s="3" t="n">
        <f aca="false">S101*[2]'Inflation indexes'!I194</f>
        <v>7086.51097531211</v>
      </c>
      <c r="Z101" s="3" t="n">
        <f aca="false">T101*[2]'Inflation indexes'!I194</f>
        <v>481.744982495238</v>
      </c>
      <c r="AA101" s="3" t="n">
        <f aca="false">V101*[2]'Inflation indexes'!I194</f>
        <v>406.560195065488</v>
      </c>
      <c r="AB101" s="3" t="n">
        <f aca="false">W101*[2]'Inflation indexes'!I194</f>
        <v>705.256657508272</v>
      </c>
      <c r="AC101" s="3" t="n">
        <f aca="false">U101*[2]'Inflation indexes'!I194</f>
        <v>468.392484628489</v>
      </c>
      <c r="AJ101" s="7" t="n">
        <f aca="false">AJ97+1</f>
        <v>2039</v>
      </c>
      <c r="AK101" s="6" t="n">
        <f aca="false">[2]'Retirement benefit values'!AO102</f>
        <v>9352.8213593404</v>
      </c>
      <c r="AL101" s="7" t="n">
        <v>553.4363096043</v>
      </c>
      <c r="AM101" s="7" t="n">
        <v>512.3710939994</v>
      </c>
      <c r="AN101" s="7" t="n">
        <v>452.9831661315</v>
      </c>
      <c r="AO101" s="7" t="n">
        <v>892.1932206354</v>
      </c>
      <c r="AP101" s="7" t="n">
        <f aca="false">AP97+1</f>
        <v>2039</v>
      </c>
      <c r="AQ101" s="2" t="n">
        <f aca="false">AK101*[2]'Inflation indexes'!I194</f>
        <v>8675.3041862764</v>
      </c>
      <c r="AR101" s="2" t="n">
        <f aca="false">AL101*[2]'Inflation indexes'!I194</f>
        <v>513.345454711662</v>
      </c>
      <c r="AS101" s="2" t="n">
        <f aca="false">AN101*[2]'Inflation indexes'!I194</f>
        <v>420.169123996878</v>
      </c>
      <c r="AT101" s="2" t="n">
        <f aca="false">AO101*[2]'Inflation indexes'!I194</f>
        <v>827.56285879618</v>
      </c>
      <c r="AU101" s="2" t="n">
        <f aca="false">AM101*[2]'Inflation indexes'!I194</f>
        <v>475.254998029118</v>
      </c>
    </row>
    <row r="102" customFormat="false" ht="15" hidden="false" customHeight="false" outlineLevel="0" collapsed="false">
      <c r="A102" s="6" t="n">
        <f aca="false">[2]'Retirement benefit values'!B103</f>
        <v>6205.6835253657</v>
      </c>
      <c r="B102" s="7" t="n">
        <v>470.0087197048</v>
      </c>
      <c r="C102" s="7" t="n">
        <v>455.0857944927</v>
      </c>
      <c r="D102" s="7" t="n">
        <v>380.8905531654</v>
      </c>
      <c r="E102" s="7" t="n">
        <v>679.6110966425</v>
      </c>
      <c r="F102" s="7" t="n">
        <f aca="false">F98+1</f>
        <v>2039</v>
      </c>
      <c r="G102" s="4" t="n">
        <f aca="false">A102*[2]'Inflation indexes'!I195</f>
        <v>5756.14461111746</v>
      </c>
      <c r="H102" s="7" t="n">
        <f aca="false">B102*[2]'Inflation indexes'!I195</f>
        <v>435.961348665065</v>
      </c>
      <c r="I102" s="7" t="n">
        <f aca="false">D102*[2]'Inflation indexes'!I195</f>
        <v>353.298890616464</v>
      </c>
      <c r="J102" s="2" t="n">
        <f aca="false">E102*[2]'Inflation indexes'!I195</f>
        <v>630.380156449217</v>
      </c>
      <c r="K102" s="7" t="n">
        <f aca="false">C102*[2]'Inflation indexes'!I195</f>
        <v>422.119438230762</v>
      </c>
      <c r="R102" s="8" t="n">
        <f aca="false">R98+1</f>
        <v>2039</v>
      </c>
      <c r="S102" s="9" t="n">
        <f aca="false">[2]'Retirement benefit values'!R103</f>
        <v>7642.6815916855</v>
      </c>
      <c r="T102" s="8" t="n">
        <v>524.3987236453</v>
      </c>
      <c r="U102" s="8" t="n">
        <v>506.9115509012</v>
      </c>
      <c r="V102" s="8" t="n">
        <v>440.4189459965</v>
      </c>
      <c r="W102" s="8" t="n">
        <v>782.244725856</v>
      </c>
      <c r="X102" s="8" t="n">
        <f aca="false">X98+1</f>
        <v>2039</v>
      </c>
      <c r="Y102" s="3" t="n">
        <f aca="false">S102*[2]'Inflation indexes'!I195</f>
        <v>7089.04672283859</v>
      </c>
      <c r="Z102" s="3" t="n">
        <f aca="false">T102*[2]'Inflation indexes'!I195</f>
        <v>486.411347734638</v>
      </c>
      <c r="AA102" s="3" t="n">
        <f aca="false">V102*[2]'Inflation indexes'!I195</f>
        <v>408.515054348085</v>
      </c>
      <c r="AB102" s="3" t="n">
        <f aca="false">W102*[2]'Inflation indexes'!I195</f>
        <v>725.579018798856</v>
      </c>
      <c r="AC102" s="3" t="n">
        <f aca="false">U102*[2]'Inflation indexes'!I195</f>
        <v>470.19094352885</v>
      </c>
      <c r="AJ102" s="7" t="n">
        <f aca="false">AJ98+1</f>
        <v>2039</v>
      </c>
      <c r="AK102" s="6" t="n">
        <f aca="false">[2]'Retirement benefit values'!AO103</f>
        <v>9417.1070433919</v>
      </c>
      <c r="AL102" s="7" t="n">
        <v>544.5283958893</v>
      </c>
      <c r="AM102" s="7" t="n">
        <v>505.9511916928</v>
      </c>
      <c r="AN102" s="7" t="n">
        <v>439.5070618821</v>
      </c>
      <c r="AO102" s="7" t="n">
        <v>993.7964598564</v>
      </c>
      <c r="AP102" s="7" t="n">
        <f aca="false">AP98+1</f>
        <v>2039</v>
      </c>
      <c r="AQ102" s="2" t="n">
        <f aca="false">AK102*[2]'Inflation indexes'!I195</f>
        <v>8734.93302366595</v>
      </c>
      <c r="AR102" s="2" t="n">
        <f aca="false">AL102*[2]'Inflation indexes'!I195</f>
        <v>505.082829117349</v>
      </c>
      <c r="AS102" s="2" t="n">
        <f aca="false">AN102*[2]'Inflation indexes'!I195</f>
        <v>407.669227001329</v>
      </c>
      <c r="AT102" s="2" t="n">
        <f aca="false">AO102*[2]'Inflation indexes'!I195</f>
        <v>921.805972471489</v>
      </c>
      <c r="AU102" s="2" t="n">
        <f aca="false">AM102*[2]'Inflation indexes'!I195</f>
        <v>469.300152617652</v>
      </c>
    </row>
    <row r="103" customFormat="false" ht="15" hidden="false" customHeight="false" outlineLevel="0" collapsed="false">
      <c r="A103" s="6" t="n">
        <f aca="false">[2]'Retirement benefit values'!B104</f>
        <v>6219.1812465286</v>
      </c>
      <c r="B103" s="7" t="n">
        <v>472.9129354023</v>
      </c>
      <c r="C103" s="7" t="n">
        <v>454.8113040189</v>
      </c>
      <c r="D103" s="7" t="n">
        <v>390.4158278</v>
      </c>
      <c r="E103" s="7" t="n">
        <v>659.1270670723</v>
      </c>
      <c r="F103" s="7" t="n">
        <f aca="false">F99+1</f>
        <v>2039</v>
      </c>
      <c r="G103" s="4" t="n">
        <f aca="false">A103*[2]'Inflation indexes'!I196</f>
        <v>5768.66455910009</v>
      </c>
      <c r="H103" s="7" t="n">
        <f aca="false">B103*[2]'Inflation indexes'!I196</f>
        <v>438.655183351986</v>
      </c>
      <c r="I103" s="7" t="n">
        <f aca="false">D103*[2]'Inflation indexes'!I196</f>
        <v>362.134155584981</v>
      </c>
      <c r="J103" s="2" t="n">
        <f aca="false">E103*[2]'Inflation indexes'!I196</f>
        <v>611.379987339315</v>
      </c>
      <c r="K103" s="7" t="n">
        <f aca="false">C103*[2]'Inflation indexes'!I196</f>
        <v>421.864831811484</v>
      </c>
      <c r="R103" s="8" t="n">
        <f aca="false">R99+1</f>
        <v>2039</v>
      </c>
      <c r="S103" s="9" t="n">
        <f aca="false">[2]'Retirement benefit values'!R104</f>
        <v>7674.76233261907</v>
      </c>
      <c r="T103" s="8" t="n">
        <v>509.1382748175</v>
      </c>
      <c r="U103" s="8" t="n">
        <v>504.1941804369</v>
      </c>
      <c r="V103" s="8" t="n">
        <v>441.6337422847</v>
      </c>
      <c r="W103" s="8" t="n">
        <v>755.6149217632</v>
      </c>
      <c r="X103" s="8" t="n">
        <f aca="false">X99+1</f>
        <v>2039</v>
      </c>
      <c r="Y103" s="3" t="n">
        <f aca="false">S103*[2]'Inflation indexes'!I196</f>
        <v>7118.80353903629</v>
      </c>
      <c r="Z103" s="3" t="n">
        <f aca="false">T103*[2]'Inflation indexes'!I196</f>
        <v>472.256363851827</v>
      </c>
      <c r="AA103" s="3" t="n">
        <f aca="false">V103*[2]'Inflation indexes'!I196</f>
        <v>409.641850949837</v>
      </c>
      <c r="AB103" s="3" t="n">
        <f aca="false">W103*[2]'Inflation indexes'!I196</f>
        <v>700.878274280169</v>
      </c>
      <c r="AC103" s="3" t="n">
        <f aca="false">U103*[2]'Inflation indexes'!I196</f>
        <v>467.670419030532</v>
      </c>
      <c r="AJ103" s="7" t="n">
        <f aca="false">AJ99+1</f>
        <v>2039</v>
      </c>
      <c r="AK103" s="6" t="n">
        <f aca="false">[2]'Retirement benefit values'!AO104</f>
        <v>9473.7328511023</v>
      </c>
      <c r="AL103" s="7" t="n">
        <v>539.9125705958</v>
      </c>
      <c r="AM103" s="7" t="n">
        <v>503.2941986235</v>
      </c>
      <c r="AN103" s="7" t="n">
        <v>444.9907657752</v>
      </c>
      <c r="AO103" s="7" t="n">
        <v>905.0936972142</v>
      </c>
      <c r="AP103" s="7" t="n">
        <f aca="false">AP99+1</f>
        <v>2039</v>
      </c>
      <c r="AQ103" s="2" t="n">
        <f aca="false">AK103*[2]'Inflation indexes'!I196</f>
        <v>8787.45686516868</v>
      </c>
      <c r="AR103" s="2" t="n">
        <f aca="false">AL103*[2]'Inflation indexes'!I196</f>
        <v>500.80137361282</v>
      </c>
      <c r="AS103" s="2" t="n">
        <f aca="false">AN103*[2]'Inflation indexes'!I196</f>
        <v>412.755692091631</v>
      </c>
      <c r="AT103" s="2" t="n">
        <f aca="false">AO103*[2]'Inflation indexes'!I196</f>
        <v>839.528826515349</v>
      </c>
      <c r="AU103" s="2" t="n">
        <f aca="false">AM103*[2]'Inflation indexes'!I196</f>
        <v>466.835631783627</v>
      </c>
    </row>
    <row r="104" customFormat="false" ht="15" hidden="false" customHeight="false" outlineLevel="0" collapsed="false">
      <c r="A104" s="6" t="n">
        <f aca="false">[2]'Retirement benefit values'!B105</f>
        <v>6223.8623098436</v>
      </c>
      <c r="B104" s="7" t="n">
        <v>571.1366916823</v>
      </c>
      <c r="C104" s="7" t="n">
        <v>562.1502841209</v>
      </c>
      <c r="D104" s="7" t="n">
        <v>487.2345641547</v>
      </c>
      <c r="E104" s="7" t="n">
        <v>818.9080096763</v>
      </c>
      <c r="F104" s="7" t="n">
        <f aca="false">F100+1</f>
        <v>2040</v>
      </c>
      <c r="G104" s="4" t="n">
        <f aca="false">A104*[2]'Inflation indexes'!I197</f>
        <v>5773.00652679225</v>
      </c>
      <c r="H104" s="7" t="n">
        <f aca="false">B104*[2]'Inflation indexes'!I197</f>
        <v>529.7636233947</v>
      </c>
      <c r="I104" s="7" t="n">
        <f aca="false">D104*[2]'Inflation indexes'!I197</f>
        <v>451.939355164582</v>
      </c>
      <c r="J104" s="2" t="n">
        <f aca="false">E104*[2]'Inflation indexes'!I197</f>
        <v>759.586419067573</v>
      </c>
      <c r="K104" s="7" t="n">
        <f aca="false">C104*[2]'Inflation indexes'!I197</f>
        <v>521.428190038096</v>
      </c>
      <c r="R104" s="8" t="n">
        <f aca="false">R100+1</f>
        <v>2040</v>
      </c>
      <c r="S104" s="9" t="n">
        <f aca="false">[2]'Retirement benefit values'!R105</f>
        <v>7694.93300734906</v>
      </c>
      <c r="T104" s="8" t="n">
        <v>643.0754239938</v>
      </c>
      <c r="U104" s="8" t="n">
        <v>637.235307832</v>
      </c>
      <c r="V104" s="8" t="n">
        <v>578.3791842277</v>
      </c>
      <c r="W104" s="8" t="n">
        <v>914.9216110216</v>
      </c>
      <c r="X104" s="8" t="n">
        <f aca="false">X100+1</f>
        <v>2040</v>
      </c>
      <c r="Y104" s="3" t="n">
        <f aca="false">S104*[2]'Inflation indexes'!I197</f>
        <v>7137.51305269019</v>
      </c>
      <c r="Z104" s="3" t="n">
        <f aca="false">T104*[2]'Inflation indexes'!I197</f>
        <v>596.491123215287</v>
      </c>
      <c r="AA104" s="3" t="n">
        <f aca="false">V104*[2]'Inflation indexes'!I197</f>
        <v>536.481470714155</v>
      </c>
      <c r="AB104" s="3" t="n">
        <f aca="false">W104*[2]'Inflation indexes'!I197</f>
        <v>848.644807514019</v>
      </c>
      <c r="AC104" s="3" t="n">
        <f aca="false">U104*[2]'Inflation indexes'!I197</f>
        <v>591.074064315065</v>
      </c>
      <c r="AJ104" s="7" t="n">
        <f aca="false">AJ100+1</f>
        <v>2040</v>
      </c>
      <c r="AK104" s="6" t="n">
        <f aca="false">[2]'Retirement benefit values'!AO105</f>
        <v>9508.5213276929</v>
      </c>
      <c r="AL104" s="7" t="n">
        <v>684.5539957205</v>
      </c>
      <c r="AM104" s="7" t="n">
        <v>664.2154029058</v>
      </c>
      <c r="AN104" s="7" t="n">
        <v>605.3140755209</v>
      </c>
      <c r="AO104" s="7" t="n">
        <v>1037.3003328468</v>
      </c>
      <c r="AP104" s="7" t="n">
        <f aca="false">AP100+1</f>
        <v>2040</v>
      </c>
      <c r="AQ104" s="2" t="n">
        <f aca="false">AK104*[2]'Inflation indexes'!I197</f>
        <v>8819.72526900163</v>
      </c>
      <c r="AR104" s="2" t="n">
        <f aca="false">AL104*[2]'Inflation indexes'!I197</f>
        <v>634.964992555478</v>
      </c>
      <c r="AS104" s="2" t="n">
        <f aca="false">AN104*[2]'Inflation indexes'!I197</f>
        <v>561.465201955791</v>
      </c>
      <c r="AT104" s="2" t="n">
        <f aca="false">AO104*[2]'Inflation indexes'!I197</f>
        <v>962.158430513035</v>
      </c>
      <c r="AU104" s="2" t="n">
        <f aca="false">AM104*[2]'Inflation indexes'!I197</f>
        <v>616.099724781265</v>
      </c>
    </row>
    <row r="105" customFormat="false" ht="15" hidden="false" customHeight="false" outlineLevel="0" collapsed="false">
      <c r="A105" s="6" t="n">
        <f aca="false">[2]'Retirement benefit values'!B106</f>
        <v>6225.4604141375</v>
      </c>
      <c r="B105" s="7" t="n">
        <v>469.6155421574</v>
      </c>
      <c r="C105" s="7" t="n">
        <v>452.7096062548</v>
      </c>
      <c r="D105" s="7" t="n">
        <v>378.5302089771</v>
      </c>
      <c r="E105" s="7" t="n">
        <v>678.6528311656</v>
      </c>
      <c r="F105" s="7" t="n">
        <f aca="false">F101+1</f>
        <v>2040</v>
      </c>
      <c r="G105" s="4" t="n">
        <f aca="false">A105*[2]'Inflation indexes'!I198</f>
        <v>5774.4888646172</v>
      </c>
      <c r="H105" s="7" t="n">
        <f aca="false">B105*[2]'Inflation indexes'!I198</f>
        <v>435.596652848491</v>
      </c>
      <c r="I105" s="7" t="n">
        <f aca="false">D105*[2]'Inflation indexes'!I198</f>
        <v>351.109529456757</v>
      </c>
      <c r="J105" s="2" t="n">
        <f aca="false">E105*[2]'Inflation indexes'!I198</f>
        <v>629.491307599879</v>
      </c>
      <c r="K105" s="7" t="n">
        <f aca="false">C105*[2]'Inflation indexes'!I198</f>
        <v>419.915380762365</v>
      </c>
      <c r="R105" s="8" t="n">
        <f aca="false">R101+1</f>
        <v>2040</v>
      </c>
      <c r="S105" s="9" t="n">
        <f aca="false">[2]'Retirement benefit values'!R106</f>
        <v>7719.98998566821</v>
      </c>
      <c r="T105" s="8" t="n">
        <v>500.0228444841</v>
      </c>
      <c r="U105" s="8" t="n">
        <v>486.2904213528</v>
      </c>
      <c r="V105" s="8" t="n">
        <v>417.9595519869</v>
      </c>
      <c r="W105" s="8" t="n">
        <v>782.4685799436</v>
      </c>
      <c r="X105" s="8" t="n">
        <f aca="false">X101+1</f>
        <v>2040</v>
      </c>
      <c r="Y105" s="3" t="n">
        <f aca="false">S105*[2]'Inflation indexes'!I198</f>
        <v>7160.75490673143</v>
      </c>
      <c r="Z105" s="3" t="n">
        <f aca="false">T105*[2]'Inflation indexes'!I198</f>
        <v>463.801254116188</v>
      </c>
      <c r="AA105" s="3" t="n">
        <f aca="false">V105*[2]'Inflation indexes'!I198</f>
        <v>387.682615944017</v>
      </c>
      <c r="AB105" s="3" t="n">
        <f aca="false">W105*[2]'Inflation indexes'!I198</f>
        <v>725.78665692522</v>
      </c>
      <c r="AC105" s="3" t="n">
        <f aca="false">U105*[2]'Inflation indexes'!I198</f>
        <v>451.063605945488</v>
      </c>
      <c r="AJ105" s="7" t="n">
        <f aca="false">AJ101+1</f>
        <v>2040</v>
      </c>
      <c r="AK105" s="6" t="n">
        <f aca="false">[2]'Retirement benefit values'!AO106</f>
        <v>9557.9315758384</v>
      </c>
      <c r="AL105" s="7" t="n">
        <v>539.6780173444</v>
      </c>
      <c r="AM105" s="7" t="n">
        <v>509.4843695948</v>
      </c>
      <c r="AN105" s="7" t="n">
        <v>454.6430598987</v>
      </c>
      <c r="AO105" s="7" t="n">
        <v>918.796464284</v>
      </c>
      <c r="AP105" s="7" t="n">
        <f aca="false">AP101+1</f>
        <v>2040</v>
      </c>
      <c r="AQ105" s="2" t="n">
        <f aca="false">AK105*[2]'Inflation indexes'!I198</f>
        <v>8865.55624514376</v>
      </c>
      <c r="AR105" s="2" t="n">
        <f aca="false">AL105*[2]'Inflation indexes'!I198</f>
        <v>500.583811368702</v>
      </c>
      <c r="AS105" s="2" t="n">
        <f aca="false">AN105*[2]'Inflation indexes'!I198</f>
        <v>421.708775273653</v>
      </c>
      <c r="AT105" s="2" t="n">
        <f aca="false">AO105*[2]'Inflation indexes'!I198</f>
        <v>852.238966905819</v>
      </c>
      <c r="AU105" s="2" t="n">
        <f aca="false">AM105*[2]'Inflation indexes'!I198</f>
        <v>472.577387568095</v>
      </c>
    </row>
    <row r="106" customFormat="false" ht="15" hidden="false" customHeight="false" outlineLevel="0" collapsed="false">
      <c r="A106" s="6" t="n">
        <f aca="false">[2]'Retirement benefit values'!B107</f>
        <v>6210.4026998013</v>
      </c>
      <c r="B106" s="7" t="n">
        <v>456.6651131854</v>
      </c>
      <c r="C106" s="7" t="n">
        <v>446.1898934019</v>
      </c>
      <c r="D106" s="7" t="n">
        <v>374.3298397965</v>
      </c>
      <c r="E106" s="7" t="n">
        <v>672.9010058127</v>
      </c>
      <c r="F106" s="7" t="n">
        <f aca="false">F102+1</f>
        <v>2040</v>
      </c>
      <c r="G106" s="4" t="n">
        <f aca="false">A106*[2]'Inflation indexes'!I199</f>
        <v>5760.52192916557</v>
      </c>
      <c r="H106" s="7" t="n">
        <f aca="false">B106*[2]'Inflation indexes'!I199</f>
        <v>423.584351281043</v>
      </c>
      <c r="I106" s="7" t="n">
        <f aca="false">D106*[2]'Inflation indexes'!I199</f>
        <v>347.21343447789</v>
      </c>
      <c r="J106" s="2" t="n">
        <f aca="false">E106*[2]'Inflation indexes'!I199</f>
        <v>624.156143733746</v>
      </c>
      <c r="K106" s="7" t="n">
        <f aca="false">C106*[2]'Inflation indexes'!I199</f>
        <v>413.867955067701</v>
      </c>
      <c r="R106" s="8" t="n">
        <f aca="false">R102+1</f>
        <v>2040</v>
      </c>
      <c r="S106" s="9" t="n">
        <f aca="false">[2]'Retirement benefit values'!R107</f>
        <v>7714.73981484172</v>
      </c>
      <c r="T106" s="8" t="n">
        <v>512.222572034</v>
      </c>
      <c r="U106" s="8" t="n">
        <v>496.5004119153</v>
      </c>
      <c r="V106" s="8" t="n">
        <v>432.6260445709</v>
      </c>
      <c r="W106" s="8" t="n">
        <v>814.4161920157</v>
      </c>
      <c r="X106" s="8" t="n">
        <f aca="false">X102+1</f>
        <v>2040</v>
      </c>
      <c r="Y106" s="3" t="n">
        <f aca="false">S106*[2]'Inflation indexes'!I199</f>
        <v>7155.88505760251</v>
      </c>
      <c r="Z106" s="3" t="n">
        <f aca="false">T106*[2]'Inflation indexes'!I199</f>
        <v>475.117234975737</v>
      </c>
      <c r="AA106" s="3" t="n">
        <f aca="false">V106*[2]'Inflation indexes'!I199</f>
        <v>401.286669696728</v>
      </c>
      <c r="AB106" s="3" t="n">
        <f aca="false">W106*[2]'Inflation indexes'!I199</f>
        <v>755.41998809901</v>
      </c>
      <c r="AC106" s="3" t="n">
        <f aca="false">U106*[2]'Inflation indexes'!I199</f>
        <v>460.533986108394</v>
      </c>
      <c r="AJ106" s="7" t="n">
        <f aca="false">AJ102+1</f>
        <v>2040</v>
      </c>
      <c r="AK106" s="6" t="n">
        <f aca="false">[2]'Retirement benefit values'!AO107</f>
        <v>9626.9657308669</v>
      </c>
      <c r="AL106" s="7" t="n">
        <v>527.5999996062</v>
      </c>
      <c r="AM106" s="7" t="n">
        <v>499.427883438</v>
      </c>
      <c r="AN106" s="7" t="n">
        <v>441.0247722604</v>
      </c>
      <c r="AO106" s="7" t="n">
        <v>898.3696311454</v>
      </c>
      <c r="AP106" s="7" t="n">
        <f aca="false">AP102+1</f>
        <v>2040</v>
      </c>
      <c r="AQ106" s="2" t="n">
        <f aca="false">AK106*[2]'Inflation indexes'!I199</f>
        <v>8929.58957488514</v>
      </c>
      <c r="AR106" s="2" t="n">
        <f aca="false">AL106*[2]'Inflation indexes'!I199</f>
        <v>489.38072367779</v>
      </c>
      <c r="AS106" s="2" t="n">
        <f aca="false">AN106*[2]'Inflation indexes'!I199</f>
        <v>409.07699463556</v>
      </c>
      <c r="AT106" s="2" t="n">
        <f aca="false">AO106*[2]'Inflation indexes'!I199</f>
        <v>833.291850925389</v>
      </c>
      <c r="AU106" s="2" t="n">
        <f aca="false">AM106*[2]'Inflation indexes'!I199</f>
        <v>463.249391971537</v>
      </c>
    </row>
    <row r="107" customFormat="false" ht="15" hidden="false" customHeight="false" outlineLevel="0" collapsed="false">
      <c r="A107" s="6" t="n">
        <f aca="false">[2]'Retirement benefit values'!B108</f>
        <v>6187.9197857163</v>
      </c>
      <c r="B107" s="7" t="n">
        <v>477.2173551318</v>
      </c>
      <c r="C107" s="7" t="n">
        <v>452.900322059</v>
      </c>
      <c r="D107" s="7" t="n">
        <v>387.9457999531</v>
      </c>
      <c r="E107" s="7" t="n">
        <v>677.8345389999</v>
      </c>
      <c r="F107" s="7" t="n">
        <f aca="false">F103+1</f>
        <v>2040</v>
      </c>
      <c r="G107" s="4" t="n">
        <f aca="false">A107*[2]'Inflation indexes'!I200</f>
        <v>5739.66767447733</v>
      </c>
      <c r="H107" s="7" t="n">
        <f aca="false">B107*[2]'Inflation indexes'!I200</f>
        <v>442.64779147141</v>
      </c>
      <c r="I107" s="7" t="n">
        <f aca="false">D107*[2]'Inflation indexes'!I200</f>
        <v>359.843056236758</v>
      </c>
      <c r="J107" s="2" t="n">
        <f aca="false">E107*[2]'Inflation indexes'!I200</f>
        <v>628.732292413129</v>
      </c>
      <c r="K107" s="7" t="n">
        <f aca="false">C107*[2]'Inflation indexes'!I200</f>
        <v>420.092281138305</v>
      </c>
      <c r="R107" s="8" t="n">
        <f aca="false">R103+1</f>
        <v>2040</v>
      </c>
      <c r="S107" s="9" t="n">
        <f aca="false">[2]'Retirement benefit values'!R108</f>
        <v>7736.87324030274</v>
      </c>
      <c r="T107" s="8" t="n">
        <v>517.2143483083</v>
      </c>
      <c r="U107" s="8" t="n">
        <v>494.7356707599</v>
      </c>
      <c r="V107" s="8" t="n">
        <v>434.3670806252</v>
      </c>
      <c r="W107" s="8" t="n">
        <v>773.4928719526</v>
      </c>
      <c r="X107" s="8" t="n">
        <f aca="false">X103+1</f>
        <v>2040</v>
      </c>
      <c r="Y107" s="3" t="n">
        <f aca="false">S107*[2]'Inflation indexes'!I200</f>
        <v>7176.41514057762</v>
      </c>
      <c r="Z107" s="3" t="n">
        <f aca="false">T107*[2]'Inflation indexes'!I200</f>
        <v>479.747407620502</v>
      </c>
      <c r="AA107" s="3" t="n">
        <f aca="false">V107*[2]'Inflation indexes'!I200</f>
        <v>402.901585323791</v>
      </c>
      <c r="AB107" s="3" t="n">
        <f aca="false">W107*[2]'Inflation indexes'!I200</f>
        <v>717.461148063517</v>
      </c>
      <c r="AC107" s="3" t="n">
        <f aca="false">U107*[2]'Inflation indexes'!I200</f>
        <v>458.897082574697</v>
      </c>
      <c r="AJ107" s="7" t="n">
        <f aca="false">AJ103+1</f>
        <v>2040</v>
      </c>
      <c r="AK107" s="6" t="n">
        <f aca="false">[2]'Retirement benefit values'!AO108</f>
        <v>9631.4041445814</v>
      </c>
      <c r="AL107" s="7" t="n">
        <v>535.9933040689</v>
      </c>
      <c r="AM107" s="7" t="n">
        <v>506.5578457165</v>
      </c>
      <c r="AN107" s="7" t="n">
        <v>458.7247771162</v>
      </c>
      <c r="AO107" s="7" t="n">
        <v>879.5217763204</v>
      </c>
      <c r="AP107" s="7" t="n">
        <f aca="false">AP103+1</f>
        <v>2040</v>
      </c>
      <c r="AQ107" s="2" t="n">
        <f aca="false">AK107*[2]'Inflation indexes'!I200</f>
        <v>8933.70647048257</v>
      </c>
      <c r="AR107" s="2" t="n">
        <f aca="false">AL107*[2]'Inflation indexes'!I200</f>
        <v>497.166018247672</v>
      </c>
      <c r="AS107" s="2" t="n">
        <f aca="false">AN107*[2]'Inflation indexes'!I200</f>
        <v>425.494813422325</v>
      </c>
      <c r="AT107" s="2" t="n">
        <f aca="false">AO107*[2]'Inflation indexes'!I200</f>
        <v>815.809332273158</v>
      </c>
      <c r="AU107" s="2" t="n">
        <f aca="false">AM107*[2]'Inflation indexes'!I200</f>
        <v>469.862860702113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windowProtection="true" showFormulas="false" showGridLines="true" showRowColHeaders="true" showZeros="true" rightToLeft="false" tabSelected="false" showOutlineSymbols="true" defaultGridColor="true" view="normal" topLeftCell="AT1" colorId="64" zoomScale="50" zoomScaleNormal="50" zoomScalePageLayoutView="100" workbookViewId="0">
      <pane xSplit="0" ySplit="2" topLeftCell="A56" activePane="bottomLeft" state="frozen"/>
      <selection pane="topLeft" activeCell="AT1" activeCellId="0" sqref="AT1"/>
      <selection pane="bottomLeft" activeCell="A1" activeCellId="0" sqref="A1"/>
    </sheetView>
  </sheetViews>
  <sheetFormatPr defaultRowHeight="15"/>
  <cols>
    <col collapsed="false" hidden="false" max="2" min="1" style="1" width="10.830985915493"/>
    <col collapsed="false" hidden="false" max="3" min="3" style="1" width="13"/>
    <col collapsed="false" hidden="false" max="7" min="4" style="1" width="10.830985915493"/>
    <col collapsed="false" hidden="false" max="8" min="8" style="1" width="13"/>
    <col collapsed="false" hidden="false" max="9" min="9" style="1" width="11.8356807511737"/>
    <col collapsed="false" hidden="false" max="10" min="10" style="1" width="13"/>
    <col collapsed="false" hidden="false" max="1025" min="11" style="1" width="10.830985915493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  <c r="D1" s="0"/>
      <c r="E1" s="0"/>
      <c r="F1" s="0"/>
      <c r="G1" s="0"/>
      <c r="H1" s="2" t="s">
        <v>2</v>
      </c>
      <c r="I1" s="0"/>
      <c r="J1" s="0"/>
      <c r="K1" s="0"/>
      <c r="L1" s="2"/>
      <c r="M1" s="2"/>
      <c r="N1" s="2"/>
      <c r="O1" s="2"/>
      <c r="P1" s="2"/>
      <c r="Q1" s="2"/>
      <c r="R1" s="3"/>
      <c r="S1" s="3"/>
      <c r="T1" s="3"/>
      <c r="U1" s="3" t="s">
        <v>1</v>
      </c>
      <c r="V1" s="3"/>
      <c r="W1" s="3" t="s">
        <v>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  <c r="AK1" s="2"/>
      <c r="AL1" s="2"/>
      <c r="AM1" s="2" t="s">
        <v>1</v>
      </c>
      <c r="AN1" s="2"/>
      <c r="AO1" s="2" t="s">
        <v>4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customFormat="false" ht="31.55" hidden="false" customHeight="false" outlineLevel="0" collapsed="false">
      <c r="A2" s="2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2" t="s">
        <v>5</v>
      </c>
      <c r="H2" s="4" t="s">
        <v>6</v>
      </c>
      <c r="I2" s="4" t="s">
        <v>8</v>
      </c>
      <c r="J2" s="4" t="s">
        <v>9</v>
      </c>
      <c r="K2" s="4" t="s">
        <v>7</v>
      </c>
      <c r="L2" s="4"/>
      <c r="M2" s="2" t="s">
        <v>5</v>
      </c>
      <c r="N2" s="4" t="s">
        <v>11</v>
      </c>
      <c r="O2" s="4" t="s">
        <v>12</v>
      </c>
      <c r="P2" s="4" t="s">
        <v>13</v>
      </c>
      <c r="Q2" s="4" t="s">
        <v>14</v>
      </c>
      <c r="R2" s="5" t="s">
        <v>10</v>
      </c>
      <c r="S2" s="3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3" t="s">
        <v>5</v>
      </c>
      <c r="Z2" s="5" t="s">
        <v>6</v>
      </c>
      <c r="AA2" s="5" t="s">
        <v>8</v>
      </c>
      <c r="AB2" s="5" t="s">
        <v>9</v>
      </c>
      <c r="AC2" s="5" t="s">
        <v>7</v>
      </c>
      <c r="AD2" s="5"/>
      <c r="AE2" s="3" t="s">
        <v>5</v>
      </c>
      <c r="AF2" s="5" t="s">
        <v>11</v>
      </c>
      <c r="AG2" s="5" t="s">
        <v>12</v>
      </c>
      <c r="AH2" s="5" t="s">
        <v>13</v>
      </c>
      <c r="AI2" s="5" t="s">
        <v>14</v>
      </c>
      <c r="AJ2" s="4" t="s">
        <v>10</v>
      </c>
      <c r="AK2" s="2" t="s">
        <v>5</v>
      </c>
      <c r="AL2" s="4" t="s">
        <v>6</v>
      </c>
      <c r="AM2" s="4" t="s">
        <v>7</v>
      </c>
      <c r="AN2" s="4" t="s">
        <v>8</v>
      </c>
      <c r="AO2" s="4" t="s">
        <v>9</v>
      </c>
      <c r="AP2" s="4" t="s">
        <v>10</v>
      </c>
      <c r="AQ2" s="2" t="s">
        <v>5</v>
      </c>
      <c r="AR2" s="4" t="s">
        <v>6</v>
      </c>
      <c r="AS2" s="4" t="s">
        <v>8</v>
      </c>
      <c r="AT2" s="4" t="s">
        <v>9</v>
      </c>
      <c r="AU2" s="4" t="s">
        <v>7</v>
      </c>
      <c r="AV2" s="4"/>
      <c r="AW2" s="2" t="s">
        <v>5</v>
      </c>
      <c r="AX2" s="4" t="s">
        <v>11</v>
      </c>
      <c r="AY2" s="4" t="s">
        <v>12</v>
      </c>
      <c r="AZ2" s="4" t="s">
        <v>13</v>
      </c>
      <c r="BA2" s="4" t="s">
        <v>14</v>
      </c>
    </row>
    <row r="3" customFormat="false" ht="15" hidden="false" customHeight="false" outlineLevel="0" collapsed="false">
      <c r="A3" s="2" t="n">
        <v>6695.92</v>
      </c>
      <c r="B3" s="4"/>
      <c r="C3" s="4"/>
      <c r="D3" s="4"/>
      <c r="E3" s="4"/>
      <c r="F3" s="4"/>
      <c r="G3" s="4" t="n">
        <v>32692.5752705917</v>
      </c>
      <c r="H3" s="4"/>
      <c r="I3" s="4"/>
      <c r="J3" s="0"/>
      <c r="K3" s="4"/>
      <c r="L3" s="2"/>
      <c r="M3" s="2"/>
      <c r="N3" s="2"/>
      <c r="O3" s="2"/>
      <c r="P3" s="2"/>
      <c r="Q3" s="2"/>
      <c r="R3" s="5"/>
      <c r="S3" s="3" t="n">
        <v>6695.92</v>
      </c>
      <c r="T3" s="5"/>
      <c r="U3" s="5"/>
      <c r="V3" s="5"/>
      <c r="W3" s="5"/>
      <c r="X3" s="5"/>
      <c r="Y3" s="3" t="n">
        <v>32692.5752705917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2" t="n">
        <v>6695.92</v>
      </c>
      <c r="AL3" s="4"/>
      <c r="AM3" s="4"/>
      <c r="AN3" s="4"/>
      <c r="AO3" s="4"/>
      <c r="AP3" s="4"/>
      <c r="AQ3" s="2" t="n">
        <v>32692.5752705917</v>
      </c>
      <c r="AR3" s="2"/>
      <c r="AS3" s="2"/>
      <c r="AT3" s="2"/>
      <c r="AU3" s="2"/>
      <c r="AV3" s="2"/>
      <c r="AW3" s="2"/>
      <c r="AX3" s="2"/>
      <c r="AY3" s="2"/>
      <c r="AZ3" s="2"/>
      <c r="BA3" s="2"/>
    </row>
    <row r="4" customFormat="false" ht="15" hidden="false" customHeight="false" outlineLevel="0" collapsed="false">
      <c r="A4" s="6" t="n">
        <v>6414.78904699531</v>
      </c>
      <c r="B4" s="7" t="n">
        <v>474.186307864191</v>
      </c>
      <c r="C4" s="7" t="n">
        <v>491.402110069187</v>
      </c>
      <c r="D4" s="7" t="n">
        <v>383.783268654517</v>
      </c>
      <c r="E4" s="7" t="n">
        <v>668.708483245716</v>
      </c>
      <c r="F4" s="7" t="n">
        <v>2015</v>
      </c>
      <c r="G4" s="4" t="n">
        <v>30749.3056337578</v>
      </c>
      <c r="H4" s="7" t="n">
        <v>2273.01312654839</v>
      </c>
      <c r="I4" s="7" t="n">
        <v>1839.66595604698</v>
      </c>
      <c r="J4" s="2" t="n">
        <v>3205.45560899474</v>
      </c>
      <c r="K4" s="7" t="n">
        <v>2355.53711289518</v>
      </c>
      <c r="L4" s="2" t="n">
        <v>2015</v>
      </c>
      <c r="M4" s="2" t="n">
        <v>31815.715618218</v>
      </c>
      <c r="N4" s="2" t="n">
        <v>2284.66572461536</v>
      </c>
      <c r="O4" s="2" t="n">
        <v>1616.7204404317</v>
      </c>
      <c r="P4" s="2" t="n">
        <v>3607.91302487786</v>
      </c>
      <c r="Q4" s="2" t="n">
        <v>2379.66672058611</v>
      </c>
      <c r="R4" s="8" t="n">
        <v>2015</v>
      </c>
      <c r="S4" s="9" t="n">
        <v>6414.78904699531</v>
      </c>
      <c r="T4" s="8" t="n">
        <v>474.186307864191</v>
      </c>
      <c r="U4" s="8" t="n">
        <v>491.402110069187</v>
      </c>
      <c r="V4" s="8" t="n">
        <v>383.783268654517</v>
      </c>
      <c r="W4" s="8" t="n">
        <v>668.708483245716</v>
      </c>
      <c r="X4" s="8" t="n">
        <v>2015</v>
      </c>
      <c r="Y4" s="3" t="n">
        <v>30749.3056337578</v>
      </c>
      <c r="Z4" s="3" t="n">
        <v>2273.01312654839</v>
      </c>
      <c r="AA4" s="3" t="n">
        <v>1839.66595604698</v>
      </c>
      <c r="AB4" s="3" t="n">
        <v>3205.45560899474</v>
      </c>
      <c r="AC4" s="3" t="n">
        <v>2355.53711289518</v>
      </c>
      <c r="AD4" s="3" t="n">
        <v>2015</v>
      </c>
      <c r="AE4" s="3" t="n">
        <v>31815.715618218</v>
      </c>
      <c r="AF4" s="3" t="n">
        <v>2284.66572461536</v>
      </c>
      <c r="AG4" s="3" t="n">
        <v>1616.7204404317</v>
      </c>
      <c r="AH4" s="3" t="n">
        <v>3607.91302487786</v>
      </c>
      <c r="AI4" s="3" t="n">
        <v>2379.66672058611</v>
      </c>
      <c r="AJ4" s="7" t="n">
        <v>2015</v>
      </c>
      <c r="AK4" s="6" t="n">
        <v>6414.78904699531</v>
      </c>
      <c r="AL4" s="7" t="n">
        <v>474.186307864191</v>
      </c>
      <c r="AM4" s="7" t="n">
        <v>491.402110069187</v>
      </c>
      <c r="AN4" s="7" t="n">
        <v>383.783268654517</v>
      </c>
      <c r="AO4" s="7" t="n">
        <v>668.708483245716</v>
      </c>
      <c r="AP4" s="7" t="n">
        <v>2015</v>
      </c>
      <c r="AQ4" s="2" t="n">
        <v>30749.3056337578</v>
      </c>
      <c r="AR4" s="2" t="n">
        <v>2273.01312654839</v>
      </c>
      <c r="AS4" s="2" t="n">
        <v>1839.66595604698</v>
      </c>
      <c r="AT4" s="2" t="n">
        <v>3205.45560899474</v>
      </c>
      <c r="AU4" s="2" t="n">
        <v>2355.53711289518</v>
      </c>
      <c r="AV4" s="2" t="n">
        <v>2015</v>
      </c>
      <c r="AW4" s="2" t="n">
        <v>31815.715618218</v>
      </c>
      <c r="AX4" s="2" t="n">
        <v>2284.66572461536</v>
      </c>
      <c r="AY4" s="2" t="n">
        <v>1616.7204404317</v>
      </c>
      <c r="AZ4" s="2" t="n">
        <v>3607.91302487786</v>
      </c>
      <c r="BA4" s="2" t="n">
        <v>2379.66672058611</v>
      </c>
    </row>
    <row r="5" customFormat="false" ht="15" hidden="false" customHeight="false" outlineLevel="0" collapsed="false">
      <c r="A5" s="6" t="n">
        <v>6778.90225184158</v>
      </c>
      <c r="B5" s="7" t="n">
        <v>416.515534229765</v>
      </c>
      <c r="C5" s="7" t="n">
        <v>444.758943289874</v>
      </c>
      <c r="D5" s="7" t="n">
        <v>251.803476798274</v>
      </c>
      <c r="E5" s="7" t="n">
        <v>768.552924109479</v>
      </c>
      <c r="F5" s="7" t="n">
        <v>2015</v>
      </c>
      <c r="G5" s="4" t="n">
        <v>31689.0687728035</v>
      </c>
      <c r="H5" s="7" t="n">
        <v>1947.06884961534</v>
      </c>
      <c r="I5" s="7" t="n">
        <v>1177.0958478305</v>
      </c>
      <c r="J5" s="2" t="n">
        <v>3592.72424396269</v>
      </c>
      <c r="K5" s="7" t="n">
        <v>2079.09720742815</v>
      </c>
      <c r="L5" s="2" t="n">
        <v>2016</v>
      </c>
      <c r="M5" s="2" t="n">
        <v>29969.7816818848</v>
      </c>
      <c r="N5" s="2" t="n">
        <v>2433.98580969057</v>
      </c>
      <c r="O5" s="2" t="n">
        <v>1850.00925635557</v>
      </c>
      <c r="P5" s="2" t="n">
        <v>3416.1859077151</v>
      </c>
      <c r="Q5" s="2" t="n">
        <v>2491.92175423361</v>
      </c>
      <c r="R5" s="8" t="n">
        <v>2015</v>
      </c>
      <c r="S5" s="9" t="n">
        <v>6778.90225184158</v>
      </c>
      <c r="T5" s="8" t="n">
        <v>416.515534229765</v>
      </c>
      <c r="U5" s="8" t="n">
        <v>444.758943289874</v>
      </c>
      <c r="V5" s="8" t="n">
        <v>251.803476798274</v>
      </c>
      <c r="W5" s="8" t="n">
        <v>768.552924109479</v>
      </c>
      <c r="X5" s="8" t="n">
        <v>2015</v>
      </c>
      <c r="Y5" s="3" t="n">
        <v>31689.0687728035</v>
      </c>
      <c r="Z5" s="3" t="n">
        <v>1947.06884961534</v>
      </c>
      <c r="AA5" s="3" t="n">
        <v>1177.0958478305</v>
      </c>
      <c r="AB5" s="3" t="n">
        <v>3592.72424396269</v>
      </c>
      <c r="AC5" s="3" t="n">
        <v>2079.09720742815</v>
      </c>
      <c r="AD5" s="3" t="n">
        <v>2016</v>
      </c>
      <c r="AE5" s="3" t="n">
        <v>29969.7816818848</v>
      </c>
      <c r="AF5" s="3" t="n">
        <v>2433.98580969057</v>
      </c>
      <c r="AG5" s="3" t="n">
        <v>1850.00925635557</v>
      </c>
      <c r="AH5" s="3" t="n">
        <v>3416.1859077151</v>
      </c>
      <c r="AI5" s="3" t="n">
        <v>2491.92175423361</v>
      </c>
      <c r="AJ5" s="7" t="n">
        <v>2015</v>
      </c>
      <c r="AK5" s="6" t="n">
        <v>6778.90225184158</v>
      </c>
      <c r="AL5" s="7" t="n">
        <v>416.515534229765</v>
      </c>
      <c r="AM5" s="7" t="n">
        <v>444.758943289874</v>
      </c>
      <c r="AN5" s="7" t="n">
        <v>251.803476798274</v>
      </c>
      <c r="AO5" s="7" t="n">
        <v>768.552924109479</v>
      </c>
      <c r="AP5" s="7" t="n">
        <v>2015</v>
      </c>
      <c r="AQ5" s="2" t="n">
        <v>31689.0687728035</v>
      </c>
      <c r="AR5" s="2" t="n">
        <v>1947.06884961534</v>
      </c>
      <c r="AS5" s="2" t="n">
        <v>1177.0958478305</v>
      </c>
      <c r="AT5" s="2" t="n">
        <v>3592.72424396269</v>
      </c>
      <c r="AU5" s="2" t="n">
        <v>2079.09720742815</v>
      </c>
      <c r="AV5" s="2" t="n">
        <v>2016</v>
      </c>
      <c r="AW5" s="2" t="n">
        <v>29969.7816818848</v>
      </c>
      <c r="AX5" s="2" t="n">
        <v>2433.98580969057</v>
      </c>
      <c r="AY5" s="2" t="n">
        <v>1850.00925635557</v>
      </c>
      <c r="AZ5" s="2" t="n">
        <v>3416.1859077151</v>
      </c>
      <c r="BA5" s="2" t="n">
        <v>2491.92175423361</v>
      </c>
    </row>
    <row r="6" customFormat="false" ht="15" hidden="false" customHeight="false" outlineLevel="0" collapsed="false">
      <c r="A6" s="6" t="n">
        <v>7092.02100217064</v>
      </c>
      <c r="B6" s="7" t="n">
        <v>552.861598909654</v>
      </c>
      <c r="C6" s="7" t="n">
        <v>570.205852822391</v>
      </c>
      <c r="D6" s="7" t="n">
        <v>385.685225894459</v>
      </c>
      <c r="E6" s="7" t="n">
        <v>854.787237177249</v>
      </c>
      <c r="F6" s="7" t="n">
        <v>2015</v>
      </c>
      <c r="G6" s="4" t="n">
        <v>32570.7765224842</v>
      </c>
      <c r="H6" s="7" t="n">
        <v>2539.0691285937</v>
      </c>
      <c r="I6" s="7" t="n">
        <v>1771.29584032357</v>
      </c>
      <c r="J6" s="2" t="n">
        <v>3925.69114894762</v>
      </c>
      <c r="K6" s="7" t="n">
        <v>2618.72425341187</v>
      </c>
      <c r="L6" s="2" t="n">
        <v>2017</v>
      </c>
      <c r="M6" s="2" t="n">
        <v>30901.2012202376</v>
      </c>
      <c r="N6" s="2" t="n">
        <v>2627.13842637487</v>
      </c>
      <c r="O6" s="2" t="n">
        <v>2317.15910084994</v>
      </c>
      <c r="P6" s="2" t="n">
        <v>3551.27181869738</v>
      </c>
      <c r="Q6" s="2" t="n">
        <v>2670.64372521213</v>
      </c>
      <c r="R6" s="8" t="n">
        <v>2015</v>
      </c>
      <c r="S6" s="9" t="n">
        <v>7092.02100217064</v>
      </c>
      <c r="T6" s="8" t="n">
        <v>552.861598909654</v>
      </c>
      <c r="U6" s="8" t="n">
        <v>570.205852822391</v>
      </c>
      <c r="V6" s="8" t="n">
        <v>385.685225894459</v>
      </c>
      <c r="W6" s="8" t="n">
        <v>854.787237177249</v>
      </c>
      <c r="X6" s="8" t="n">
        <v>2015</v>
      </c>
      <c r="Y6" s="3" t="n">
        <v>32570.7765224842</v>
      </c>
      <c r="Z6" s="3" t="n">
        <v>2539.0691285937</v>
      </c>
      <c r="AA6" s="3" t="n">
        <v>1771.29584032357</v>
      </c>
      <c r="AB6" s="3" t="n">
        <v>3925.69114894762</v>
      </c>
      <c r="AC6" s="3" t="n">
        <v>2618.72425341187</v>
      </c>
      <c r="AD6" s="3" t="n">
        <v>2017</v>
      </c>
      <c r="AE6" s="3" t="n">
        <v>30901.2012202376</v>
      </c>
      <c r="AF6" s="3" t="n">
        <v>2627.13842637487</v>
      </c>
      <c r="AG6" s="3" t="n">
        <v>2317.15910084994</v>
      </c>
      <c r="AH6" s="3" t="n">
        <v>3551.27181869738</v>
      </c>
      <c r="AI6" s="3" t="n">
        <v>2670.64372521213</v>
      </c>
      <c r="AJ6" s="7" t="n">
        <v>2015</v>
      </c>
      <c r="AK6" s="6" t="n">
        <v>7092.02100217064</v>
      </c>
      <c r="AL6" s="7" t="n">
        <v>552.861598909654</v>
      </c>
      <c r="AM6" s="7" t="n">
        <v>570.205852822391</v>
      </c>
      <c r="AN6" s="7" t="n">
        <v>385.685225894459</v>
      </c>
      <c r="AO6" s="7" t="n">
        <v>854.787237177249</v>
      </c>
      <c r="AP6" s="7" t="n">
        <v>2015</v>
      </c>
      <c r="AQ6" s="2" t="n">
        <v>32570.7765224842</v>
      </c>
      <c r="AR6" s="2" t="n">
        <v>2539.0691285937</v>
      </c>
      <c r="AS6" s="2" t="n">
        <v>1771.29584032357</v>
      </c>
      <c r="AT6" s="2" t="n">
        <v>3925.69114894762</v>
      </c>
      <c r="AU6" s="2" t="n">
        <v>2618.72425341187</v>
      </c>
      <c r="AV6" s="2" t="n">
        <v>2017</v>
      </c>
      <c r="AW6" s="2" t="n">
        <v>30901.2012202376</v>
      </c>
      <c r="AX6" s="2" t="n">
        <v>2627.13842637487</v>
      </c>
      <c r="AY6" s="2" t="n">
        <v>2317.15910084994</v>
      </c>
      <c r="AZ6" s="2" t="n">
        <v>3551.27181869738</v>
      </c>
      <c r="BA6" s="2" t="n">
        <v>2670.64372521213</v>
      </c>
    </row>
    <row r="7" customFormat="false" ht="15" hidden="false" customHeight="false" outlineLevel="0" collapsed="false">
      <c r="A7" s="6" t="n">
        <v>7113.98164433727</v>
      </c>
      <c r="B7" s="7" t="n">
        <v>524.832721961095</v>
      </c>
      <c r="C7" s="7" t="n">
        <v>543.756275343615</v>
      </c>
      <c r="D7" s="7" t="n">
        <v>370.286809935671</v>
      </c>
      <c r="E7" s="7" t="n">
        <v>817.800042446324</v>
      </c>
      <c r="F7" s="7" t="n">
        <v>2015</v>
      </c>
      <c r="G7" s="4" t="n">
        <v>32253.7115438263</v>
      </c>
      <c r="H7" s="7" t="n">
        <v>2379.511793704</v>
      </c>
      <c r="I7" s="7" t="n">
        <v>1678.82411752573</v>
      </c>
      <c r="J7" s="2" t="n">
        <v>3707.7810976064</v>
      </c>
      <c r="K7" s="7" t="n">
        <v>2465.30830860924</v>
      </c>
      <c r="L7" s="2" t="n">
        <v>2018</v>
      </c>
      <c r="M7" s="2" t="n">
        <v>29333.2223456884</v>
      </c>
      <c r="N7" s="2" t="n">
        <v>2605.88663503554</v>
      </c>
      <c r="O7" s="2" t="n">
        <v>2292.08934258384</v>
      </c>
      <c r="P7" s="2" t="n">
        <v>3514.06832274195</v>
      </c>
      <c r="Q7" s="2" t="n">
        <v>2623.35356633345</v>
      </c>
      <c r="R7" s="8" t="n">
        <v>2015</v>
      </c>
      <c r="S7" s="9" t="n">
        <v>7113.98164433727</v>
      </c>
      <c r="T7" s="8" t="n">
        <v>524.832721961095</v>
      </c>
      <c r="U7" s="8" t="n">
        <v>543.756275343615</v>
      </c>
      <c r="V7" s="8" t="n">
        <v>370.286809935671</v>
      </c>
      <c r="W7" s="8" t="n">
        <v>817.800042446324</v>
      </c>
      <c r="X7" s="8" t="n">
        <v>2015</v>
      </c>
      <c r="Y7" s="3" t="n">
        <v>32253.7115438263</v>
      </c>
      <c r="Z7" s="3" t="n">
        <v>2379.511793704</v>
      </c>
      <c r="AA7" s="3" t="n">
        <v>1678.82411752573</v>
      </c>
      <c r="AB7" s="3" t="n">
        <v>3707.7810976064</v>
      </c>
      <c r="AC7" s="3" t="n">
        <v>2465.30830860924</v>
      </c>
      <c r="AD7" s="3" t="n">
        <v>2018</v>
      </c>
      <c r="AE7" s="3" t="n">
        <v>29333.2223456884</v>
      </c>
      <c r="AF7" s="3" t="n">
        <v>2605.88663503554</v>
      </c>
      <c r="AG7" s="3" t="n">
        <v>2292.08934258384</v>
      </c>
      <c r="AH7" s="3" t="n">
        <v>3514.06832274195</v>
      </c>
      <c r="AI7" s="3" t="n">
        <v>2623.35356633345</v>
      </c>
      <c r="AJ7" s="7" t="n">
        <v>2015</v>
      </c>
      <c r="AK7" s="6" t="n">
        <v>7113.98164433727</v>
      </c>
      <c r="AL7" s="7" t="n">
        <v>524.832721961095</v>
      </c>
      <c r="AM7" s="7" t="n">
        <v>543.756275343615</v>
      </c>
      <c r="AN7" s="7" t="n">
        <v>370.286809935671</v>
      </c>
      <c r="AO7" s="7" t="n">
        <v>817.800042446324</v>
      </c>
      <c r="AP7" s="7" t="n">
        <v>2015</v>
      </c>
      <c r="AQ7" s="2" t="n">
        <v>32253.7115438263</v>
      </c>
      <c r="AR7" s="2" t="n">
        <v>2379.511793704</v>
      </c>
      <c r="AS7" s="2" t="n">
        <v>1678.82411752573</v>
      </c>
      <c r="AT7" s="2" t="n">
        <v>3707.7810976064</v>
      </c>
      <c r="AU7" s="2" t="n">
        <v>2465.30830860924</v>
      </c>
      <c r="AV7" s="2" t="n">
        <v>2018</v>
      </c>
      <c r="AW7" s="2" t="n">
        <v>29336.9739271587</v>
      </c>
      <c r="AX7" s="2" t="n">
        <v>2605.88663503554</v>
      </c>
      <c r="AY7" s="2" t="n">
        <v>2292.08934258384</v>
      </c>
      <c r="AZ7" s="2" t="n">
        <v>3514.06832274195</v>
      </c>
      <c r="BA7" s="2" t="n">
        <v>2623.35356633345</v>
      </c>
    </row>
    <row r="8" customFormat="false" ht="15" hidden="false" customHeight="false" outlineLevel="0" collapsed="false">
      <c r="A8" s="6" t="n">
        <v>6705.54599729676</v>
      </c>
      <c r="B8" s="7" t="n">
        <v>588.315406809014</v>
      </c>
      <c r="C8" s="7" t="n">
        <v>606.232274712314</v>
      </c>
      <c r="D8" s="7" t="n">
        <v>430.76258753687</v>
      </c>
      <c r="E8" s="7" t="n">
        <v>834.996314491796</v>
      </c>
      <c r="F8" s="7" t="n">
        <v>2016</v>
      </c>
      <c r="G8" s="4" t="n">
        <v>30401.9263969884</v>
      </c>
      <c r="H8" s="7" t="n">
        <v>2667.33263827172</v>
      </c>
      <c r="I8" s="7" t="n">
        <v>1953.01210164716</v>
      </c>
      <c r="J8" s="2" t="n">
        <v>3785.7463814535</v>
      </c>
      <c r="K8" s="7" t="n">
        <v>2748.56499421713</v>
      </c>
      <c r="L8" s="2" t="n">
        <v>2019</v>
      </c>
      <c r="M8" s="2" t="n">
        <v>26863.1933240567</v>
      </c>
      <c r="N8" s="2" t="n">
        <v>2469.18494891276</v>
      </c>
      <c r="O8" s="2" t="n">
        <v>2166.11173297133</v>
      </c>
      <c r="P8" s="2" t="n">
        <v>3250.44313396963</v>
      </c>
      <c r="Q8" s="2" t="n">
        <v>2463.02872747996</v>
      </c>
      <c r="R8" s="8" t="n">
        <v>2016</v>
      </c>
      <c r="S8" s="9" t="n">
        <v>6705.54599729676</v>
      </c>
      <c r="T8" s="8" t="n">
        <v>588.315406809014</v>
      </c>
      <c r="U8" s="8" t="n">
        <v>606.232274712314</v>
      </c>
      <c r="V8" s="8" t="n">
        <v>430.76258753687</v>
      </c>
      <c r="W8" s="8" t="n">
        <v>834.996314491796</v>
      </c>
      <c r="X8" s="8" t="n">
        <v>2016</v>
      </c>
      <c r="Y8" s="3" t="n">
        <v>30401.9263969884</v>
      </c>
      <c r="Z8" s="3" t="n">
        <v>2667.33263827172</v>
      </c>
      <c r="AA8" s="3" t="n">
        <v>1953.01210164716</v>
      </c>
      <c r="AB8" s="3" t="n">
        <v>3785.7463814535</v>
      </c>
      <c r="AC8" s="3" t="n">
        <v>2748.56499421713</v>
      </c>
      <c r="AD8" s="3" t="n">
        <v>2019</v>
      </c>
      <c r="AE8" s="3" t="n">
        <v>26863.1933240567</v>
      </c>
      <c r="AF8" s="3" t="n">
        <v>2469.18494891276</v>
      </c>
      <c r="AG8" s="3" t="n">
        <v>2166.11173297133</v>
      </c>
      <c r="AH8" s="3" t="n">
        <v>3250.44313396963</v>
      </c>
      <c r="AI8" s="3" t="n">
        <v>2463.02872747996</v>
      </c>
      <c r="AJ8" s="7" t="n">
        <v>2016</v>
      </c>
      <c r="AK8" s="6" t="n">
        <v>6705.54599729676</v>
      </c>
      <c r="AL8" s="7" t="n">
        <v>588.315406809014</v>
      </c>
      <c r="AM8" s="7" t="n">
        <v>606.232274712314</v>
      </c>
      <c r="AN8" s="7" t="n">
        <v>430.76258753687</v>
      </c>
      <c r="AO8" s="7" t="n">
        <v>834.996314491796</v>
      </c>
      <c r="AP8" s="7" t="n">
        <v>2016</v>
      </c>
      <c r="AQ8" s="2" t="n">
        <v>30401.9263969884</v>
      </c>
      <c r="AR8" s="2" t="n">
        <v>2667.33263827172</v>
      </c>
      <c r="AS8" s="2" t="n">
        <v>1953.01210164716</v>
      </c>
      <c r="AT8" s="2" t="n">
        <v>3785.7463814535</v>
      </c>
      <c r="AU8" s="2" t="n">
        <v>2748.56499421713</v>
      </c>
      <c r="AV8" s="2" t="n">
        <v>2019</v>
      </c>
      <c r="AW8" s="2" t="n">
        <v>26869.677741076</v>
      </c>
      <c r="AX8" s="2" t="n">
        <v>2469.15434047913</v>
      </c>
      <c r="AY8" s="2" t="n">
        <v>2166.05726467921</v>
      </c>
      <c r="AZ8" s="2" t="n">
        <v>3250.41925115312</v>
      </c>
      <c r="BA8" s="2" t="n">
        <v>2463.01522769429</v>
      </c>
    </row>
    <row r="9" customFormat="false" ht="15" hidden="false" customHeight="false" outlineLevel="0" collapsed="false">
      <c r="A9" s="6" t="n">
        <v>6521.17321865806</v>
      </c>
      <c r="B9" s="7" t="n">
        <v>504.479682396276</v>
      </c>
      <c r="C9" s="7" t="n">
        <v>519.539646119828</v>
      </c>
      <c r="D9" s="7" t="n">
        <v>371.729896992538</v>
      </c>
      <c r="E9" s="7" t="n">
        <v>711.724254492542</v>
      </c>
      <c r="F9" s="7" t="n">
        <v>2016</v>
      </c>
      <c r="G9" s="4" t="n">
        <v>29566.0082408768</v>
      </c>
      <c r="H9" s="7" t="n">
        <v>2287.2342057113</v>
      </c>
      <c r="I9" s="7" t="n">
        <v>1685.36685491132</v>
      </c>
      <c r="J9" s="2" t="n">
        <v>3226.84959714789</v>
      </c>
      <c r="K9" s="7" t="n">
        <v>2355.51379231757</v>
      </c>
      <c r="L9" s="2" t="n">
        <v>2020</v>
      </c>
      <c r="M9" s="2" t="n">
        <v>26757.0482227393</v>
      </c>
      <c r="N9" s="2" t="n">
        <v>2359.78112760649</v>
      </c>
      <c r="O9" s="2" t="n">
        <v>2057.87894637062</v>
      </c>
      <c r="P9" s="2" t="n">
        <v>3078.18445642337</v>
      </c>
      <c r="Q9" s="2" t="n">
        <v>2359.30202381716</v>
      </c>
      <c r="R9" s="8" t="n">
        <v>2016</v>
      </c>
      <c r="S9" s="9" t="n">
        <v>6521.17321865806</v>
      </c>
      <c r="T9" s="8" t="n">
        <v>504.479682396276</v>
      </c>
      <c r="U9" s="8" t="n">
        <v>519.539646119828</v>
      </c>
      <c r="V9" s="8" t="n">
        <v>371.729896992538</v>
      </c>
      <c r="W9" s="8" t="n">
        <v>711.724254492542</v>
      </c>
      <c r="X9" s="8" t="n">
        <v>2016</v>
      </c>
      <c r="Y9" s="3" t="n">
        <v>29566.0082408768</v>
      </c>
      <c r="Z9" s="3" t="n">
        <v>2287.2342057113</v>
      </c>
      <c r="AA9" s="3" t="n">
        <v>1685.36685491132</v>
      </c>
      <c r="AB9" s="3" t="n">
        <v>3226.84959714789</v>
      </c>
      <c r="AC9" s="3" t="n">
        <v>2355.51379231757</v>
      </c>
      <c r="AD9" s="3" t="n">
        <v>2020</v>
      </c>
      <c r="AE9" s="3" t="n">
        <v>26978.3037265604</v>
      </c>
      <c r="AF9" s="3" t="n">
        <v>2359.71050109922</v>
      </c>
      <c r="AG9" s="3" t="n">
        <v>2056.29478638525</v>
      </c>
      <c r="AH9" s="3" t="n">
        <v>3080.42314982073</v>
      </c>
      <c r="AI9" s="3" t="n">
        <v>2359.02508075737</v>
      </c>
      <c r="AJ9" s="7" t="n">
        <v>2016</v>
      </c>
      <c r="AK9" s="6" t="n">
        <v>6521.17321865806</v>
      </c>
      <c r="AL9" s="7" t="n">
        <v>504.479682396276</v>
      </c>
      <c r="AM9" s="7" t="n">
        <v>519.539646119828</v>
      </c>
      <c r="AN9" s="7" t="n">
        <v>371.729896992538</v>
      </c>
      <c r="AO9" s="7" t="n">
        <v>711.724254492542</v>
      </c>
      <c r="AP9" s="7" t="n">
        <v>2016</v>
      </c>
      <c r="AQ9" s="2" t="n">
        <v>29566.0082408768</v>
      </c>
      <c r="AR9" s="2" t="n">
        <v>2287.2342057113</v>
      </c>
      <c r="AS9" s="2" t="n">
        <v>1685.36685491132</v>
      </c>
      <c r="AT9" s="2" t="n">
        <v>3226.84959714789</v>
      </c>
      <c r="AU9" s="2" t="n">
        <v>2355.51379231757</v>
      </c>
      <c r="AV9" s="2" t="n">
        <v>2020</v>
      </c>
      <c r="AW9" s="2" t="n">
        <v>27829.8161270734</v>
      </c>
      <c r="AX9" s="2" t="n">
        <v>2354.65792709707</v>
      </c>
      <c r="AY9" s="2" t="n">
        <v>2046.76503643641</v>
      </c>
      <c r="AZ9" s="2" t="n">
        <v>3087.03881172885</v>
      </c>
      <c r="BA9" s="2" t="n">
        <v>2358.2841474359</v>
      </c>
    </row>
    <row r="10" customFormat="false" ht="15" hidden="false" customHeight="false" outlineLevel="0" collapsed="false">
      <c r="A10" s="6" t="n">
        <v>6554.01964535573</v>
      </c>
      <c r="B10" s="7" t="n">
        <v>490.567923039611</v>
      </c>
      <c r="C10" s="7" t="n">
        <v>503.058287951739</v>
      </c>
      <c r="D10" s="7" t="n">
        <v>336.541951819047</v>
      </c>
      <c r="E10" s="7" t="n">
        <v>688.592861604624</v>
      </c>
      <c r="F10" s="7" t="n">
        <v>2016</v>
      </c>
      <c r="G10" s="4" t="n">
        <v>29714.9289472995</v>
      </c>
      <c r="H10" s="7" t="n">
        <v>2224.16040319255</v>
      </c>
      <c r="I10" s="7" t="n">
        <v>1525.83005959935</v>
      </c>
      <c r="J10" s="2" t="n">
        <v>3121.97537746142</v>
      </c>
      <c r="K10" s="7" t="n">
        <v>2280.78981933303</v>
      </c>
      <c r="L10" s="2" t="n">
        <v>2021</v>
      </c>
      <c r="M10" s="2" t="n">
        <v>27145.4952156295</v>
      </c>
      <c r="N10" s="2" t="n">
        <v>2399.97779487979</v>
      </c>
      <c r="O10" s="2" t="n">
        <v>2085.95851550152</v>
      </c>
      <c r="P10" s="2" t="n">
        <v>3162.0765065366</v>
      </c>
      <c r="Q10" s="2" t="n">
        <v>2387.99683700132</v>
      </c>
      <c r="R10" s="8" t="n">
        <v>2016</v>
      </c>
      <c r="S10" s="9" t="n">
        <v>6554.01964535573</v>
      </c>
      <c r="T10" s="8" t="n">
        <v>490.567923039611</v>
      </c>
      <c r="U10" s="8" t="n">
        <v>503.058287951739</v>
      </c>
      <c r="V10" s="8" t="n">
        <v>336.541951819047</v>
      </c>
      <c r="W10" s="8" t="n">
        <v>688.592861604624</v>
      </c>
      <c r="X10" s="8" t="n">
        <v>2016</v>
      </c>
      <c r="Y10" s="3" t="n">
        <v>29714.9289472995</v>
      </c>
      <c r="Z10" s="3" t="n">
        <v>2224.16040319255</v>
      </c>
      <c r="AA10" s="3" t="n">
        <v>1525.83005959935</v>
      </c>
      <c r="AB10" s="3" t="n">
        <v>3121.97537746142</v>
      </c>
      <c r="AC10" s="3" t="n">
        <v>2280.78981933303</v>
      </c>
      <c r="AD10" s="3" t="n">
        <v>2021</v>
      </c>
      <c r="AE10" s="3" t="n">
        <v>27901.4241375946</v>
      </c>
      <c r="AF10" s="3" t="n">
        <v>2398.41781597778</v>
      </c>
      <c r="AG10" s="3" t="n">
        <v>2082.22351531067</v>
      </c>
      <c r="AH10" s="3" t="n">
        <v>3192.97811900307</v>
      </c>
      <c r="AI10" s="3" t="n">
        <v>2387.5231275097</v>
      </c>
      <c r="AJ10" s="7" t="n">
        <v>2016</v>
      </c>
      <c r="AK10" s="6" t="n">
        <v>6554.01964535573</v>
      </c>
      <c r="AL10" s="7" t="n">
        <v>490.567923039611</v>
      </c>
      <c r="AM10" s="7" t="n">
        <v>503.058287951739</v>
      </c>
      <c r="AN10" s="7" t="n">
        <v>336.541951819047</v>
      </c>
      <c r="AO10" s="7" t="n">
        <v>688.592861604624</v>
      </c>
      <c r="AP10" s="7" t="n">
        <v>2016</v>
      </c>
      <c r="AQ10" s="2" t="n">
        <v>29714.9289472995</v>
      </c>
      <c r="AR10" s="2" t="n">
        <v>2224.16040319255</v>
      </c>
      <c r="AS10" s="2" t="n">
        <v>1525.83005959935</v>
      </c>
      <c r="AT10" s="2" t="n">
        <v>3121.97537746142</v>
      </c>
      <c r="AU10" s="2" t="n">
        <v>2280.78981933303</v>
      </c>
      <c r="AV10" s="2" t="n">
        <v>2021</v>
      </c>
      <c r="AW10" s="2" t="n">
        <v>30017.3342166067</v>
      </c>
      <c r="AX10" s="2" t="n">
        <v>2404.18260619673</v>
      </c>
      <c r="AY10" s="2" t="n">
        <v>2074.58336338289</v>
      </c>
      <c r="AZ10" s="2" t="n">
        <v>3238.27814119775</v>
      </c>
      <c r="BA10" s="2" t="n">
        <v>2403.39140867196</v>
      </c>
    </row>
    <row r="11" customFormat="false" ht="15" hidden="false" customHeight="false" outlineLevel="0" collapsed="false">
      <c r="A11" s="6" t="n">
        <v>6660.1842529205</v>
      </c>
      <c r="B11" s="7" t="n">
        <v>564.02772747671</v>
      </c>
      <c r="C11" s="7" t="n">
        <v>569.674678897599</v>
      </c>
      <c r="D11" s="7" t="n">
        <v>493.141367504015</v>
      </c>
      <c r="E11" s="7" t="n">
        <v>778.626073161663</v>
      </c>
      <c r="F11" s="7" t="n">
        <v>2016</v>
      </c>
      <c r="G11" s="4" t="n">
        <v>30196.2631423746</v>
      </c>
      <c r="H11" s="7" t="n">
        <v>2557.21599158671</v>
      </c>
      <c r="I11" s="7" t="n">
        <v>2235.82800926445</v>
      </c>
      <c r="J11" s="2" t="n">
        <v>3530.17227479758</v>
      </c>
      <c r="K11" s="7" t="n">
        <v>2582.81841106671</v>
      </c>
      <c r="L11" s="2" t="n">
        <v>2022</v>
      </c>
      <c r="M11" s="2" t="n">
        <v>27656.6456452422</v>
      </c>
      <c r="N11" s="2" t="n">
        <v>2477.85966886192</v>
      </c>
      <c r="O11" s="2" t="n">
        <v>2154.45889067074</v>
      </c>
      <c r="P11" s="2" t="n">
        <v>3206.01909859943</v>
      </c>
      <c r="Q11" s="2" t="n">
        <v>2456.64871320234</v>
      </c>
      <c r="R11" s="8" t="n">
        <v>2016</v>
      </c>
      <c r="S11" s="9" t="n">
        <v>6660.1842529205</v>
      </c>
      <c r="T11" s="8" t="n">
        <v>564.02772747671</v>
      </c>
      <c r="U11" s="8" t="n">
        <v>569.674678897599</v>
      </c>
      <c r="V11" s="8" t="n">
        <v>493.141367504015</v>
      </c>
      <c r="W11" s="8" t="n">
        <v>778.626073161663</v>
      </c>
      <c r="X11" s="8" t="n">
        <v>2016</v>
      </c>
      <c r="Y11" s="3" t="n">
        <v>30196.2631423746</v>
      </c>
      <c r="Z11" s="3" t="n">
        <v>2557.21599158671</v>
      </c>
      <c r="AA11" s="3" t="n">
        <v>2235.82800926445</v>
      </c>
      <c r="AB11" s="3" t="n">
        <v>3530.17227479758</v>
      </c>
      <c r="AC11" s="3" t="n">
        <v>2582.81841106671</v>
      </c>
      <c r="AD11" s="3" t="n">
        <v>2022</v>
      </c>
      <c r="AE11" s="3" t="n">
        <v>28721.4193401162</v>
      </c>
      <c r="AF11" s="3" t="n">
        <v>2489.99832693007</v>
      </c>
      <c r="AG11" s="3" t="n">
        <v>2173.5150562112</v>
      </c>
      <c r="AH11" s="3" t="n">
        <v>3258.25762568132</v>
      </c>
      <c r="AI11" s="3" t="n">
        <v>2470.04777220006</v>
      </c>
      <c r="AJ11" s="7" t="n">
        <v>2016</v>
      </c>
      <c r="AK11" s="6" t="n">
        <v>6660.1842529205</v>
      </c>
      <c r="AL11" s="7" t="n">
        <v>564.02772747671</v>
      </c>
      <c r="AM11" s="7" t="n">
        <v>569.674678897599</v>
      </c>
      <c r="AN11" s="7" t="n">
        <v>493.141367504015</v>
      </c>
      <c r="AO11" s="7" t="n">
        <v>778.626073161663</v>
      </c>
      <c r="AP11" s="7" t="n">
        <v>2016</v>
      </c>
      <c r="AQ11" s="2" t="n">
        <v>30196.2631423746</v>
      </c>
      <c r="AR11" s="2" t="n">
        <v>2557.21599158671</v>
      </c>
      <c r="AS11" s="2" t="n">
        <v>2235.82800926445</v>
      </c>
      <c r="AT11" s="2" t="n">
        <v>3530.17227479758</v>
      </c>
      <c r="AU11" s="2" t="n">
        <v>2582.81841106671</v>
      </c>
      <c r="AV11" s="2" t="n">
        <v>2022</v>
      </c>
      <c r="AW11" s="2" t="n">
        <v>31422.2041760414</v>
      </c>
      <c r="AX11" s="2" t="n">
        <v>2553.14146818071</v>
      </c>
      <c r="AY11" s="2" t="n">
        <v>2247.07953406441</v>
      </c>
      <c r="AZ11" s="2" t="n">
        <v>3367.99005160534</v>
      </c>
      <c r="BA11" s="2" t="n">
        <v>2558.90219196227</v>
      </c>
    </row>
    <row r="12" customFormat="false" ht="15" hidden="false" customHeight="false" outlineLevel="0" collapsed="false">
      <c r="A12" s="6" t="n">
        <v>6744.03429129675</v>
      </c>
      <c r="B12" s="7" t="n">
        <v>658.778224152735</v>
      </c>
      <c r="C12" s="7" t="n">
        <v>664.725080665399</v>
      </c>
      <c r="D12" s="7" t="n">
        <v>580.969430660354</v>
      </c>
      <c r="E12" s="7" t="n">
        <v>842.230764110878</v>
      </c>
      <c r="F12" s="7" t="n">
        <v>2017</v>
      </c>
      <c r="G12" s="4" t="n">
        <v>30576.42647227</v>
      </c>
      <c r="H12" s="7" t="n">
        <v>2986.8003426871</v>
      </c>
      <c r="I12" s="7" t="n">
        <v>2634.02709890539</v>
      </c>
      <c r="J12" s="2" t="n">
        <v>3818.54627648525</v>
      </c>
      <c r="K12" s="7" t="n">
        <v>3013.76248627158</v>
      </c>
      <c r="L12" s="2" t="n">
        <v>2023</v>
      </c>
      <c r="M12" s="2" t="n">
        <v>28189.2314515068</v>
      </c>
      <c r="N12" s="2" t="n">
        <v>2582.24372768859</v>
      </c>
      <c r="O12" s="2" t="n">
        <v>2246.25087334203</v>
      </c>
      <c r="P12" s="2" t="n">
        <v>3393.03651066395</v>
      </c>
      <c r="Q12" s="2" t="n">
        <v>2541.8487549303</v>
      </c>
      <c r="R12" s="8" t="n">
        <v>2017</v>
      </c>
      <c r="S12" s="9" t="n">
        <v>6744.03429129675</v>
      </c>
      <c r="T12" s="8" t="n">
        <v>658.778224152735</v>
      </c>
      <c r="U12" s="8" t="n">
        <v>664.725080665399</v>
      </c>
      <c r="V12" s="8" t="n">
        <v>580.969430660354</v>
      </c>
      <c r="W12" s="8" t="n">
        <v>842.230764110878</v>
      </c>
      <c r="X12" s="8" t="n">
        <v>2017</v>
      </c>
      <c r="Y12" s="3" t="n">
        <v>30576.42647227</v>
      </c>
      <c r="Z12" s="3" t="n">
        <v>2986.8003426871</v>
      </c>
      <c r="AA12" s="3" t="n">
        <v>2634.02709890539</v>
      </c>
      <c r="AB12" s="3" t="n">
        <v>3818.54627648525</v>
      </c>
      <c r="AC12" s="3" t="n">
        <v>3013.76248627158</v>
      </c>
      <c r="AD12" s="3" t="n">
        <v>2023</v>
      </c>
      <c r="AE12" s="3" t="n">
        <v>29750.5123919085</v>
      </c>
      <c r="AF12" s="3" t="n">
        <v>2618.79112004523</v>
      </c>
      <c r="AG12" s="3" t="n">
        <v>2266.76901657319</v>
      </c>
      <c r="AH12" s="3" t="n">
        <v>3511.95167490549</v>
      </c>
      <c r="AI12" s="3" t="n">
        <v>2595.42002032983</v>
      </c>
      <c r="AJ12" s="7" t="n">
        <v>2017</v>
      </c>
      <c r="AK12" s="6" t="n">
        <v>6744.03429129675</v>
      </c>
      <c r="AL12" s="7" t="n">
        <v>658.778224152735</v>
      </c>
      <c r="AM12" s="7" t="n">
        <v>664.725080665399</v>
      </c>
      <c r="AN12" s="7" t="n">
        <v>580.969430660354</v>
      </c>
      <c r="AO12" s="7" t="n">
        <v>842.230764110878</v>
      </c>
      <c r="AP12" s="7" t="n">
        <v>2017</v>
      </c>
      <c r="AQ12" s="2" t="n">
        <v>30576.42647227</v>
      </c>
      <c r="AR12" s="2" t="n">
        <v>2986.8003426871</v>
      </c>
      <c r="AS12" s="2" t="n">
        <v>2634.02709890539</v>
      </c>
      <c r="AT12" s="2" t="n">
        <v>3818.54627648525</v>
      </c>
      <c r="AU12" s="2" t="n">
        <v>3013.76248627158</v>
      </c>
      <c r="AV12" s="2" t="n">
        <v>2023</v>
      </c>
      <c r="AW12" s="2" t="n">
        <v>32404.6100985987</v>
      </c>
      <c r="AX12" s="2" t="n">
        <v>2710.16300705586</v>
      </c>
      <c r="AY12" s="2" t="n">
        <v>2384.70681942807</v>
      </c>
      <c r="AZ12" s="2" t="n">
        <v>3626.9969643907</v>
      </c>
      <c r="BA12" s="2" t="n">
        <v>2693.93258008625</v>
      </c>
    </row>
    <row r="13" customFormat="false" ht="15" hidden="false" customHeight="false" outlineLevel="0" collapsed="false">
      <c r="A13" s="6" t="n">
        <v>6741.66175252587</v>
      </c>
      <c r="B13" s="7" t="n">
        <v>551.192186793029</v>
      </c>
      <c r="C13" s="7" t="n">
        <v>561.25138384204</v>
      </c>
      <c r="D13" s="7" t="n">
        <v>482.627478782235</v>
      </c>
      <c r="E13" s="7" t="n">
        <v>756.637584142117</v>
      </c>
      <c r="F13" s="7" t="n">
        <v>2017</v>
      </c>
      <c r="G13" s="4" t="n">
        <v>30565.6697420777</v>
      </c>
      <c r="H13" s="7" t="n">
        <v>2499.0216009602</v>
      </c>
      <c r="I13" s="7" t="n">
        <v>2188.15963577265</v>
      </c>
      <c r="J13" s="2" t="n">
        <v>3430.47980754397</v>
      </c>
      <c r="K13" s="7" t="n">
        <v>2544.62847151483</v>
      </c>
      <c r="L13" s="2" t="n">
        <v>2024</v>
      </c>
      <c r="M13" s="2" t="n">
        <v>28709.5043254826</v>
      </c>
      <c r="N13" s="2" t="n">
        <v>2673.70810763784</v>
      </c>
      <c r="O13" s="2" t="n">
        <v>2319.31850372865</v>
      </c>
      <c r="P13" s="2" t="n">
        <v>3430.90865394672</v>
      </c>
      <c r="Q13" s="2" t="n">
        <v>2617.77873076879</v>
      </c>
      <c r="R13" s="8" t="n">
        <v>2017</v>
      </c>
      <c r="S13" s="9" t="n">
        <v>6741.66175252587</v>
      </c>
      <c r="T13" s="8" t="n">
        <v>551.192186793029</v>
      </c>
      <c r="U13" s="8" t="n">
        <v>561.25138384204</v>
      </c>
      <c r="V13" s="8" t="n">
        <v>482.627478782235</v>
      </c>
      <c r="W13" s="8" t="n">
        <v>756.637584142117</v>
      </c>
      <c r="X13" s="8" t="n">
        <v>2017</v>
      </c>
      <c r="Y13" s="3" t="n">
        <v>30565.6697420777</v>
      </c>
      <c r="Z13" s="3" t="n">
        <v>2499.0216009602</v>
      </c>
      <c r="AA13" s="3" t="n">
        <v>2188.15963577265</v>
      </c>
      <c r="AB13" s="3" t="n">
        <v>3430.47980754397</v>
      </c>
      <c r="AC13" s="3" t="n">
        <v>2544.62847151483</v>
      </c>
      <c r="AD13" s="3" t="n">
        <v>2024</v>
      </c>
      <c r="AE13" s="3" t="n">
        <v>30680.8305194117</v>
      </c>
      <c r="AF13" s="3" t="n">
        <v>2779.12513845678</v>
      </c>
      <c r="AG13" s="3" t="n">
        <v>2442.51190936594</v>
      </c>
      <c r="AH13" s="3" t="n">
        <v>3752.26832763654</v>
      </c>
      <c r="AI13" s="3" t="n">
        <v>2762.22753544384</v>
      </c>
      <c r="AJ13" s="7" t="n">
        <v>2017</v>
      </c>
      <c r="AK13" s="6" t="n">
        <v>6741.66175252587</v>
      </c>
      <c r="AL13" s="7" t="n">
        <v>551.192186793029</v>
      </c>
      <c r="AM13" s="7" t="n">
        <v>561.25138384204</v>
      </c>
      <c r="AN13" s="7" t="n">
        <v>482.627478782235</v>
      </c>
      <c r="AO13" s="7" t="n">
        <v>756.637584142117</v>
      </c>
      <c r="AP13" s="7" t="n">
        <v>2017</v>
      </c>
      <c r="AQ13" s="2" t="n">
        <v>30565.6697420777</v>
      </c>
      <c r="AR13" s="2" t="n">
        <v>2499.0216009602</v>
      </c>
      <c r="AS13" s="2" t="n">
        <v>2188.15963577265</v>
      </c>
      <c r="AT13" s="2" t="n">
        <v>3430.47980754397</v>
      </c>
      <c r="AU13" s="2" t="n">
        <v>2544.62847151483</v>
      </c>
      <c r="AV13" s="2" t="n">
        <v>2024</v>
      </c>
      <c r="AW13" s="2" t="n">
        <v>33482.4702693227</v>
      </c>
      <c r="AX13" s="2" t="n">
        <v>2817.09267925318</v>
      </c>
      <c r="AY13" s="2" t="n">
        <v>2480.03672372409</v>
      </c>
      <c r="AZ13" s="2" t="n">
        <v>3856.7617981478</v>
      </c>
      <c r="BA13" s="2" t="n">
        <v>2792.70522310446</v>
      </c>
    </row>
    <row r="14" customFormat="false" ht="15" hidden="false" customHeight="false" outlineLevel="0" collapsed="false">
      <c r="A14" s="6" t="n">
        <v>6886.42921069284</v>
      </c>
      <c r="B14" s="7" t="n">
        <v>517.89170112151</v>
      </c>
      <c r="C14" s="7" t="n">
        <v>526.329393940529</v>
      </c>
      <c r="D14" s="7" t="n">
        <v>443.001396373512</v>
      </c>
      <c r="E14" s="7" t="n">
        <v>734.60346227723</v>
      </c>
      <c r="F14" s="7" t="n">
        <v>2017</v>
      </c>
      <c r="G14" s="4" t="n">
        <v>31222.0233946581</v>
      </c>
      <c r="H14" s="7" t="n">
        <v>2348.04226016116</v>
      </c>
      <c r="I14" s="7" t="n">
        <v>2008.5010007746</v>
      </c>
      <c r="J14" s="2" t="n">
        <v>3330.58044790516</v>
      </c>
      <c r="K14" s="7" t="n">
        <v>2386.29747698432</v>
      </c>
      <c r="L14" s="2" t="n">
        <v>2025</v>
      </c>
      <c r="M14" s="2" t="n">
        <v>29163.4273861843</v>
      </c>
      <c r="N14" s="2" t="n">
        <v>2770.48452401489</v>
      </c>
      <c r="O14" s="2" t="n">
        <v>2426.72136225758</v>
      </c>
      <c r="P14" s="2" t="n">
        <v>3650.69632766159</v>
      </c>
      <c r="Q14" s="2" t="n">
        <v>2728.19798035082</v>
      </c>
      <c r="R14" s="8" t="n">
        <v>2017</v>
      </c>
      <c r="S14" s="9" t="n">
        <v>6886.42921069284</v>
      </c>
      <c r="T14" s="8" t="n">
        <v>517.89170112151</v>
      </c>
      <c r="U14" s="8" t="n">
        <v>526.329393940529</v>
      </c>
      <c r="V14" s="8" t="n">
        <v>443.001396373512</v>
      </c>
      <c r="W14" s="8" t="n">
        <v>734.60346227723</v>
      </c>
      <c r="X14" s="8" t="n">
        <v>2017</v>
      </c>
      <c r="Y14" s="3" t="n">
        <v>31222.0233946581</v>
      </c>
      <c r="Z14" s="3" t="n">
        <v>2348.04226016116</v>
      </c>
      <c r="AA14" s="3" t="n">
        <v>2008.5010007746</v>
      </c>
      <c r="AB14" s="3" t="n">
        <v>3330.58044790516</v>
      </c>
      <c r="AC14" s="3" t="n">
        <v>2386.29747698432</v>
      </c>
      <c r="AD14" s="3" t="n">
        <v>2025</v>
      </c>
      <c r="AE14" s="3" t="n">
        <v>31187.9707518279</v>
      </c>
      <c r="AF14" s="3" t="n">
        <v>2932.00260942807</v>
      </c>
      <c r="AG14" s="3" t="n">
        <v>2583.70616086391</v>
      </c>
      <c r="AH14" s="3" t="n">
        <v>3785.25149068834</v>
      </c>
      <c r="AI14" s="3" t="n">
        <v>2870.47331573892</v>
      </c>
      <c r="AJ14" s="7" t="n">
        <v>2017</v>
      </c>
      <c r="AK14" s="6" t="n">
        <v>6886.42921069284</v>
      </c>
      <c r="AL14" s="7" t="n">
        <v>517.89170112151</v>
      </c>
      <c r="AM14" s="7" t="n">
        <v>526.329393940529</v>
      </c>
      <c r="AN14" s="7" t="n">
        <v>443.001396373512</v>
      </c>
      <c r="AO14" s="7" t="n">
        <v>734.60346227723</v>
      </c>
      <c r="AP14" s="7" t="n">
        <v>2017</v>
      </c>
      <c r="AQ14" s="2" t="n">
        <v>31222.0233946581</v>
      </c>
      <c r="AR14" s="2" t="n">
        <v>2348.04226016116</v>
      </c>
      <c r="AS14" s="2" t="n">
        <v>2008.5010007746</v>
      </c>
      <c r="AT14" s="2" t="n">
        <v>3330.58044790516</v>
      </c>
      <c r="AU14" s="2" t="n">
        <v>2386.29747698432</v>
      </c>
      <c r="AV14" s="2" t="n">
        <v>2025</v>
      </c>
      <c r="AW14" s="2" t="n">
        <v>34372.0795804249</v>
      </c>
      <c r="AX14" s="2" t="n">
        <v>2985.52289395537</v>
      </c>
      <c r="AY14" s="2" t="n">
        <v>2606.38434657898</v>
      </c>
      <c r="AZ14" s="2" t="n">
        <v>4045.30060713028</v>
      </c>
      <c r="BA14" s="2" t="n">
        <v>2910.34009860758</v>
      </c>
    </row>
    <row r="15" customFormat="false" ht="15" hidden="false" customHeight="false" outlineLevel="0" collapsed="false">
      <c r="A15" s="6" t="n">
        <v>6890.54533395775</v>
      </c>
      <c r="B15" s="7" t="n">
        <v>589.938060104395</v>
      </c>
      <c r="C15" s="7" t="n">
        <v>603.876984436074</v>
      </c>
      <c r="D15" s="7" t="n">
        <v>537.721745605802</v>
      </c>
      <c r="E15" s="7" t="n">
        <v>799.647613314959</v>
      </c>
      <c r="F15" s="7" t="n">
        <v>2017</v>
      </c>
      <c r="G15" s="4" t="n">
        <v>31240.6852719444</v>
      </c>
      <c r="H15" s="7" t="n">
        <v>2674.68950169102</v>
      </c>
      <c r="I15" s="7" t="n">
        <v>2437.9486679471</v>
      </c>
      <c r="J15" s="2" t="n">
        <v>3625.48074285514</v>
      </c>
      <c r="K15" s="7" t="n">
        <v>2737.88646607777</v>
      </c>
      <c r="L15" s="2" t="n">
        <v>2026</v>
      </c>
      <c r="M15" s="2" t="n">
        <v>29724.5169005297</v>
      </c>
      <c r="N15" s="2" t="n">
        <v>2828.63686016704</v>
      </c>
      <c r="O15" s="2" t="n">
        <v>2462.49365051993</v>
      </c>
      <c r="P15" s="2" t="n">
        <v>3673.60494884448</v>
      </c>
      <c r="Q15" s="2" t="n">
        <v>2772.58512872328</v>
      </c>
      <c r="R15" s="8" t="n">
        <v>2017</v>
      </c>
      <c r="S15" s="9" t="n">
        <v>6890.54533395775</v>
      </c>
      <c r="T15" s="8" t="n">
        <v>589.938060104395</v>
      </c>
      <c r="U15" s="8" t="n">
        <v>603.876984436074</v>
      </c>
      <c r="V15" s="8" t="n">
        <v>537.721745605802</v>
      </c>
      <c r="W15" s="8" t="n">
        <v>799.647613314959</v>
      </c>
      <c r="X15" s="8" t="n">
        <v>2017</v>
      </c>
      <c r="Y15" s="3" t="n">
        <v>31240.6852719444</v>
      </c>
      <c r="Z15" s="3" t="n">
        <v>2674.68950169102</v>
      </c>
      <c r="AA15" s="3" t="n">
        <v>2437.9486679471</v>
      </c>
      <c r="AB15" s="3" t="n">
        <v>3625.48074285514</v>
      </c>
      <c r="AC15" s="3" t="n">
        <v>2737.88646607777</v>
      </c>
      <c r="AD15" s="3" t="n">
        <v>2026</v>
      </c>
      <c r="AE15" s="3" t="n">
        <v>31936.8142539781</v>
      </c>
      <c r="AF15" s="3" t="n">
        <v>2964.00865390323</v>
      </c>
      <c r="AG15" s="3" t="n">
        <v>2609.64094622704</v>
      </c>
      <c r="AH15" s="3" t="n">
        <v>3841.87224243256</v>
      </c>
      <c r="AI15" s="3" t="n">
        <v>2913.64528689877</v>
      </c>
      <c r="AJ15" s="7" t="n">
        <v>2017</v>
      </c>
      <c r="AK15" s="6" t="n">
        <v>6890.54533395775</v>
      </c>
      <c r="AL15" s="7" t="n">
        <v>589.938060104395</v>
      </c>
      <c r="AM15" s="7" t="n">
        <v>603.876984436074</v>
      </c>
      <c r="AN15" s="7" t="n">
        <v>537.721745605802</v>
      </c>
      <c r="AO15" s="7" t="n">
        <v>799.647613314959</v>
      </c>
      <c r="AP15" s="7" t="n">
        <v>2017</v>
      </c>
      <c r="AQ15" s="2" t="n">
        <v>31240.6852719444</v>
      </c>
      <c r="AR15" s="2" t="n">
        <v>2674.68950169102</v>
      </c>
      <c r="AS15" s="2" t="n">
        <v>2437.9486679471</v>
      </c>
      <c r="AT15" s="2" t="n">
        <v>3625.48074285514</v>
      </c>
      <c r="AU15" s="2" t="n">
        <v>2737.88646607777</v>
      </c>
      <c r="AV15" s="2" t="n">
        <v>2026</v>
      </c>
      <c r="AW15" s="2" t="n">
        <v>35137.561420341</v>
      </c>
      <c r="AX15" s="2" t="n">
        <v>3070.41848796178</v>
      </c>
      <c r="AY15" s="2" t="n">
        <v>2702.38694119355</v>
      </c>
      <c r="AZ15" s="2" t="n">
        <v>4111.68234180045</v>
      </c>
      <c r="BA15" s="2" t="n">
        <v>2990.90767508542</v>
      </c>
    </row>
    <row r="16" customFormat="false" ht="15" hidden="false" customHeight="false" outlineLevel="0" collapsed="false">
      <c r="A16" s="6" t="n">
        <v>6808.84926639221</v>
      </c>
      <c r="B16" s="7" t="n">
        <v>681.325030412706</v>
      </c>
      <c r="C16" s="7" t="n">
        <v>679.670731146391</v>
      </c>
      <c r="D16" s="7" t="n">
        <v>603.909689955131</v>
      </c>
      <c r="E16" s="7" t="n">
        <v>877.407590354949</v>
      </c>
      <c r="F16" s="7" t="n">
        <v>2018</v>
      </c>
      <c r="G16" s="4" t="n">
        <v>30870.2877183298</v>
      </c>
      <c r="H16" s="7" t="n">
        <v>3089.02413545198</v>
      </c>
      <c r="I16" s="7" t="n">
        <v>2738.03474793039</v>
      </c>
      <c r="J16" s="2" t="n">
        <v>3978.0326602612</v>
      </c>
      <c r="K16" s="7" t="n">
        <v>3081.52379401023</v>
      </c>
      <c r="L16" s="2" t="n">
        <v>2027</v>
      </c>
      <c r="M16" s="2" t="n">
        <v>30105.4271061888</v>
      </c>
      <c r="N16" s="2" t="n">
        <v>2911.05685776114</v>
      </c>
      <c r="O16" s="2" t="n">
        <v>2540.64299960791</v>
      </c>
      <c r="P16" s="2" t="n">
        <v>3850.3210785318</v>
      </c>
      <c r="Q16" s="2" t="n">
        <v>2839.19690787387</v>
      </c>
      <c r="R16" s="8" t="n">
        <v>2018</v>
      </c>
      <c r="S16" s="9" t="n">
        <v>6808.84926639221</v>
      </c>
      <c r="T16" s="8" t="n">
        <v>681.325030412706</v>
      </c>
      <c r="U16" s="8" t="n">
        <v>679.670731146391</v>
      </c>
      <c r="V16" s="8" t="n">
        <v>603.909689955131</v>
      </c>
      <c r="W16" s="8" t="n">
        <v>877.407590354949</v>
      </c>
      <c r="X16" s="8" t="n">
        <v>2018</v>
      </c>
      <c r="Y16" s="3" t="n">
        <v>30870.2877183298</v>
      </c>
      <c r="Z16" s="3" t="n">
        <v>3089.02413545198</v>
      </c>
      <c r="AA16" s="3" t="n">
        <v>2738.03474793039</v>
      </c>
      <c r="AB16" s="3" t="n">
        <v>3978.0326602612</v>
      </c>
      <c r="AC16" s="3" t="n">
        <v>3081.52379401023</v>
      </c>
      <c r="AD16" s="3" t="n">
        <v>2027</v>
      </c>
      <c r="AE16" s="3" t="n">
        <v>32586.1201138495</v>
      </c>
      <c r="AF16" s="3" t="n">
        <v>3033.76769177329</v>
      </c>
      <c r="AG16" s="3" t="n">
        <v>2674.66781051349</v>
      </c>
      <c r="AH16" s="3" t="n">
        <v>4069.80699929698</v>
      </c>
      <c r="AI16" s="3" t="n">
        <v>2987.27077903994</v>
      </c>
      <c r="AJ16" s="7" t="n">
        <v>2018</v>
      </c>
      <c r="AK16" s="6" t="n">
        <v>6808.84926639221</v>
      </c>
      <c r="AL16" s="7" t="n">
        <v>681.325030412706</v>
      </c>
      <c r="AM16" s="7" t="n">
        <v>679.670731146391</v>
      </c>
      <c r="AN16" s="7" t="n">
        <v>603.909689955131</v>
      </c>
      <c r="AO16" s="7" t="n">
        <v>877.407590354949</v>
      </c>
      <c r="AP16" s="7" t="n">
        <v>2018</v>
      </c>
      <c r="AQ16" s="2" t="n">
        <v>30870.2877183298</v>
      </c>
      <c r="AR16" s="2" t="n">
        <v>3089.02413545198</v>
      </c>
      <c r="AS16" s="2" t="n">
        <v>2738.03474793039</v>
      </c>
      <c r="AT16" s="2" t="n">
        <v>3978.0326602612</v>
      </c>
      <c r="AU16" s="2" t="n">
        <v>3081.52379401023</v>
      </c>
      <c r="AV16" s="2" t="n">
        <v>2027</v>
      </c>
      <c r="AW16" s="2" t="n">
        <v>36096.6559531027</v>
      </c>
      <c r="AX16" s="2" t="n">
        <v>3140.28774092456</v>
      </c>
      <c r="AY16" s="2" t="n">
        <v>2758.99605584427</v>
      </c>
      <c r="AZ16" s="2" t="n">
        <v>4274.2395070353</v>
      </c>
      <c r="BA16" s="2" t="n">
        <v>3059.29834827558</v>
      </c>
    </row>
    <row r="17" customFormat="false" ht="15" hidden="false" customHeight="false" outlineLevel="0" collapsed="false">
      <c r="A17" s="6" t="n">
        <v>6723.17180647536</v>
      </c>
      <c r="B17" s="7" t="n">
        <v>590.951530192404</v>
      </c>
      <c r="C17" s="7" t="n">
        <v>598.234224640026</v>
      </c>
      <c r="D17" s="7" t="n">
        <v>523.075036846713</v>
      </c>
      <c r="E17" s="7" t="n">
        <v>809.354374783614</v>
      </c>
      <c r="F17" s="7" t="n">
        <v>2018</v>
      </c>
      <c r="G17" s="4" t="n">
        <v>30481.8391369133</v>
      </c>
      <c r="H17" s="7" t="n">
        <v>2679.28442103596</v>
      </c>
      <c r="I17" s="7" t="n">
        <v>2371.54271654041</v>
      </c>
      <c r="J17" s="2" t="n">
        <v>3669.48972405404</v>
      </c>
      <c r="K17" s="7" t="n">
        <v>2712.30305078775</v>
      </c>
      <c r="L17" s="2" t="n">
        <v>2028</v>
      </c>
      <c r="M17" s="2" t="n">
        <v>30659.3516907731</v>
      </c>
      <c r="N17" s="2" t="n">
        <v>2965.41727908349</v>
      </c>
      <c r="O17" s="2" t="n">
        <v>2616.48656727336</v>
      </c>
      <c r="P17" s="2" t="n">
        <v>3930.76547185385</v>
      </c>
      <c r="Q17" s="2" t="n">
        <v>2911.01319629303</v>
      </c>
      <c r="R17" s="8" t="n">
        <v>2018</v>
      </c>
      <c r="S17" s="9" t="n">
        <v>6723.17180647536</v>
      </c>
      <c r="T17" s="8" t="n">
        <v>590.951530192404</v>
      </c>
      <c r="U17" s="8" t="n">
        <v>598.234224640026</v>
      </c>
      <c r="V17" s="8" t="n">
        <v>523.075036846713</v>
      </c>
      <c r="W17" s="8" t="n">
        <v>809.354374783614</v>
      </c>
      <c r="X17" s="8" t="n">
        <v>2018</v>
      </c>
      <c r="Y17" s="3" t="n">
        <v>30481.8391369133</v>
      </c>
      <c r="Z17" s="3" t="n">
        <v>2679.28442103596</v>
      </c>
      <c r="AA17" s="3" t="n">
        <v>2371.54271654041</v>
      </c>
      <c r="AB17" s="3" t="n">
        <v>3669.48972405404</v>
      </c>
      <c r="AC17" s="3" t="n">
        <v>2712.30305078775</v>
      </c>
      <c r="AD17" s="3" t="n">
        <v>2028</v>
      </c>
      <c r="AE17" s="3" t="n">
        <v>33162.2521610589</v>
      </c>
      <c r="AF17" s="3" t="n">
        <v>3117.58525820404</v>
      </c>
      <c r="AG17" s="3" t="n">
        <v>2755.61904797549</v>
      </c>
      <c r="AH17" s="3" t="n">
        <v>4112.80348898513</v>
      </c>
      <c r="AI17" s="3" t="n">
        <v>3037.78487369539</v>
      </c>
      <c r="AJ17" s="7" t="n">
        <v>2018</v>
      </c>
      <c r="AK17" s="6" t="n">
        <v>6722.87988857401</v>
      </c>
      <c r="AL17" s="7" t="n">
        <v>590.951530192404</v>
      </c>
      <c r="AM17" s="7" t="n">
        <v>598.234224640026</v>
      </c>
      <c r="AN17" s="7" t="n">
        <v>523.075036846713</v>
      </c>
      <c r="AO17" s="7" t="n">
        <v>809.354374783614</v>
      </c>
      <c r="AP17" s="7" t="n">
        <v>2018</v>
      </c>
      <c r="AQ17" s="2" t="n">
        <v>30480.5156255162</v>
      </c>
      <c r="AR17" s="2" t="n">
        <v>2679.28442103596</v>
      </c>
      <c r="AS17" s="2" t="n">
        <v>2371.54271654041</v>
      </c>
      <c r="AT17" s="2" t="n">
        <v>3669.48972405404</v>
      </c>
      <c r="AU17" s="2" t="n">
        <v>2712.30305078775</v>
      </c>
      <c r="AV17" s="2" t="n">
        <v>2028</v>
      </c>
      <c r="AW17" s="2" t="n">
        <v>37118.1238722002</v>
      </c>
      <c r="AX17" s="2" t="n">
        <v>3229.54863481471</v>
      </c>
      <c r="AY17" s="2" t="n">
        <v>2866.11704683257</v>
      </c>
      <c r="AZ17" s="2" t="n">
        <v>4450.67268704066</v>
      </c>
      <c r="BA17" s="2" t="n">
        <v>3154.42733380115</v>
      </c>
    </row>
    <row r="18" customFormat="false" ht="15" hidden="false" customHeight="false" outlineLevel="0" collapsed="false">
      <c r="A18" s="6" t="n">
        <v>6342.54075613813</v>
      </c>
      <c r="B18" s="7" t="n">
        <v>512.025768868618</v>
      </c>
      <c r="C18" s="7" t="n">
        <v>518.036525386909</v>
      </c>
      <c r="D18" s="7" t="n">
        <v>441.736540292794</v>
      </c>
      <c r="E18" s="7" t="n">
        <v>719.80125656926</v>
      </c>
      <c r="F18" s="7" t="n">
        <v>2018</v>
      </c>
      <c r="G18" s="4" t="n">
        <v>28756.1158055953</v>
      </c>
      <c r="H18" s="7" t="n">
        <v>2321.44701487107</v>
      </c>
      <c r="I18" s="7" t="n">
        <v>2002.76633554611</v>
      </c>
      <c r="J18" s="2" t="n">
        <v>3263.46949696572</v>
      </c>
      <c r="K18" s="7" t="n">
        <v>2348.6988713691</v>
      </c>
      <c r="L18" s="2" t="n">
        <v>2029</v>
      </c>
      <c r="M18" s="2" t="n">
        <v>30961.8025757783</v>
      </c>
      <c r="N18" s="2" t="n">
        <v>2972.41722077217</v>
      </c>
      <c r="O18" s="2" t="n">
        <v>2636.48457331054</v>
      </c>
      <c r="P18" s="2" t="n">
        <v>3958.30303661334</v>
      </c>
      <c r="Q18" s="2" t="n">
        <v>2925.11358492412</v>
      </c>
      <c r="R18" s="8" t="n">
        <v>2018</v>
      </c>
      <c r="S18" s="9" t="n">
        <v>6342.54075613813</v>
      </c>
      <c r="T18" s="8" t="n">
        <v>512.025768868618</v>
      </c>
      <c r="U18" s="8" t="n">
        <v>518.036525386909</v>
      </c>
      <c r="V18" s="8" t="n">
        <v>441.736540292794</v>
      </c>
      <c r="W18" s="8" t="n">
        <v>719.80125656926</v>
      </c>
      <c r="X18" s="8" t="n">
        <v>2018</v>
      </c>
      <c r="Y18" s="3" t="n">
        <v>28756.1158055953</v>
      </c>
      <c r="Z18" s="3" t="n">
        <v>2321.44701487107</v>
      </c>
      <c r="AA18" s="3" t="n">
        <v>2002.76633554611</v>
      </c>
      <c r="AB18" s="3" t="n">
        <v>3263.46949696572</v>
      </c>
      <c r="AC18" s="3" t="n">
        <v>2348.6988713691</v>
      </c>
      <c r="AD18" s="3" t="n">
        <v>2029</v>
      </c>
      <c r="AE18" s="3" t="n">
        <v>33927.4200214592</v>
      </c>
      <c r="AF18" s="3" t="n">
        <v>3146.52262231238</v>
      </c>
      <c r="AG18" s="3" t="n">
        <v>2777.00287688442</v>
      </c>
      <c r="AH18" s="3" t="n">
        <v>4322.80097742788</v>
      </c>
      <c r="AI18" s="3" t="n">
        <v>3054.03647098881</v>
      </c>
      <c r="AJ18" s="7" t="n">
        <v>2018</v>
      </c>
      <c r="AK18" s="6" t="n">
        <v>6343.42583946065</v>
      </c>
      <c r="AL18" s="7" t="n">
        <v>512.025768868618</v>
      </c>
      <c r="AM18" s="7" t="n">
        <v>518.036525386909</v>
      </c>
      <c r="AN18" s="7" t="n">
        <v>441.736540292794</v>
      </c>
      <c r="AO18" s="7" t="n">
        <v>719.80125656926</v>
      </c>
      <c r="AP18" s="7" t="n">
        <v>2018</v>
      </c>
      <c r="AQ18" s="2" t="n">
        <v>28760.1286388586</v>
      </c>
      <c r="AR18" s="2" t="n">
        <v>2321.44701487107</v>
      </c>
      <c r="AS18" s="2" t="n">
        <v>2002.76633554611</v>
      </c>
      <c r="AT18" s="2" t="n">
        <v>3263.46949696572</v>
      </c>
      <c r="AU18" s="2" t="n">
        <v>2348.6988713691</v>
      </c>
      <c r="AV18" s="2" t="n">
        <v>2029</v>
      </c>
      <c r="AW18" s="2" t="n">
        <v>38038.5961864332</v>
      </c>
      <c r="AX18" s="2" t="n">
        <v>3289.86583405838</v>
      </c>
      <c r="AY18" s="2" t="n">
        <v>2893.22652960606</v>
      </c>
      <c r="AZ18" s="2" t="n">
        <v>4638.29478461275</v>
      </c>
      <c r="BA18" s="2" t="n">
        <v>3196.70407258804</v>
      </c>
    </row>
    <row r="19" customFormat="false" ht="15" hidden="false" customHeight="false" outlineLevel="0" collapsed="false">
      <c r="A19" s="6" t="n">
        <v>6004.7550431554</v>
      </c>
      <c r="B19" s="7" t="n">
        <v>514.748390773071</v>
      </c>
      <c r="C19" s="7" t="n">
        <v>518.519487716317</v>
      </c>
      <c r="D19" s="7" t="n">
        <v>453.480920478853</v>
      </c>
      <c r="E19" s="7" t="n">
        <v>693.733314517417</v>
      </c>
      <c r="F19" s="7" t="n">
        <v>2018</v>
      </c>
      <c r="G19" s="4" t="n">
        <v>27224.6467219151</v>
      </c>
      <c r="H19" s="7" t="n">
        <v>2333.79096878316</v>
      </c>
      <c r="I19" s="7" t="n">
        <v>2056.01357031845</v>
      </c>
      <c r="J19" s="2" t="n">
        <v>3145.28140968683</v>
      </c>
      <c r="K19" s="7" t="n">
        <v>2350.88854916672</v>
      </c>
      <c r="L19" s="2" t="n">
        <v>2030</v>
      </c>
      <c r="M19" s="2" t="n">
        <v>31347.1976573032</v>
      </c>
      <c r="N19" s="2" t="n">
        <v>3066.11312524918</v>
      </c>
      <c r="O19" s="2" t="n">
        <v>2720.22636366679</v>
      </c>
      <c r="P19" s="2" t="n">
        <v>4139.69331670513</v>
      </c>
      <c r="Q19" s="2" t="n">
        <v>3009.43447152267</v>
      </c>
      <c r="R19" s="8" t="n">
        <v>2018</v>
      </c>
      <c r="S19" s="9" t="n">
        <v>6004.7550431554</v>
      </c>
      <c r="T19" s="8" t="n">
        <v>514.748390773071</v>
      </c>
      <c r="U19" s="8" t="n">
        <v>518.519487716317</v>
      </c>
      <c r="V19" s="8" t="n">
        <v>453.480920478853</v>
      </c>
      <c r="W19" s="8" t="n">
        <v>693.733314517417</v>
      </c>
      <c r="X19" s="8" t="n">
        <v>2018</v>
      </c>
      <c r="Y19" s="3" t="n">
        <v>27224.6467219151</v>
      </c>
      <c r="Z19" s="3" t="n">
        <v>2333.79096878316</v>
      </c>
      <c r="AA19" s="3" t="n">
        <v>2056.01357031845</v>
      </c>
      <c r="AB19" s="3" t="n">
        <v>3145.28140968683</v>
      </c>
      <c r="AC19" s="3" t="n">
        <v>2350.88854916672</v>
      </c>
      <c r="AD19" s="3" t="n">
        <v>2030</v>
      </c>
      <c r="AE19" s="3" t="n">
        <v>34643.40747812</v>
      </c>
      <c r="AF19" s="3" t="n">
        <v>3229.92779481226</v>
      </c>
      <c r="AG19" s="3" t="n">
        <v>2874.91881052726</v>
      </c>
      <c r="AH19" s="3" t="n">
        <v>4234.96731055539</v>
      </c>
      <c r="AI19" s="3" t="n">
        <v>3123.06369281684</v>
      </c>
      <c r="AJ19" s="7" t="n">
        <v>2018</v>
      </c>
      <c r="AK19" s="6" t="n">
        <v>6007.47172090445</v>
      </c>
      <c r="AL19" s="7" t="n">
        <v>514.748390773071</v>
      </c>
      <c r="AM19" s="7" t="n">
        <v>518.519487716317</v>
      </c>
      <c r="AN19" s="7" t="n">
        <v>453.480920478853</v>
      </c>
      <c r="AO19" s="7" t="n">
        <v>693.733314517417</v>
      </c>
      <c r="AP19" s="7" t="n">
        <v>2018</v>
      </c>
      <c r="AQ19" s="2" t="n">
        <v>27236.9637259301</v>
      </c>
      <c r="AR19" s="2" t="n">
        <v>2333.79096878316</v>
      </c>
      <c r="AS19" s="2" t="n">
        <v>2056.01357031845</v>
      </c>
      <c r="AT19" s="2" t="n">
        <v>3145.28140968683</v>
      </c>
      <c r="AU19" s="2" t="n">
        <v>2350.88854916672</v>
      </c>
      <c r="AV19" s="2" t="n">
        <v>2030</v>
      </c>
      <c r="AW19" s="2" t="n">
        <v>39004.8743643107</v>
      </c>
      <c r="AX19" s="2" t="n">
        <v>3337.62739283237</v>
      </c>
      <c r="AY19" s="2" t="n">
        <v>2981.81028275452</v>
      </c>
      <c r="AZ19" s="2" t="n">
        <v>4726.34542428585</v>
      </c>
      <c r="BA19" s="2" t="n">
        <v>3257.4926610529</v>
      </c>
    </row>
    <row r="20" customFormat="false" ht="15" hidden="false" customHeight="false" outlineLevel="0" collapsed="false">
      <c r="A20" s="6" t="n">
        <v>5984.66038142344</v>
      </c>
      <c r="B20" s="7" t="n">
        <v>587.319310359707</v>
      </c>
      <c r="C20" s="7" t="n">
        <v>576.885148095916</v>
      </c>
      <c r="D20" s="7" t="n">
        <v>506.53170563048</v>
      </c>
      <c r="E20" s="7" t="n">
        <v>747.715963711726</v>
      </c>
      <c r="F20" s="7" t="n">
        <v>2019</v>
      </c>
      <c r="G20" s="4" t="n">
        <v>27133.5405797466</v>
      </c>
      <c r="H20" s="7" t="n">
        <v>2662.81648836413</v>
      </c>
      <c r="I20" s="7" t="n">
        <v>2296.53776717467</v>
      </c>
      <c r="J20" s="2" t="n">
        <v>3390.03053648149</v>
      </c>
      <c r="K20" s="7" t="n">
        <v>2615.50958251546</v>
      </c>
      <c r="L20" s="2" t="n">
        <v>2031</v>
      </c>
      <c r="M20" s="2" t="n">
        <v>31699.0463578562</v>
      </c>
      <c r="N20" s="2" t="n">
        <v>3088.08517907704</v>
      </c>
      <c r="O20" s="2" t="n">
        <v>2734.22276227589</v>
      </c>
      <c r="P20" s="2" t="n">
        <v>4076.08139084513</v>
      </c>
      <c r="Q20" s="2" t="n">
        <v>2996.25145961586</v>
      </c>
      <c r="R20" s="8" t="n">
        <v>2019</v>
      </c>
      <c r="S20" s="9" t="n">
        <v>5984.66038142344</v>
      </c>
      <c r="T20" s="8" t="n">
        <v>587.319310359707</v>
      </c>
      <c r="U20" s="8" t="n">
        <v>576.885148095916</v>
      </c>
      <c r="V20" s="8" t="n">
        <v>506.53170563048</v>
      </c>
      <c r="W20" s="8" t="n">
        <v>747.715963711726</v>
      </c>
      <c r="X20" s="8" t="n">
        <v>2019</v>
      </c>
      <c r="Y20" s="3" t="n">
        <v>27133.5405797466</v>
      </c>
      <c r="Z20" s="3" t="n">
        <v>2662.81648836413</v>
      </c>
      <c r="AA20" s="3" t="n">
        <v>2296.53776717467</v>
      </c>
      <c r="AB20" s="3" t="n">
        <v>3390.03053648149</v>
      </c>
      <c r="AC20" s="3" t="n">
        <v>2615.50958251546</v>
      </c>
      <c r="AD20" s="3" t="n">
        <v>2031</v>
      </c>
      <c r="AE20" s="3" t="n">
        <v>35157.6638344322</v>
      </c>
      <c r="AF20" s="3" t="n">
        <v>3293.91041240474</v>
      </c>
      <c r="AG20" s="3" t="n">
        <v>2924.36349162551</v>
      </c>
      <c r="AH20" s="3" t="n">
        <v>4485.68346006369</v>
      </c>
      <c r="AI20" s="3" t="n">
        <v>3200.58703746338</v>
      </c>
      <c r="AJ20" s="7" t="n">
        <v>2019</v>
      </c>
      <c r="AK20" s="6" t="n">
        <v>5985.30123610738</v>
      </c>
      <c r="AL20" s="7" t="n">
        <v>587.319310359707</v>
      </c>
      <c r="AM20" s="7" t="n">
        <v>576.885148095916</v>
      </c>
      <c r="AN20" s="7" t="n">
        <v>506.53170563048</v>
      </c>
      <c r="AO20" s="7" t="n">
        <v>747.715963711726</v>
      </c>
      <c r="AP20" s="7" t="n">
        <v>2019</v>
      </c>
      <c r="AQ20" s="2" t="n">
        <v>27136.4461174821</v>
      </c>
      <c r="AR20" s="2" t="n">
        <v>2662.81648836413</v>
      </c>
      <c r="AS20" s="2" t="n">
        <v>2296.53776717467</v>
      </c>
      <c r="AT20" s="2" t="n">
        <v>3390.03053648149</v>
      </c>
      <c r="AU20" s="2" t="n">
        <v>2615.50958251546</v>
      </c>
      <c r="AV20" s="2" t="n">
        <v>2031</v>
      </c>
      <c r="AW20" s="2" t="n">
        <v>39908.188489329</v>
      </c>
      <c r="AX20" s="2" t="n">
        <v>3360.12248652227</v>
      </c>
      <c r="AY20" s="2" t="n">
        <v>2983.29147652969</v>
      </c>
      <c r="AZ20" s="2" t="n">
        <v>4718.04576290994</v>
      </c>
      <c r="BA20" s="2" t="n">
        <v>3263.9152103228</v>
      </c>
    </row>
    <row r="21" customFormat="false" ht="15" hidden="false" customHeight="false" outlineLevel="0" collapsed="false">
      <c r="A21" s="6" t="n">
        <v>5957.71823704739</v>
      </c>
      <c r="B21" s="7" t="n">
        <v>558.082245802946</v>
      </c>
      <c r="C21" s="7" t="n">
        <v>557.82964116255</v>
      </c>
      <c r="D21" s="7" t="n">
        <v>490.863501968517</v>
      </c>
      <c r="E21" s="7" t="n">
        <v>757.845794573422</v>
      </c>
      <c r="F21" s="7" t="n">
        <v>2019</v>
      </c>
      <c r="G21" s="4" t="n">
        <v>27011.388991997</v>
      </c>
      <c r="H21" s="7" t="n">
        <v>2530.26008131286</v>
      </c>
      <c r="I21" s="7" t="n">
        <v>2225.50051313211</v>
      </c>
      <c r="J21" s="2" t="n">
        <v>3435.95765000743</v>
      </c>
      <c r="K21" s="7" t="n">
        <v>2529.11481026589</v>
      </c>
      <c r="L21" s="2" t="n">
        <v>2032</v>
      </c>
      <c r="M21" s="2" t="n">
        <v>31960.2373991504</v>
      </c>
      <c r="N21" s="2" t="n">
        <v>3168.46943360768</v>
      </c>
      <c r="O21" s="2" t="n">
        <v>2792.73786711168</v>
      </c>
      <c r="P21" s="2" t="n">
        <v>4048.62371729055</v>
      </c>
      <c r="Q21" s="2" t="n">
        <v>3050.73532251896</v>
      </c>
      <c r="R21" s="8" t="n">
        <v>2019</v>
      </c>
      <c r="S21" s="9" t="n">
        <v>5957.71823704739</v>
      </c>
      <c r="T21" s="8" t="n">
        <v>558.082245802946</v>
      </c>
      <c r="U21" s="8" t="n">
        <v>557.82964116255</v>
      </c>
      <c r="V21" s="8" t="n">
        <v>490.863501968517</v>
      </c>
      <c r="W21" s="8" t="n">
        <v>757.845794573422</v>
      </c>
      <c r="X21" s="8" t="n">
        <v>2019</v>
      </c>
      <c r="Y21" s="3" t="n">
        <v>27011.388991997</v>
      </c>
      <c r="Z21" s="3" t="n">
        <v>2530.26008131286</v>
      </c>
      <c r="AA21" s="3" t="n">
        <v>2225.50051313211</v>
      </c>
      <c r="AB21" s="3" t="n">
        <v>3435.95765000743</v>
      </c>
      <c r="AC21" s="3" t="n">
        <v>2529.11481026589</v>
      </c>
      <c r="AD21" s="3" t="n">
        <v>2032</v>
      </c>
      <c r="AE21" s="3" t="n">
        <v>35786.9460816617</v>
      </c>
      <c r="AF21" s="3" t="n">
        <v>3354.88297382027</v>
      </c>
      <c r="AG21" s="3" t="n">
        <v>2994.76577150591</v>
      </c>
      <c r="AH21" s="3" t="n">
        <v>4479.58374968346</v>
      </c>
      <c r="AI21" s="3" t="n">
        <v>3227.24423470409</v>
      </c>
      <c r="AJ21" s="7" t="n">
        <v>2019</v>
      </c>
      <c r="AK21" s="6" t="n">
        <v>5958.11635701907</v>
      </c>
      <c r="AL21" s="7" t="n">
        <v>558.082245802946</v>
      </c>
      <c r="AM21" s="7" t="n">
        <v>557.82964116255</v>
      </c>
      <c r="AN21" s="7" t="n">
        <v>490.863501968517</v>
      </c>
      <c r="AO21" s="7" t="n">
        <v>757.845794573422</v>
      </c>
      <c r="AP21" s="7" t="n">
        <v>2019</v>
      </c>
      <c r="AQ21" s="2" t="n">
        <v>27013.1940074396</v>
      </c>
      <c r="AR21" s="2" t="n">
        <v>2530.26008131286</v>
      </c>
      <c r="AS21" s="2" t="n">
        <v>2225.50051313211</v>
      </c>
      <c r="AT21" s="2" t="n">
        <v>3435.95765000743</v>
      </c>
      <c r="AU21" s="2" t="n">
        <v>2529.11481026589</v>
      </c>
      <c r="AV21" s="2" t="n">
        <v>2032</v>
      </c>
      <c r="AW21" s="2" t="n">
        <v>40987.5233534337</v>
      </c>
      <c r="AX21" s="2" t="n">
        <v>3511.10740955041</v>
      </c>
      <c r="AY21" s="2" t="n">
        <v>3104.81927991558</v>
      </c>
      <c r="AZ21" s="2" t="n">
        <v>4899.60392387634</v>
      </c>
      <c r="BA21" s="2" t="n">
        <v>3355.33110595179</v>
      </c>
    </row>
    <row r="22" customFormat="false" ht="15" hidden="false" customHeight="false" outlineLevel="0" collapsed="false">
      <c r="A22" s="6" t="n">
        <v>5902.6327097858</v>
      </c>
      <c r="B22" s="7" t="n">
        <v>496.099943644247</v>
      </c>
      <c r="C22" s="7" t="n">
        <v>499.151769066883</v>
      </c>
      <c r="D22" s="7" t="n">
        <v>435.518940324457</v>
      </c>
      <c r="E22" s="7" t="n">
        <v>653.962740221833</v>
      </c>
      <c r="F22" s="7" t="n">
        <v>2019</v>
      </c>
      <c r="G22" s="4" t="n">
        <v>26761.6395836682</v>
      </c>
      <c r="H22" s="7" t="n">
        <v>2249.24174381964</v>
      </c>
      <c r="I22" s="7" t="n">
        <v>1974.57668228305</v>
      </c>
      <c r="J22" s="2" t="n">
        <v>2964.96767043461</v>
      </c>
      <c r="K22" s="7" t="n">
        <v>2263.07825644857</v>
      </c>
      <c r="L22" s="2" t="n">
        <v>2033</v>
      </c>
      <c r="M22" s="2" t="n">
        <v>32140.1987798087</v>
      </c>
      <c r="N22" s="2" t="n">
        <v>3195.43123677627</v>
      </c>
      <c r="O22" s="2" t="n">
        <v>2836.74107892571</v>
      </c>
      <c r="P22" s="2" t="n">
        <v>4108.3900914551</v>
      </c>
      <c r="Q22" s="2" t="n">
        <v>3092.20251789123</v>
      </c>
      <c r="R22" s="8" t="n">
        <v>2019</v>
      </c>
      <c r="S22" s="9" t="n">
        <v>5902.6327097858</v>
      </c>
      <c r="T22" s="8" t="n">
        <v>496.099943644247</v>
      </c>
      <c r="U22" s="8" t="n">
        <v>499.151769066883</v>
      </c>
      <c r="V22" s="8" t="n">
        <v>435.518940324457</v>
      </c>
      <c r="W22" s="8" t="n">
        <v>653.962740221833</v>
      </c>
      <c r="X22" s="8" t="n">
        <v>2019</v>
      </c>
      <c r="Y22" s="3" t="n">
        <v>26761.6395836682</v>
      </c>
      <c r="Z22" s="3" t="n">
        <v>2249.24174381964</v>
      </c>
      <c r="AA22" s="3" t="n">
        <v>1974.57668228305</v>
      </c>
      <c r="AB22" s="3" t="n">
        <v>2964.96767043461</v>
      </c>
      <c r="AC22" s="3" t="n">
        <v>2263.07825644857</v>
      </c>
      <c r="AD22" s="3" t="n">
        <v>2033</v>
      </c>
      <c r="AE22" s="3" t="n">
        <v>36453.6253138059</v>
      </c>
      <c r="AF22" s="3" t="n">
        <v>3361.66663358684</v>
      </c>
      <c r="AG22" s="3" t="n">
        <v>2994.81978146825</v>
      </c>
      <c r="AH22" s="3" t="n">
        <v>4516.44278802662</v>
      </c>
      <c r="AI22" s="3" t="n">
        <v>3236.88952624165</v>
      </c>
      <c r="AJ22" s="7" t="n">
        <v>2019</v>
      </c>
      <c r="AK22" s="6" t="n">
        <v>5902.87223350446</v>
      </c>
      <c r="AL22" s="7" t="n">
        <v>496.086086112906</v>
      </c>
      <c r="AM22" s="7" t="n">
        <v>499.145681549496</v>
      </c>
      <c r="AN22" s="7" t="n">
        <v>435.518940324457</v>
      </c>
      <c r="AO22" s="7" t="n">
        <v>653.973684412501</v>
      </c>
      <c r="AP22" s="7" t="n">
        <v>2019</v>
      </c>
      <c r="AQ22" s="2" t="n">
        <v>26762.7255478042</v>
      </c>
      <c r="AR22" s="2" t="n">
        <v>2249.1789158787</v>
      </c>
      <c r="AS22" s="2" t="n">
        <v>1974.57668228305</v>
      </c>
      <c r="AT22" s="2" t="n">
        <v>2965.01728973173</v>
      </c>
      <c r="AU22" s="2" t="n">
        <v>2263.05065656996</v>
      </c>
      <c r="AV22" s="2" t="n">
        <v>2033</v>
      </c>
      <c r="AW22" s="2" t="n">
        <v>42051.8377521412</v>
      </c>
      <c r="AX22" s="2" t="n">
        <v>3579.67517645524</v>
      </c>
      <c r="AY22" s="2" t="n">
        <v>3180.36789637448</v>
      </c>
      <c r="AZ22" s="2" t="n">
        <v>4902.16334570908</v>
      </c>
      <c r="BA22" s="2" t="n">
        <v>3418.4449418631</v>
      </c>
    </row>
    <row r="23" customFormat="false" ht="15" hidden="false" customHeight="false" outlineLevel="0" collapsed="false">
      <c r="A23" s="6" t="n">
        <v>5855.1155803567</v>
      </c>
      <c r="B23" s="7" t="n">
        <v>536.943778240664</v>
      </c>
      <c r="C23" s="7" t="n">
        <v>539.14737626745</v>
      </c>
      <c r="D23" s="7" t="n">
        <v>478.143943732499</v>
      </c>
      <c r="E23" s="7" t="n">
        <v>708.187982842856</v>
      </c>
      <c r="F23" s="7" t="n">
        <v>2019</v>
      </c>
      <c r="G23" s="4" t="n">
        <v>26546.2041408151</v>
      </c>
      <c r="H23" s="7" t="n">
        <v>2434.42148215439</v>
      </c>
      <c r="I23" s="7" t="n">
        <v>2167.83196929548</v>
      </c>
      <c r="J23" s="2" t="n">
        <v>3210.81667895499</v>
      </c>
      <c r="K23" s="7" t="n">
        <v>2444.41226068994</v>
      </c>
      <c r="L23" s="2" t="n">
        <v>2034</v>
      </c>
      <c r="M23" s="2" t="n">
        <v>32173.7830218176</v>
      </c>
      <c r="N23" s="2" t="n">
        <v>3159.36240230368</v>
      </c>
      <c r="O23" s="2" t="n">
        <v>2824.42714139462</v>
      </c>
      <c r="P23" s="2" t="n">
        <v>4076.32432966752</v>
      </c>
      <c r="Q23" s="2" t="n">
        <v>3075.19593126589</v>
      </c>
      <c r="R23" s="8" t="n">
        <v>2019</v>
      </c>
      <c r="S23" s="9" t="n">
        <v>5855.1155803567</v>
      </c>
      <c r="T23" s="8" t="n">
        <v>536.943778240664</v>
      </c>
      <c r="U23" s="8" t="n">
        <v>539.14737626745</v>
      </c>
      <c r="V23" s="8" t="n">
        <v>478.143943732499</v>
      </c>
      <c r="W23" s="8" t="n">
        <v>708.187982842856</v>
      </c>
      <c r="X23" s="8" t="n">
        <v>2019</v>
      </c>
      <c r="Y23" s="3" t="n">
        <v>26546.2041408151</v>
      </c>
      <c r="Z23" s="3" t="n">
        <v>2434.42148215439</v>
      </c>
      <c r="AA23" s="3" t="n">
        <v>2167.83196929548</v>
      </c>
      <c r="AB23" s="3" t="n">
        <v>3210.81667895499</v>
      </c>
      <c r="AC23" s="3" t="n">
        <v>2444.41226068994</v>
      </c>
      <c r="AD23" s="3" t="n">
        <v>2034</v>
      </c>
      <c r="AE23" s="3" t="n">
        <v>36989.7670278052</v>
      </c>
      <c r="AF23" s="3" t="n">
        <v>3425.53402169124</v>
      </c>
      <c r="AG23" s="3" t="n">
        <v>3095.9347526643</v>
      </c>
      <c r="AH23" s="3" t="n">
        <v>4581.32458960229</v>
      </c>
      <c r="AI23" s="3" t="n">
        <v>3309.80314229321</v>
      </c>
      <c r="AJ23" s="7" t="n">
        <v>2019</v>
      </c>
      <c r="AK23" s="6" t="n">
        <v>5859.55797690477</v>
      </c>
      <c r="AL23" s="7" t="n">
        <v>536.930631396442</v>
      </c>
      <c r="AM23" s="7" t="n">
        <v>539.141553561442</v>
      </c>
      <c r="AN23" s="7" t="n">
        <v>478.095888930523</v>
      </c>
      <c r="AO23" s="7" t="n">
        <v>708.155967970998</v>
      </c>
      <c r="AP23" s="7" t="n">
        <v>2019</v>
      </c>
      <c r="AQ23" s="2" t="n">
        <v>26566.3452915782</v>
      </c>
      <c r="AR23" s="2" t="n">
        <v>2434.36187636084</v>
      </c>
      <c r="AS23" s="2" t="n">
        <v>2167.61409612702</v>
      </c>
      <c r="AT23" s="2" t="n">
        <v>3210.67152839183</v>
      </c>
      <c r="AU23" s="2" t="n">
        <v>2444.38586142587</v>
      </c>
      <c r="AV23" s="2" t="n">
        <v>2034</v>
      </c>
      <c r="AW23" s="2" t="n">
        <v>43092.5143748961</v>
      </c>
      <c r="AX23" s="2" t="n">
        <v>3603.48553733414</v>
      </c>
      <c r="AY23" s="2" t="n">
        <v>3212.02450623744</v>
      </c>
      <c r="AZ23" s="2" t="n">
        <v>5100.77636078564</v>
      </c>
      <c r="BA23" s="2" t="n">
        <v>3454.93780665837</v>
      </c>
    </row>
    <row r="24" customFormat="false" ht="15" hidden="false" customHeight="false" outlineLevel="0" collapsed="false">
      <c r="A24" s="6" t="n">
        <v>5889.15450503347</v>
      </c>
      <c r="B24" s="7" t="n">
        <v>581.205778154166</v>
      </c>
      <c r="C24" s="7" t="n">
        <v>569.250892600986</v>
      </c>
      <c r="D24" s="7" t="n">
        <v>498.838107716821</v>
      </c>
      <c r="E24" s="7" t="n">
        <v>719.481906462961</v>
      </c>
      <c r="F24" s="7" t="n">
        <v>2020</v>
      </c>
      <c r="G24" s="4" t="n">
        <v>26700.5314518309</v>
      </c>
      <c r="H24" s="7" t="n">
        <v>2635.09866252065</v>
      </c>
      <c r="I24" s="7" t="n">
        <v>2261.65616355978</v>
      </c>
      <c r="J24" s="2" t="n">
        <v>3262.02161212077</v>
      </c>
      <c r="K24" s="7" t="n">
        <v>2580.89702840783</v>
      </c>
      <c r="L24" s="2" t="n">
        <v>2035</v>
      </c>
      <c r="M24" s="2" t="n">
        <v>32580.2487529899</v>
      </c>
      <c r="N24" s="2" t="n">
        <v>3181.38944881896</v>
      </c>
      <c r="O24" s="2" t="n">
        <v>2823.90339352579</v>
      </c>
      <c r="P24" s="2" t="n">
        <v>4090.37345855056</v>
      </c>
      <c r="Q24" s="2" t="n">
        <v>3080.43320631733</v>
      </c>
      <c r="R24" s="8" t="n">
        <v>2020</v>
      </c>
      <c r="S24" s="9" t="n">
        <v>5905.76889726852</v>
      </c>
      <c r="T24" s="8" t="n">
        <v>581.437184765555</v>
      </c>
      <c r="U24" s="8" t="n">
        <v>569.304105188933</v>
      </c>
      <c r="V24" s="8" t="n">
        <v>498.849816359227</v>
      </c>
      <c r="W24" s="8" t="n">
        <v>719.481906462961</v>
      </c>
      <c r="X24" s="8" t="n">
        <v>2020</v>
      </c>
      <c r="Y24" s="3" t="n">
        <v>26775.8585810557</v>
      </c>
      <c r="Z24" s="3" t="n">
        <v>2636.14782492593</v>
      </c>
      <c r="AA24" s="3" t="n">
        <v>2261.70924876489</v>
      </c>
      <c r="AB24" s="3" t="n">
        <v>3262.02161212077</v>
      </c>
      <c r="AC24" s="3" t="n">
        <v>2581.13828619397</v>
      </c>
      <c r="AD24" s="3" t="n">
        <v>2035</v>
      </c>
      <c r="AE24" s="3" t="n">
        <v>37623.6816874835</v>
      </c>
      <c r="AF24" s="3" t="n">
        <v>3451.03155403643</v>
      </c>
      <c r="AG24" s="3" t="n">
        <v>3116.22095154122</v>
      </c>
      <c r="AH24" s="3" t="n">
        <v>4554.04993548409</v>
      </c>
      <c r="AI24" s="3" t="n">
        <v>3339.00001616568</v>
      </c>
      <c r="AJ24" s="7" t="n">
        <v>2020</v>
      </c>
      <c r="AK24" s="6" t="n">
        <v>5959.3095259097</v>
      </c>
      <c r="AL24" s="7" t="n">
        <v>580.605819494188</v>
      </c>
      <c r="AM24" s="7" t="n">
        <v>568.89244136719</v>
      </c>
      <c r="AN24" s="7" t="n">
        <v>497.852055496014</v>
      </c>
      <c r="AO24" s="7" t="n">
        <v>719.475545799025</v>
      </c>
      <c r="AP24" s="7" t="n">
        <v>2020</v>
      </c>
      <c r="AQ24" s="2" t="n">
        <v>27018.6036538438</v>
      </c>
      <c r="AR24" s="2" t="n">
        <v>2632.37854114214</v>
      </c>
      <c r="AS24" s="2" t="n">
        <v>2257.18555265761</v>
      </c>
      <c r="AT24" s="2" t="n">
        <v>3261.99277383722</v>
      </c>
      <c r="AU24" s="2" t="n">
        <v>2579.27186499367</v>
      </c>
      <c r="AV24" s="2" t="n">
        <v>2035</v>
      </c>
      <c r="AW24" s="2" t="n">
        <v>43863.7202053385</v>
      </c>
      <c r="AX24" s="2" t="n">
        <v>3655.97025423482</v>
      </c>
      <c r="AY24" s="2" t="n">
        <v>3267.12227809856</v>
      </c>
      <c r="AZ24" s="2" t="n">
        <v>5068.2022921863</v>
      </c>
      <c r="BA24" s="2" t="n">
        <v>3494.5838571256</v>
      </c>
    </row>
    <row r="25" customFormat="false" ht="15" hidden="false" customHeight="false" outlineLevel="0" collapsed="false">
      <c r="A25" s="6" t="n">
        <v>5895.46418447988</v>
      </c>
      <c r="B25" s="7" t="n">
        <v>520.641407069276</v>
      </c>
      <c r="C25" s="7" t="n">
        <v>523.70102617357</v>
      </c>
      <c r="D25" s="7" t="n">
        <v>456.602368486307</v>
      </c>
      <c r="E25" s="7" t="n">
        <v>695.985404103863</v>
      </c>
      <c r="F25" s="7" t="n">
        <v>2020</v>
      </c>
      <c r="G25" s="4" t="n">
        <v>26729.1385794527</v>
      </c>
      <c r="H25" s="7" t="n">
        <v>2360.50900900922</v>
      </c>
      <c r="I25" s="7" t="n">
        <v>2070.16574116523</v>
      </c>
      <c r="J25" s="2" t="n">
        <v>3155.49204158379</v>
      </c>
      <c r="K25" s="7" t="n">
        <v>2374.38085700624</v>
      </c>
      <c r="L25" s="2" t="n">
        <v>2036</v>
      </c>
      <c r="M25" s="2" t="n">
        <v>33000.4397183192</v>
      </c>
      <c r="N25" s="2" t="n">
        <v>3229.35687526542</v>
      </c>
      <c r="O25" s="2" t="n">
        <v>2816.76112623297</v>
      </c>
      <c r="P25" s="2" t="n">
        <v>4074.82926453287</v>
      </c>
      <c r="Q25" s="2" t="n">
        <v>3079.96109174884</v>
      </c>
      <c r="R25" s="8" t="n">
        <v>2020</v>
      </c>
      <c r="S25" s="9" t="n">
        <v>5929.74311109607</v>
      </c>
      <c r="T25" s="8" t="n">
        <v>520.847137620583</v>
      </c>
      <c r="U25" s="8" t="n">
        <v>523.638431667199</v>
      </c>
      <c r="V25" s="8" t="n">
        <v>455.814251573414</v>
      </c>
      <c r="W25" s="8" t="n">
        <v>696.92551627364</v>
      </c>
      <c r="X25" s="8" t="n">
        <v>2020</v>
      </c>
      <c r="Y25" s="3" t="n">
        <v>26884.5540227847</v>
      </c>
      <c r="Z25" s="3" t="n">
        <v>2361.44176006051</v>
      </c>
      <c r="AA25" s="3" t="n">
        <v>2066.59253886557</v>
      </c>
      <c r="AB25" s="3" t="n">
        <v>3159.75436727688</v>
      </c>
      <c r="AC25" s="3" t="n">
        <v>2374.0970630279</v>
      </c>
      <c r="AD25" s="3" t="n">
        <v>2036</v>
      </c>
      <c r="AE25" s="3" t="n">
        <v>38261.9584853829</v>
      </c>
      <c r="AF25" s="3" t="n">
        <v>3532.66786422506</v>
      </c>
      <c r="AG25" s="3" t="n">
        <v>3174.51031360401</v>
      </c>
      <c r="AH25" s="3" t="n">
        <v>4672.09034796675</v>
      </c>
      <c r="AI25" s="3" t="n">
        <v>3389.34006371478</v>
      </c>
      <c r="AJ25" s="7" t="n">
        <v>2020</v>
      </c>
      <c r="AK25" s="6" t="n">
        <v>6078.96602713606</v>
      </c>
      <c r="AL25" s="7" t="n">
        <v>521.519070362221</v>
      </c>
      <c r="AM25" s="7" t="n">
        <v>524.455301446076</v>
      </c>
      <c r="AN25" s="7" t="n">
        <v>454.781943361252</v>
      </c>
      <c r="AO25" s="7" t="n">
        <v>700.036055394389</v>
      </c>
      <c r="AP25" s="7" t="n">
        <v>2020</v>
      </c>
      <c r="AQ25" s="2" t="n">
        <v>27561.1080441904</v>
      </c>
      <c r="AR25" s="2" t="n">
        <v>2364.48820098616</v>
      </c>
      <c r="AS25" s="2" t="n">
        <v>2061.91221032889</v>
      </c>
      <c r="AT25" s="2" t="n">
        <v>3173.85707888935</v>
      </c>
      <c r="AU25" s="2" t="n">
        <v>2377.80062645187</v>
      </c>
      <c r="AV25" s="2" t="n">
        <v>2036</v>
      </c>
      <c r="AW25" s="2" t="n">
        <v>44876.6061275261</v>
      </c>
      <c r="AX25" s="2" t="n">
        <v>3701.92127448532</v>
      </c>
      <c r="AY25" s="2" t="n">
        <v>3288.55175802958</v>
      </c>
      <c r="AZ25" s="2" t="n">
        <v>5163.62617382623</v>
      </c>
      <c r="BA25" s="2" t="n">
        <v>3514.95101218699</v>
      </c>
    </row>
    <row r="26" customFormat="false" ht="15" hidden="false" customHeight="false" outlineLevel="0" collapsed="false">
      <c r="A26" s="6" t="n">
        <v>5906.91807591276</v>
      </c>
      <c r="B26" s="7" t="n">
        <v>469.026256938514</v>
      </c>
      <c r="C26" s="7" t="n">
        <v>472.781592049747</v>
      </c>
      <c r="D26" s="7" t="n">
        <v>404.717965019717</v>
      </c>
      <c r="E26" s="7" t="n">
        <v>632.20410491509</v>
      </c>
      <c r="F26" s="7" t="n">
        <v>2020</v>
      </c>
      <c r="G26" s="4" t="n">
        <v>26781.0687823686</v>
      </c>
      <c r="H26" s="7" t="n">
        <v>2126.49376313997</v>
      </c>
      <c r="I26" s="7" t="n">
        <v>1834.9297415943</v>
      </c>
      <c r="J26" s="2" t="n">
        <v>2866.31732498009</v>
      </c>
      <c r="K26" s="7" t="n">
        <v>2143.51988177278</v>
      </c>
      <c r="L26" s="2" t="n">
        <v>2037</v>
      </c>
      <c r="M26" s="2" t="n">
        <v>33262.6142552361</v>
      </c>
      <c r="N26" s="2" t="n">
        <v>3260.19088172885</v>
      </c>
      <c r="O26" s="2" t="n">
        <v>2859.01022979647</v>
      </c>
      <c r="P26" s="2" t="n">
        <v>4397.72444093229</v>
      </c>
      <c r="Q26" s="2" t="n">
        <v>3126.48119654764</v>
      </c>
      <c r="R26" s="8" t="n">
        <v>2020</v>
      </c>
      <c r="S26" s="9" t="n">
        <v>5976.4023583589</v>
      </c>
      <c r="T26" s="8" t="n">
        <v>469.584136127573</v>
      </c>
      <c r="U26" s="8" t="n">
        <v>473.60784420266</v>
      </c>
      <c r="V26" s="8" t="n">
        <v>405.50226287711</v>
      </c>
      <c r="W26" s="8" t="n">
        <v>632.915039849588</v>
      </c>
      <c r="X26" s="8" t="n">
        <v>2020</v>
      </c>
      <c r="Y26" s="3" t="n">
        <v>27096.0999582828</v>
      </c>
      <c r="Z26" s="3" t="n">
        <v>2129.02310259287</v>
      </c>
      <c r="AA26" s="3" t="n">
        <v>1838.48562887677</v>
      </c>
      <c r="AB26" s="3" t="n">
        <v>2869.54059592035</v>
      </c>
      <c r="AC26" s="3" t="n">
        <v>2147.26598345463</v>
      </c>
      <c r="AD26" s="3" t="n">
        <v>2037</v>
      </c>
      <c r="AE26" s="3" t="n">
        <v>38797.0726431763</v>
      </c>
      <c r="AF26" s="3" t="n">
        <v>3542.28244992595</v>
      </c>
      <c r="AG26" s="3" t="n">
        <v>3169.4838268565</v>
      </c>
      <c r="AH26" s="3" t="n">
        <v>4854.0755681484</v>
      </c>
      <c r="AI26" s="3" t="n">
        <v>3406.00065440557</v>
      </c>
      <c r="AJ26" s="7" t="n">
        <v>2020</v>
      </c>
      <c r="AK26" s="6" t="n">
        <v>6198.22496352165</v>
      </c>
      <c r="AL26" s="7" t="n">
        <v>470.890231283039</v>
      </c>
      <c r="AM26" s="7" t="n">
        <v>477.260551426114</v>
      </c>
      <c r="AN26" s="7" t="n">
        <v>407.056031336161</v>
      </c>
      <c r="AO26" s="7" t="n">
        <v>635.450077964845</v>
      </c>
      <c r="AP26" s="7" t="n">
        <v>2020</v>
      </c>
      <c r="AQ26" s="2" t="n">
        <v>28101.8099359737</v>
      </c>
      <c r="AR26" s="2" t="n">
        <v>2134.94473951847</v>
      </c>
      <c r="AS26" s="2" t="n">
        <v>1845.53017891774</v>
      </c>
      <c r="AT26" s="2" t="n">
        <v>2881.03407344249</v>
      </c>
      <c r="AU26" s="2" t="n">
        <v>2163.82680284234</v>
      </c>
      <c r="AV26" s="2" t="n">
        <v>2037</v>
      </c>
      <c r="AW26" s="2" t="n">
        <v>45688.1696150955</v>
      </c>
      <c r="AX26" s="2" t="n">
        <v>3721.22911125341</v>
      </c>
      <c r="AY26" s="2" t="n">
        <v>3293.61827715123</v>
      </c>
      <c r="AZ26" s="2" t="n">
        <v>5131.67584828849</v>
      </c>
      <c r="BA26" s="2" t="n">
        <v>3517.16147448066</v>
      </c>
    </row>
    <row r="27" customFormat="false" ht="15" hidden="false" customHeight="false" outlineLevel="0" collapsed="false">
      <c r="A27" s="6" t="n">
        <v>5914.94333278746</v>
      </c>
      <c r="B27" s="7" t="n">
        <v>511.050010726283</v>
      </c>
      <c r="C27" s="7" t="n">
        <v>515.767251415339</v>
      </c>
      <c r="D27" s="7" t="n">
        <v>455.410973894699</v>
      </c>
      <c r="E27" s="7" t="n">
        <v>668.065369244382</v>
      </c>
      <c r="F27" s="7" t="n">
        <v>2020</v>
      </c>
      <c r="G27" s="4" t="n">
        <v>26817.4540773051</v>
      </c>
      <c r="H27" s="7" t="n">
        <v>2317.02307575612</v>
      </c>
      <c r="I27" s="7" t="n">
        <v>2064.76413916318</v>
      </c>
      <c r="J27" s="2" t="n">
        <v>3028.90684700881</v>
      </c>
      <c r="K27" s="7" t="n">
        <v>2338.41032808179</v>
      </c>
      <c r="L27" s="2" t="n">
        <v>2038</v>
      </c>
      <c r="M27" s="2" t="n">
        <v>33510.1302017302</v>
      </c>
      <c r="N27" s="2" t="n">
        <v>3309.43348737738</v>
      </c>
      <c r="O27" s="2" t="n">
        <v>2918.24609512353</v>
      </c>
      <c r="P27" s="2" t="n">
        <v>4273.34557549012</v>
      </c>
      <c r="Q27" s="2" t="n">
        <v>3186.14396340511</v>
      </c>
      <c r="R27" s="8" t="n">
        <v>2020</v>
      </c>
      <c r="S27" s="9" t="n">
        <v>5989.76901415762</v>
      </c>
      <c r="T27" s="8" t="n">
        <v>509.992683942358</v>
      </c>
      <c r="U27" s="8" t="n">
        <v>514.706047397289</v>
      </c>
      <c r="V27" s="8" t="n">
        <v>454.005454761524</v>
      </c>
      <c r="W27" s="8" t="n">
        <v>668.389415606731</v>
      </c>
      <c r="X27" s="8" t="n">
        <v>2020</v>
      </c>
      <c r="Y27" s="3" t="n">
        <v>27156.7023441184</v>
      </c>
      <c r="Z27" s="3" t="n">
        <v>2312.22931681756</v>
      </c>
      <c r="AA27" s="3" t="n">
        <v>2058.39172903377</v>
      </c>
      <c r="AB27" s="3" t="n">
        <v>3030.37602396492</v>
      </c>
      <c r="AC27" s="3" t="n">
        <v>2333.598990353</v>
      </c>
      <c r="AD27" s="3" t="n">
        <v>2038</v>
      </c>
      <c r="AE27" s="3" t="n">
        <v>39636.4076862621</v>
      </c>
      <c r="AF27" s="3" t="n">
        <v>3552.62863993063</v>
      </c>
      <c r="AG27" s="3" t="n">
        <v>3201.22194619175</v>
      </c>
      <c r="AH27" s="3" t="n">
        <v>4896.65163689107</v>
      </c>
      <c r="AI27" s="3" t="n">
        <v>3426.40173493418</v>
      </c>
      <c r="AJ27" s="7" t="n">
        <v>2020</v>
      </c>
      <c r="AK27" s="6" t="n">
        <v>6316.43204429647</v>
      </c>
      <c r="AL27" s="7" t="n">
        <v>504.388373872346</v>
      </c>
      <c r="AM27" s="7" t="n">
        <v>509.994443736277</v>
      </c>
      <c r="AN27" s="7" t="n">
        <v>446.074107021591</v>
      </c>
      <c r="AO27" s="7" t="n">
        <v>668.586885124634</v>
      </c>
      <c r="AP27" s="7" t="n">
        <v>2020</v>
      </c>
      <c r="AQ27" s="2" t="n">
        <v>28637.7428742859</v>
      </c>
      <c r="AR27" s="2" t="n">
        <v>2286.82022674151</v>
      </c>
      <c r="AS27" s="2" t="n">
        <v>2022.43220384141</v>
      </c>
      <c r="AT27" s="2" t="n">
        <v>3031.27132074632</v>
      </c>
      <c r="AU27" s="2" t="n">
        <v>2312.23729545573</v>
      </c>
      <c r="AV27" s="2" t="n">
        <v>2038</v>
      </c>
      <c r="AW27" s="2" t="n">
        <v>46657.4557614382</v>
      </c>
      <c r="AX27" s="2" t="n">
        <v>3787.39840348829</v>
      </c>
      <c r="AY27" s="2" t="n">
        <v>3392.92868998481</v>
      </c>
      <c r="AZ27" s="2" t="n">
        <v>5250.27177817756</v>
      </c>
      <c r="BA27" s="2" t="n">
        <v>3607.30601531248</v>
      </c>
    </row>
    <row r="28" customFormat="false" ht="15" hidden="false" customHeight="false" outlineLevel="0" collapsed="false">
      <c r="A28" s="6" t="n">
        <v>5969.05269637409</v>
      </c>
      <c r="B28" s="7" t="n">
        <v>593.334198245946</v>
      </c>
      <c r="C28" s="7" t="n">
        <v>579.918131097084</v>
      </c>
      <c r="D28" s="7" t="n">
        <v>512.254427437813</v>
      </c>
      <c r="E28" s="7" t="n">
        <v>746.297269855792</v>
      </c>
      <c r="F28" s="7" t="n">
        <v>2021</v>
      </c>
      <c r="G28" s="4" t="n">
        <v>27062.7777078956</v>
      </c>
      <c r="H28" s="7" t="n">
        <v>2690.08707585653</v>
      </c>
      <c r="I28" s="7" t="n">
        <v>2322.48371807071</v>
      </c>
      <c r="J28" s="2" t="n">
        <v>3383.59839416149</v>
      </c>
      <c r="K28" s="7" t="n">
        <v>2629.26066646925</v>
      </c>
      <c r="L28" s="2" t="n">
        <v>2039</v>
      </c>
      <c r="M28" s="2" t="n">
        <v>33739.0713459507</v>
      </c>
      <c r="N28" s="2" t="n">
        <v>3373.67482760787</v>
      </c>
      <c r="O28" s="2" t="n">
        <v>2974.80012846153</v>
      </c>
      <c r="P28" s="2" t="n">
        <v>4313.70430248286</v>
      </c>
      <c r="Q28" s="2" t="n">
        <v>3235.05642394357</v>
      </c>
      <c r="R28" s="8" t="n">
        <v>2021</v>
      </c>
      <c r="S28" s="9" t="n">
        <v>6074.16742636382</v>
      </c>
      <c r="T28" s="8" t="n">
        <v>592.037126083583</v>
      </c>
      <c r="U28" s="8" t="n">
        <v>579.379037477429</v>
      </c>
      <c r="V28" s="8" t="n">
        <v>511.791632549107</v>
      </c>
      <c r="W28" s="8" t="n">
        <v>746.805524139502</v>
      </c>
      <c r="X28" s="8" t="n">
        <v>2021</v>
      </c>
      <c r="Y28" s="3" t="n">
        <v>27539.3519176132</v>
      </c>
      <c r="Z28" s="3" t="n">
        <v>2684.20634781027</v>
      </c>
      <c r="AA28" s="3" t="n">
        <v>2320.38547638405</v>
      </c>
      <c r="AB28" s="3" t="n">
        <v>3385.90274183587</v>
      </c>
      <c r="AC28" s="3" t="n">
        <v>2626.81649793288</v>
      </c>
      <c r="AD28" s="3" t="n">
        <v>2039</v>
      </c>
      <c r="AE28" s="3" t="n">
        <v>40062.7204987091</v>
      </c>
      <c r="AF28" s="3" t="n">
        <v>3620.85500889932</v>
      </c>
      <c r="AG28" s="3" t="n">
        <v>3218.88617524492</v>
      </c>
      <c r="AH28" s="3" t="n">
        <v>4937.91668558416</v>
      </c>
      <c r="AI28" s="3" t="n">
        <v>3455.87149541604</v>
      </c>
      <c r="AJ28" s="7" t="n">
        <v>2021</v>
      </c>
      <c r="AK28" s="6" t="n">
        <v>6428.90223032854</v>
      </c>
      <c r="AL28" s="7" t="n">
        <v>586.530835743888</v>
      </c>
      <c r="AM28" s="7" t="n">
        <v>575.303343154592</v>
      </c>
      <c r="AN28" s="7" t="n">
        <v>502.633799779052</v>
      </c>
      <c r="AO28" s="7" t="n">
        <v>746.790557275596</v>
      </c>
      <c r="AP28" s="7" t="n">
        <v>2021</v>
      </c>
      <c r="AQ28" s="2" t="n">
        <v>29147.665603767</v>
      </c>
      <c r="AR28" s="2" t="n">
        <v>2659.24166429377</v>
      </c>
      <c r="AS28" s="2" t="n">
        <v>2278.86525447469</v>
      </c>
      <c r="AT28" s="2" t="n">
        <v>3385.83488434968</v>
      </c>
      <c r="AU28" s="2" t="n">
        <v>2608.33791932504</v>
      </c>
      <c r="AV28" s="2" t="n">
        <v>2039</v>
      </c>
      <c r="AW28" s="2" t="n">
        <v>47606.0826393091</v>
      </c>
      <c r="AX28" s="2" t="n">
        <v>3774.04596790857</v>
      </c>
      <c r="AY28" s="2" t="n">
        <v>3381.68203174498</v>
      </c>
      <c r="AZ28" s="2" t="n">
        <v>5362.74449606001</v>
      </c>
      <c r="BA28" s="2" t="n">
        <v>3595.30887186768</v>
      </c>
    </row>
    <row r="29" customFormat="false" ht="15" hidden="false" customHeight="false" outlineLevel="0" collapsed="false">
      <c r="A29" s="6" t="n">
        <v>5979.34184627922</v>
      </c>
      <c r="B29" s="7" t="n">
        <v>523.811450637479</v>
      </c>
      <c r="C29" s="7" t="n">
        <v>524.374605732228</v>
      </c>
      <c r="D29" s="7" t="n">
        <v>457.888787026456</v>
      </c>
      <c r="E29" s="7" t="n">
        <v>711.759214613961</v>
      </c>
      <c r="F29" s="7" t="n">
        <v>2021</v>
      </c>
      <c r="G29" s="4" t="n">
        <v>27109.4271497501</v>
      </c>
      <c r="H29" s="7" t="n">
        <v>2374.88150474254</v>
      </c>
      <c r="I29" s="7" t="n">
        <v>2075.99816730757</v>
      </c>
      <c r="J29" s="2" t="n">
        <v>3227.00810102495</v>
      </c>
      <c r="K29" s="7" t="n">
        <v>2377.43476434997</v>
      </c>
      <c r="L29" s="2" t="n">
        <v>2040</v>
      </c>
      <c r="M29" s="2" t="n">
        <v>33720.8051199144</v>
      </c>
      <c r="N29" s="2" t="n">
        <v>3351.24691782385</v>
      </c>
      <c r="O29" s="2" t="n">
        <v>2944.45401854006</v>
      </c>
      <c r="P29" s="2" t="n">
        <v>4368.17912525593</v>
      </c>
      <c r="Q29" s="2" t="n">
        <v>3219.88512887116</v>
      </c>
      <c r="R29" s="8" t="n">
        <v>2021</v>
      </c>
      <c r="S29" s="9" t="n">
        <v>6108.35761466256</v>
      </c>
      <c r="T29" s="8" t="n">
        <v>521.341979964733</v>
      </c>
      <c r="U29" s="8" t="n">
        <v>522.638209763492</v>
      </c>
      <c r="V29" s="8" t="n">
        <v>455.468536624652</v>
      </c>
      <c r="W29" s="8" t="n">
        <v>716.385290963736</v>
      </c>
      <c r="X29" s="8" t="n">
        <v>2021</v>
      </c>
      <c r="Y29" s="3" t="n">
        <v>27694.365034901</v>
      </c>
      <c r="Z29" s="3" t="n">
        <v>2363.68530003936</v>
      </c>
      <c r="AA29" s="3" t="n">
        <v>2065.025119832</v>
      </c>
      <c r="AB29" s="3" t="n">
        <v>3247.98202809209</v>
      </c>
      <c r="AC29" s="3" t="n">
        <v>2369.56220893706</v>
      </c>
      <c r="AD29" s="3" t="n">
        <v>2040</v>
      </c>
      <c r="AE29" s="3" t="n">
        <v>40396.9677423949</v>
      </c>
      <c r="AF29" s="3" t="n">
        <v>3638.94704381683</v>
      </c>
      <c r="AG29" s="3" t="n">
        <v>3230.71646292881</v>
      </c>
      <c r="AH29" s="3" t="n">
        <v>4938.11914248159</v>
      </c>
      <c r="AI29" s="3" t="n">
        <v>3450.53331984406</v>
      </c>
      <c r="AJ29" s="7" t="n">
        <v>2021</v>
      </c>
      <c r="AK29" s="6" t="n">
        <v>6545.29300486675</v>
      </c>
      <c r="AL29" s="7" t="n">
        <v>523.639647340138</v>
      </c>
      <c r="AM29" s="7" t="n">
        <v>526.300955996042</v>
      </c>
      <c r="AN29" s="7" t="n">
        <v>454.443407560741</v>
      </c>
      <c r="AO29" s="7" t="n">
        <v>729.168036383489</v>
      </c>
      <c r="AP29" s="7" t="n">
        <v>2021</v>
      </c>
      <c r="AQ29" s="2" t="n">
        <v>29675.363685657</v>
      </c>
      <c r="AR29" s="2" t="n">
        <v>2374.10257470424</v>
      </c>
      <c r="AS29" s="2" t="n">
        <v>2060.37734046236</v>
      </c>
      <c r="AT29" s="2" t="n">
        <v>3305.93705301616</v>
      </c>
      <c r="AU29" s="2" t="n">
        <v>2386.16854366621</v>
      </c>
      <c r="AV29" s="2" t="n">
        <v>2040</v>
      </c>
      <c r="AW29" s="2" t="n">
        <v>48574.0532183751</v>
      </c>
      <c r="AX29" s="2" t="n">
        <v>3825.87391947621</v>
      </c>
      <c r="AY29" s="2" t="n">
        <v>3345.97156241675</v>
      </c>
      <c r="AZ29" s="2" t="n">
        <v>5710.58127801782</v>
      </c>
      <c r="BA29" s="2" t="n">
        <v>3572.1009681124</v>
      </c>
    </row>
    <row r="30" customFormat="false" ht="15" hidden="false" customHeight="false" outlineLevel="0" collapsed="false">
      <c r="A30" s="6" t="n">
        <v>5986.2927433296</v>
      </c>
      <c r="B30" s="7" t="n">
        <v>477.988377492549</v>
      </c>
      <c r="C30" s="7" t="n">
        <v>478.774578212316</v>
      </c>
      <c r="D30" s="7" t="n">
        <v>410.639367328133</v>
      </c>
      <c r="E30" s="7" t="n">
        <v>651.624607011105</v>
      </c>
      <c r="F30" s="7" t="n">
        <v>2021</v>
      </c>
      <c r="G30" s="4" t="n">
        <v>27140.9414605316</v>
      </c>
      <c r="H30" s="7" t="n">
        <v>2167.12665560757</v>
      </c>
      <c r="I30" s="7" t="n">
        <v>1861.77647968543</v>
      </c>
      <c r="J30" s="2" t="n">
        <v>2954.36692982266</v>
      </c>
      <c r="K30" s="7" t="n">
        <v>2170.69117017883</v>
      </c>
      <c r="L30" s="2"/>
      <c r="M30" s="2"/>
      <c r="N30" s="2"/>
      <c r="O30" s="2"/>
      <c r="P30" s="2"/>
      <c r="Q30" s="2"/>
      <c r="R30" s="8" t="n">
        <v>2021</v>
      </c>
      <c r="S30" s="9" t="n">
        <v>6175.31024007337</v>
      </c>
      <c r="T30" s="8" t="n">
        <v>477.093177186946</v>
      </c>
      <c r="U30" s="8" t="n">
        <v>478.51402127702</v>
      </c>
      <c r="V30" s="8" t="n">
        <v>410.600654065285</v>
      </c>
      <c r="W30" s="8" t="n">
        <v>653.683353106483</v>
      </c>
      <c r="X30" s="8" t="n">
        <v>2021</v>
      </c>
      <c r="Y30" s="3" t="n">
        <v>27997.9180625956</v>
      </c>
      <c r="Z30" s="3" t="n">
        <v>2163.06795348063</v>
      </c>
      <c r="AA30" s="3" t="n">
        <v>1861.60095963558</v>
      </c>
      <c r="AB30" s="3" t="n">
        <v>2963.70097171678</v>
      </c>
      <c r="AC30" s="3" t="n">
        <v>2169.50984463542</v>
      </c>
      <c r="AJ30" s="7" t="n">
        <v>2021</v>
      </c>
      <c r="AK30" s="6" t="n">
        <v>6686.90897209624</v>
      </c>
      <c r="AL30" s="7" t="n">
        <v>479.90620921113</v>
      </c>
      <c r="AM30" s="7" t="n">
        <v>484.924154523169</v>
      </c>
      <c r="AN30" s="7" t="n">
        <v>411.787874911843</v>
      </c>
      <c r="AO30" s="7" t="n">
        <v>668.011464788954</v>
      </c>
      <c r="AP30" s="7" t="n">
        <v>2021</v>
      </c>
      <c r="AQ30" s="2" t="n">
        <v>30317.428957312</v>
      </c>
      <c r="AR30" s="2" t="n">
        <v>2175.82181313443</v>
      </c>
      <c r="AS30" s="2" t="n">
        <v>1866.98363851193</v>
      </c>
      <c r="AT30" s="2" t="n">
        <v>3028.66245240067</v>
      </c>
      <c r="AU30" s="2" t="n">
        <v>2198.57241451756</v>
      </c>
    </row>
    <row r="31" customFormat="false" ht="15" hidden="false" customHeight="false" outlineLevel="0" collapsed="false">
      <c r="A31" s="6" t="n">
        <v>6014.50125041624</v>
      </c>
      <c r="B31" s="7" t="n">
        <v>522.253047839341</v>
      </c>
      <c r="C31" s="7" t="n">
        <v>523.749525814566</v>
      </c>
      <c r="D31" s="7" t="n">
        <v>459.560111167191</v>
      </c>
      <c r="E31" s="7" t="n">
        <v>680.069687424111</v>
      </c>
      <c r="F31" s="7" t="n">
        <v>2021</v>
      </c>
      <c r="G31" s="4" t="n">
        <v>27268.8345443405</v>
      </c>
      <c r="H31" s="7" t="n">
        <v>2367.8159433125</v>
      </c>
      <c r="I31" s="7" t="n">
        <v>2083.57569694239</v>
      </c>
      <c r="J31" s="2" t="n">
        <v>3083.3326011373</v>
      </c>
      <c r="K31" s="7" t="n">
        <v>2374.60074700721</v>
      </c>
      <c r="R31" s="8" t="n">
        <v>2021</v>
      </c>
      <c r="S31" s="9" t="n">
        <v>6258.27364590019</v>
      </c>
      <c r="T31" s="8" t="n">
        <v>525.538495261732</v>
      </c>
      <c r="U31" s="8" t="n">
        <v>525.867640823792</v>
      </c>
      <c r="V31" s="8" t="n">
        <v>459.18665543016</v>
      </c>
      <c r="W31" s="8" t="n">
        <v>700.139644106853</v>
      </c>
      <c r="X31" s="8" t="n">
        <v>2021</v>
      </c>
      <c r="Y31" s="3" t="n">
        <v>28374.0615352684</v>
      </c>
      <c r="Z31" s="3" t="n">
        <v>2382.71166258085</v>
      </c>
      <c r="AA31" s="3" t="n">
        <v>2081.88250539105</v>
      </c>
      <c r="AB31" s="3" t="n">
        <v>3174.32673436754</v>
      </c>
      <c r="AC31" s="3" t="n">
        <v>2384.20395853343</v>
      </c>
      <c r="AJ31" s="7" t="n">
        <v>2021</v>
      </c>
      <c r="AK31" s="6" t="n">
        <v>6821.77226275002</v>
      </c>
      <c r="AL31" s="7" t="n">
        <v>531.0200883812</v>
      </c>
      <c r="AM31" s="7" t="n">
        <v>533.870290789182</v>
      </c>
      <c r="AN31" s="7" t="n">
        <v>461.441851162759</v>
      </c>
      <c r="AO31" s="7" t="n">
        <v>713.009824246903</v>
      </c>
      <c r="AP31" s="7" t="n">
        <v>2021</v>
      </c>
      <c r="AQ31" s="2" t="n">
        <v>30928.8786196907</v>
      </c>
      <c r="AR31" s="2" t="n">
        <v>2407.56437265449</v>
      </c>
      <c r="AS31" s="2" t="n">
        <v>2092.10722008257</v>
      </c>
      <c r="AT31" s="2" t="n">
        <v>3232.6781750245</v>
      </c>
      <c r="AU31" s="2" t="n">
        <v>2420.48675717902</v>
      </c>
    </row>
    <row r="32" customFormat="false" ht="15" hidden="false" customHeight="false" outlineLevel="0" collapsed="false">
      <c r="A32" s="6" t="n">
        <v>6058.13494440868</v>
      </c>
      <c r="B32" s="7" t="n">
        <v>616.093994703558</v>
      </c>
      <c r="C32" s="7" t="n">
        <v>600.618005374319</v>
      </c>
      <c r="D32" s="7" t="n">
        <v>528.63331318303</v>
      </c>
      <c r="E32" s="7" t="n">
        <v>769.285439547732</v>
      </c>
      <c r="F32" s="7" t="n">
        <v>2022</v>
      </c>
      <c r="G32" s="4" t="n">
        <v>27466.6630811549</v>
      </c>
      <c r="H32" s="7" t="n">
        <v>2793.27653380577</v>
      </c>
      <c r="I32" s="7" t="n">
        <v>2396.74309666441</v>
      </c>
      <c r="J32" s="2" t="n">
        <v>3487.82326164545</v>
      </c>
      <c r="K32" s="7" t="n">
        <v>2723.11075033373</v>
      </c>
      <c r="R32" s="8" t="n">
        <v>2022</v>
      </c>
      <c r="S32" s="9" t="n">
        <v>6271.20390532191</v>
      </c>
      <c r="T32" s="8" t="n">
        <v>624.635578119496</v>
      </c>
      <c r="U32" s="8" t="n">
        <v>610.140149650988</v>
      </c>
      <c r="V32" s="8" t="n">
        <v>541.426597952439</v>
      </c>
      <c r="W32" s="8" t="n">
        <v>797.296026554212</v>
      </c>
      <c r="X32" s="8" t="n">
        <v>2022</v>
      </c>
      <c r="Y32" s="3" t="n">
        <v>28432.6853662572</v>
      </c>
      <c r="Z32" s="3" t="n">
        <v>2832.00277480535</v>
      </c>
      <c r="AA32" s="3" t="n">
        <v>2454.74590539797</v>
      </c>
      <c r="AB32" s="3" t="n">
        <v>3614.81900589219</v>
      </c>
      <c r="AC32" s="3" t="n">
        <v>2766.28270524352</v>
      </c>
      <c r="AJ32" s="7" t="n">
        <v>2022</v>
      </c>
      <c r="AK32" s="6" t="n">
        <v>6841.72557359654</v>
      </c>
      <c r="AL32" s="7" t="n">
        <v>631.844761388819</v>
      </c>
      <c r="AM32" s="7" t="n">
        <v>621.58736237413</v>
      </c>
      <c r="AN32" s="7" t="n">
        <v>543.95657789411</v>
      </c>
      <c r="AO32" s="7" t="n">
        <v>803.425595031795</v>
      </c>
      <c r="AP32" s="7" t="n">
        <v>2022</v>
      </c>
      <c r="AQ32" s="2" t="n">
        <v>31019.3438984281</v>
      </c>
      <c r="AR32" s="2" t="n">
        <v>2864.68811604747</v>
      </c>
      <c r="AS32" s="2" t="n">
        <v>2466.21644992985</v>
      </c>
      <c r="AT32" s="2" t="n">
        <v>3642.6095377558</v>
      </c>
      <c r="AU32" s="2" t="n">
        <v>2818.18262790454</v>
      </c>
    </row>
    <row r="33" customFormat="false" ht="15" hidden="false" customHeight="false" outlineLevel="0" collapsed="false">
      <c r="A33" s="6" t="n">
        <v>6073.74117425524</v>
      </c>
      <c r="B33" s="7" t="n">
        <v>527.51487713606</v>
      </c>
      <c r="C33" s="7" t="n">
        <v>530.172732223999</v>
      </c>
      <c r="D33" s="7" t="n">
        <v>466.720801843407</v>
      </c>
      <c r="E33" s="7" t="n">
        <v>688.857065789449</v>
      </c>
      <c r="F33" s="7" t="n">
        <v>2022</v>
      </c>
      <c r="G33" s="4" t="n">
        <v>27537.4193553377</v>
      </c>
      <c r="H33" s="7" t="n">
        <v>2391.67227761501</v>
      </c>
      <c r="I33" s="7" t="n">
        <v>2116.04118013759</v>
      </c>
      <c r="J33" s="2" t="n">
        <v>3123.17323907987</v>
      </c>
      <c r="K33" s="7" t="n">
        <v>2403.72258862473</v>
      </c>
      <c r="R33" s="8" t="n">
        <v>2022</v>
      </c>
      <c r="S33" s="9" t="n">
        <v>6315.17308235466</v>
      </c>
      <c r="T33" s="8" t="n">
        <v>534.435568980874</v>
      </c>
      <c r="U33" s="8" t="n">
        <v>533.375003118916</v>
      </c>
      <c r="V33" s="8" t="n">
        <v>468.897626657981</v>
      </c>
      <c r="W33" s="8" t="n">
        <v>714.036578719621</v>
      </c>
      <c r="X33" s="8" t="n">
        <v>2022</v>
      </c>
      <c r="Y33" s="3" t="n">
        <v>28632.0349321873</v>
      </c>
      <c r="Z33" s="3" t="n">
        <v>2423.04964258531</v>
      </c>
      <c r="AA33" s="3" t="n">
        <v>2125.91057299814</v>
      </c>
      <c r="AB33" s="3" t="n">
        <v>3237.33332375063</v>
      </c>
      <c r="AC33" s="3" t="n">
        <v>2418.24119815924</v>
      </c>
      <c r="AJ33" s="7" t="n">
        <v>2022</v>
      </c>
      <c r="AK33" s="6" t="n">
        <v>6896.59599889326</v>
      </c>
      <c r="AL33" s="7" t="n">
        <v>547.98949412468</v>
      </c>
      <c r="AM33" s="7" t="n">
        <v>554.220464106962</v>
      </c>
      <c r="AN33" s="7" t="n">
        <v>486.151607301023</v>
      </c>
      <c r="AO33" s="7" t="n">
        <v>738.975132550577</v>
      </c>
      <c r="AP33" s="7" t="n">
        <v>2022</v>
      </c>
      <c r="AQ33" s="2" t="n">
        <v>31268.1180671408</v>
      </c>
      <c r="AR33" s="2" t="n">
        <v>2484.50107916905</v>
      </c>
      <c r="AS33" s="2" t="n">
        <v>2204.13749885568</v>
      </c>
      <c r="AT33" s="2" t="n">
        <v>3350.40093648816</v>
      </c>
      <c r="AU33" s="2" t="n">
        <v>2512.75135004327</v>
      </c>
    </row>
    <row r="34" customFormat="false" ht="15" hidden="false" customHeight="false" outlineLevel="0" collapsed="false">
      <c r="A34" s="6" t="n">
        <v>6118.29291676596</v>
      </c>
      <c r="B34" s="7" t="n">
        <v>503.453098486592</v>
      </c>
      <c r="C34" s="7" t="n">
        <v>501.140437397596</v>
      </c>
      <c r="D34" s="7" t="n">
        <v>432.663349717651</v>
      </c>
      <c r="E34" s="7" t="n">
        <v>670.12995032674</v>
      </c>
      <c r="F34" s="7" t="n">
        <v>2022</v>
      </c>
      <c r="G34" s="4" t="n">
        <v>27739.4101846026</v>
      </c>
      <c r="H34" s="7" t="n">
        <v>2282.57983029206</v>
      </c>
      <c r="I34" s="7" t="n">
        <v>1961.62986848398</v>
      </c>
      <c r="J34" s="2" t="n">
        <v>3038.26734384707</v>
      </c>
      <c r="K34" s="7" t="n">
        <v>2272.0945764086</v>
      </c>
      <c r="R34" s="8" t="n">
        <v>2022</v>
      </c>
      <c r="S34" s="9" t="n">
        <v>6362.66303993771</v>
      </c>
      <c r="T34" s="8" t="n">
        <v>501.385041873846</v>
      </c>
      <c r="U34" s="8" t="n">
        <v>501.417389898429</v>
      </c>
      <c r="V34" s="8" t="n">
        <v>436.622675440794</v>
      </c>
      <c r="W34" s="8" t="n">
        <v>666.843483853559</v>
      </c>
      <c r="X34" s="8" t="n">
        <v>2022</v>
      </c>
      <c r="Y34" s="3" t="n">
        <v>28847.3471820202</v>
      </c>
      <c r="Z34" s="3" t="n">
        <v>2273.20357592726</v>
      </c>
      <c r="AA34" s="3" t="n">
        <v>1979.58084954731</v>
      </c>
      <c r="AB34" s="3" t="n">
        <v>3023.36700435732</v>
      </c>
      <c r="AC34" s="3" t="n">
        <v>2273.35023695424</v>
      </c>
      <c r="AJ34" s="7" t="n">
        <v>2022</v>
      </c>
      <c r="AK34" s="6" t="n">
        <v>6959.48693089973</v>
      </c>
      <c r="AL34" s="7" t="n">
        <v>517.400600263675</v>
      </c>
      <c r="AM34" s="7" t="n">
        <v>524.503716399832</v>
      </c>
      <c r="AN34" s="7" t="n">
        <v>456.450239863216</v>
      </c>
      <c r="AO34" s="7" t="n">
        <v>702.917623139868</v>
      </c>
      <c r="AP34" s="7" t="n">
        <v>2022</v>
      </c>
      <c r="AQ34" s="2" t="n">
        <v>31553.2559942641</v>
      </c>
      <c r="AR34" s="2" t="n">
        <v>2345.81568351261</v>
      </c>
      <c r="AS34" s="2" t="n">
        <v>2069.47601310968</v>
      </c>
      <c r="AT34" s="2" t="n">
        <v>3186.92166908697</v>
      </c>
      <c r="AU34" s="2" t="n">
        <v>2378.02013249376</v>
      </c>
    </row>
    <row r="35" customFormat="false" ht="15" hidden="false" customHeight="false" outlineLevel="0" collapsed="false">
      <c r="A35" s="6" t="n">
        <v>6149.98338694798</v>
      </c>
      <c r="B35" s="7" t="n">
        <v>539.036603486004</v>
      </c>
      <c r="C35" s="7" t="n">
        <v>535.4539742833</v>
      </c>
      <c r="D35" s="7" t="n">
        <v>472.759874432496</v>
      </c>
      <c r="E35" s="7" t="n">
        <v>700.246797116043</v>
      </c>
      <c r="F35" s="7" t="n">
        <v>2022</v>
      </c>
      <c r="G35" s="4" t="n">
        <v>27883.0899598735</v>
      </c>
      <c r="H35" s="7" t="n">
        <v>2443.91003373486</v>
      </c>
      <c r="I35" s="7" t="n">
        <v>2143.42141739696</v>
      </c>
      <c r="J35" s="2" t="n">
        <v>3174.81254982536</v>
      </c>
      <c r="K35" s="7" t="n">
        <v>2427.6669374423</v>
      </c>
      <c r="R35" s="8" t="n">
        <v>2022</v>
      </c>
      <c r="S35" s="9" t="n">
        <v>6390.51194391805</v>
      </c>
      <c r="T35" s="8" t="n">
        <v>536.351749627389</v>
      </c>
      <c r="U35" s="8" t="n">
        <v>534.273963620499</v>
      </c>
      <c r="V35" s="8" t="n">
        <v>470.642794091972</v>
      </c>
      <c r="W35" s="8" t="n">
        <v>696.430749235745</v>
      </c>
      <c r="X35" s="8" t="n">
        <v>2022</v>
      </c>
      <c r="Y35" s="3" t="n">
        <v>28973.6098800002</v>
      </c>
      <c r="Z35" s="3" t="n">
        <v>2431.73731440236</v>
      </c>
      <c r="AA35" s="3" t="n">
        <v>2133.82289690137</v>
      </c>
      <c r="AB35" s="3" t="n">
        <v>3157.51116872515</v>
      </c>
      <c r="AC35" s="3" t="n">
        <v>2422.31694844325</v>
      </c>
      <c r="AJ35" s="7" t="n">
        <v>2022</v>
      </c>
      <c r="AK35" s="6" t="n">
        <v>7024.51838965457</v>
      </c>
      <c r="AL35" s="7" t="n">
        <v>555.281294539847</v>
      </c>
      <c r="AM35" s="7" t="n">
        <v>557.287021989776</v>
      </c>
      <c r="AN35" s="7" t="n">
        <v>495.93373395768</v>
      </c>
      <c r="AO35" s="7" t="n">
        <v>726.100225136758</v>
      </c>
      <c r="AP35" s="7" t="n">
        <v>2022</v>
      </c>
      <c r="AQ35" s="2" t="n">
        <v>31848.0987443325</v>
      </c>
      <c r="AR35" s="2" t="n">
        <v>2517.56099399371</v>
      </c>
      <c r="AS35" s="2" t="n">
        <v>2248.48817436243</v>
      </c>
      <c r="AT35" s="2" t="n">
        <v>3292.02806309042</v>
      </c>
      <c r="AU35" s="2" t="n">
        <v>2526.65465740751</v>
      </c>
    </row>
    <row r="36" customFormat="false" ht="15" hidden="false" customHeight="false" outlineLevel="0" collapsed="false">
      <c r="A36" s="6" t="n">
        <v>6179.90284998184</v>
      </c>
      <c r="B36" s="7" t="n">
        <v>657.615596634996</v>
      </c>
      <c r="C36" s="7" t="n">
        <v>638.653191042396</v>
      </c>
      <c r="D36" s="7" t="n">
        <v>572.4820432857</v>
      </c>
      <c r="E36" s="7" t="n">
        <v>817.812952089676</v>
      </c>
      <c r="F36" s="7" t="n">
        <v>2023</v>
      </c>
      <c r="G36" s="4" t="n">
        <v>28018.7402579043</v>
      </c>
      <c r="H36" s="7" t="n">
        <v>2981.52916622579</v>
      </c>
      <c r="I36" s="7" t="n">
        <v>2595.54657451994</v>
      </c>
      <c r="J36" s="2" t="n">
        <v>3707.83962796728</v>
      </c>
      <c r="K36" s="7" t="n">
        <v>2895.55650130507</v>
      </c>
      <c r="R36" s="8" t="n">
        <v>2023</v>
      </c>
      <c r="S36" s="9" t="n">
        <v>6444.4238261981</v>
      </c>
      <c r="T36" s="8" t="n">
        <v>659.160900173567</v>
      </c>
      <c r="U36" s="8" t="n">
        <v>640.441549781194</v>
      </c>
      <c r="V36" s="8" t="n">
        <v>565.139588702658</v>
      </c>
      <c r="W36" s="8" t="n">
        <v>831.858953971048</v>
      </c>
      <c r="X36" s="8" t="n">
        <v>2023</v>
      </c>
      <c r="Y36" s="3" t="n">
        <v>29218.0381603612</v>
      </c>
      <c r="Z36" s="3" t="n">
        <v>2988.53533760386</v>
      </c>
      <c r="AA36" s="3" t="n">
        <v>2562.2570013969</v>
      </c>
      <c r="AB36" s="3" t="n">
        <v>3771.52206568996</v>
      </c>
      <c r="AC36" s="3" t="n">
        <v>2903.66464801978</v>
      </c>
      <c r="AJ36" s="7" t="n">
        <v>2023</v>
      </c>
      <c r="AK36" s="6" t="n">
        <v>7061.62898723288</v>
      </c>
      <c r="AL36" s="7" t="n">
        <v>679.802493696369</v>
      </c>
      <c r="AM36" s="7" t="n">
        <v>667.501040870565</v>
      </c>
      <c r="AN36" s="7" t="n">
        <v>595.349436931577</v>
      </c>
      <c r="AO36" s="7" t="n">
        <v>868.94182160641</v>
      </c>
      <c r="AP36" s="7" t="n">
        <v>2023</v>
      </c>
      <c r="AQ36" s="2" t="n">
        <v>32016.3525534301</v>
      </c>
      <c r="AR36" s="2" t="n">
        <v>3082.12118538565</v>
      </c>
      <c r="AS36" s="2" t="n">
        <v>2699.22386176742</v>
      </c>
      <c r="AT36" s="2" t="n">
        <v>3939.65015144077</v>
      </c>
      <c r="AU36" s="2" t="n">
        <v>3026.34826793241</v>
      </c>
    </row>
    <row r="37" customFormat="false" ht="15" hidden="false" customHeight="false" outlineLevel="0" collapsed="false">
      <c r="A37" s="6" t="n">
        <v>6175.62884717432</v>
      </c>
      <c r="B37" s="7" t="n">
        <v>541.517377644067</v>
      </c>
      <c r="C37" s="7" t="n">
        <v>537.363347238559</v>
      </c>
      <c r="D37" s="7" t="n">
        <v>474.003366608408</v>
      </c>
      <c r="E37" s="7" t="n">
        <v>724.24118362058</v>
      </c>
      <c r="F37" s="7" t="n">
        <v>2023</v>
      </c>
      <c r="G37" s="4" t="n">
        <v>27999.3625787672</v>
      </c>
      <c r="H37" s="7" t="n">
        <v>2455.15748672249</v>
      </c>
      <c r="I37" s="7" t="n">
        <v>2149.05922192809</v>
      </c>
      <c r="J37" s="2" t="n">
        <v>3283.59945140591</v>
      </c>
      <c r="K37" s="7" t="n">
        <v>2436.32374422188</v>
      </c>
      <c r="R37" s="8" t="n">
        <v>2023</v>
      </c>
      <c r="S37" s="9" t="n">
        <v>6516.54564380056</v>
      </c>
      <c r="T37" s="8" t="n">
        <v>552.932219614897</v>
      </c>
      <c r="U37" s="8" t="n">
        <v>551.819951574994</v>
      </c>
      <c r="V37" s="8" t="n">
        <v>480.748705197373</v>
      </c>
      <c r="W37" s="8" t="n">
        <v>756.095259932296</v>
      </c>
      <c r="X37" s="8" t="n">
        <v>2023</v>
      </c>
      <c r="Y37" s="3" t="n">
        <v>29545.0275198035</v>
      </c>
      <c r="Z37" s="3" t="n">
        <v>2506.91064531246</v>
      </c>
      <c r="AA37" s="3" t="n">
        <v>2179.64156188776</v>
      </c>
      <c r="AB37" s="3" t="n">
        <v>3428.02099200279</v>
      </c>
      <c r="AC37" s="3" t="n">
        <v>2501.86779106965</v>
      </c>
      <c r="AJ37" s="7" t="n">
        <v>2023</v>
      </c>
      <c r="AK37" s="6" t="n">
        <v>7107.91089995439</v>
      </c>
      <c r="AL37" s="7" t="n">
        <v>580.123386717934</v>
      </c>
      <c r="AM37" s="7" t="n">
        <v>579.489342699096</v>
      </c>
      <c r="AN37" s="7" t="n">
        <v>517.738853143762</v>
      </c>
      <c r="AO37" s="7" t="n">
        <v>786.668258555466</v>
      </c>
      <c r="AP37" s="7" t="n">
        <v>2023</v>
      </c>
      <c r="AQ37" s="2" t="n">
        <v>32226.1877114677</v>
      </c>
      <c r="AR37" s="2" t="n">
        <v>2630.19126425803</v>
      </c>
      <c r="AS37" s="2" t="n">
        <v>2347.34927066094</v>
      </c>
      <c r="AT37" s="2" t="n">
        <v>3566.63432106676</v>
      </c>
      <c r="AU37" s="2" t="n">
        <v>2627.31660504297</v>
      </c>
    </row>
    <row r="38" customFormat="false" ht="15" hidden="false" customHeight="false" outlineLevel="0" collapsed="false">
      <c r="A38" s="6" t="n">
        <v>6237.43675187587</v>
      </c>
      <c r="B38" s="7" t="n">
        <v>529.619087280703</v>
      </c>
      <c r="C38" s="7" t="n">
        <v>525.509960627656</v>
      </c>
      <c r="D38" s="7" t="n">
        <v>458.145055273049</v>
      </c>
      <c r="E38" s="7" t="n">
        <v>728.724614720407</v>
      </c>
      <c r="F38" s="7" t="n">
        <v>2023</v>
      </c>
      <c r="G38" s="4" t="n">
        <v>28279.5902246958</v>
      </c>
      <c r="H38" s="7" t="n">
        <v>2401.21244659857</v>
      </c>
      <c r="I38" s="7" t="n">
        <v>2077.16004858822</v>
      </c>
      <c r="J38" s="2" t="n">
        <v>3303.92664659</v>
      </c>
      <c r="K38" s="7" t="n">
        <v>2382.58229088684</v>
      </c>
      <c r="R38" s="8" t="n">
        <v>2023</v>
      </c>
      <c r="S38" s="9" t="n">
        <v>6601.5674048453</v>
      </c>
      <c r="T38" s="8" t="n">
        <v>535.806825885576</v>
      </c>
      <c r="U38" s="8" t="n">
        <v>538.669109052614</v>
      </c>
      <c r="V38" s="8" t="n">
        <v>464.798272528802</v>
      </c>
      <c r="W38" s="8" t="n">
        <v>752.023694687252</v>
      </c>
      <c r="X38" s="8" t="n">
        <v>2023</v>
      </c>
      <c r="Y38" s="3" t="n">
        <v>29930.5032621915</v>
      </c>
      <c r="Z38" s="3" t="n">
        <v>2429.26671297822</v>
      </c>
      <c r="AA38" s="3" t="n">
        <v>2107.32472442433</v>
      </c>
      <c r="AB38" s="3" t="n">
        <v>3409.56113400611</v>
      </c>
      <c r="AC38" s="3" t="n">
        <v>2442.24386982819</v>
      </c>
      <c r="AJ38" s="7" t="n">
        <v>2023</v>
      </c>
      <c r="AK38" s="6" t="n">
        <v>7175.77376185124</v>
      </c>
      <c r="AL38" s="7" t="n">
        <v>551.863005594473</v>
      </c>
      <c r="AM38" s="7" t="n">
        <v>552.155750417948</v>
      </c>
      <c r="AN38" s="7" t="n">
        <v>479.651727099202</v>
      </c>
      <c r="AO38" s="7" t="n">
        <v>756.843167926777</v>
      </c>
      <c r="AP38" s="7" t="n">
        <v>2023</v>
      </c>
      <c r="AQ38" s="2" t="n">
        <v>32533.867613046</v>
      </c>
      <c r="AR38" s="2" t="n">
        <v>2502.06299145032</v>
      </c>
      <c r="AS38" s="2" t="n">
        <v>2174.66802991688</v>
      </c>
      <c r="AT38" s="2" t="n">
        <v>3431.4118931776</v>
      </c>
      <c r="AU38" s="2" t="n">
        <v>2503.3902519866</v>
      </c>
    </row>
    <row r="39" customFormat="false" ht="15" hidden="false" customHeight="false" outlineLevel="0" collapsed="false">
      <c r="A39" s="6" t="n">
        <v>6277.0592799012</v>
      </c>
      <c r="B39" s="7" t="n">
        <v>549.43963802438</v>
      </c>
      <c r="C39" s="7" t="n">
        <v>541.026623783631</v>
      </c>
      <c r="D39" s="7" t="n">
        <v>477.130605625385</v>
      </c>
      <c r="E39" s="7" t="n">
        <v>722.737133486235</v>
      </c>
      <c r="F39" s="7" t="n">
        <v>2023</v>
      </c>
      <c r="G39" s="4" t="n">
        <v>28459.2327446598</v>
      </c>
      <c r="H39" s="7" t="n">
        <v>2491.0758112075</v>
      </c>
      <c r="I39" s="7" t="n">
        <v>2163.23764833189</v>
      </c>
      <c r="J39" s="2" t="n">
        <v>3276.78031669262</v>
      </c>
      <c r="K39" s="7" t="n">
        <v>2452.93248330741</v>
      </c>
      <c r="R39" s="8" t="n">
        <v>2023</v>
      </c>
      <c r="S39" s="9" t="n">
        <v>6684.93529939961</v>
      </c>
      <c r="T39" s="8" t="n">
        <v>562.535792308015</v>
      </c>
      <c r="U39" s="8" t="n">
        <v>558.885909948338</v>
      </c>
      <c r="V39" s="8" t="n">
        <v>489.1766932078</v>
      </c>
      <c r="W39" s="8" t="n">
        <v>758.451209203048</v>
      </c>
      <c r="X39" s="8" t="n">
        <v>2023</v>
      </c>
      <c r="Y39" s="3" t="n">
        <v>30308.4806252778</v>
      </c>
      <c r="Z39" s="3" t="n">
        <v>2550.45178428638</v>
      </c>
      <c r="AA39" s="3" t="n">
        <v>2217.85277858375</v>
      </c>
      <c r="AB39" s="3" t="n">
        <v>3438.7025079231</v>
      </c>
      <c r="AC39" s="3" t="n">
        <v>2533.9037724017</v>
      </c>
      <c r="AJ39" s="7" t="n">
        <v>2023</v>
      </c>
      <c r="AK39" s="6" t="n">
        <v>7243.74359730024</v>
      </c>
      <c r="AL39" s="7" t="n">
        <v>579.259953026014</v>
      </c>
      <c r="AM39" s="7" t="n">
        <v>577.583365781726</v>
      </c>
      <c r="AN39" s="7" t="n">
        <v>511.174196541351</v>
      </c>
      <c r="AO39" s="7" t="n">
        <v>787.474895831415</v>
      </c>
      <c r="AP39" s="7" t="n">
        <v>2023</v>
      </c>
      <c r="AQ39" s="2" t="n">
        <v>32842.0325164512</v>
      </c>
      <c r="AR39" s="2" t="n">
        <v>2626.27658712943</v>
      </c>
      <c r="AS39" s="2" t="n">
        <v>2317.58611536703</v>
      </c>
      <c r="AT39" s="2" t="n">
        <v>3570.29149187766</v>
      </c>
      <c r="AU39" s="2" t="n">
        <v>2618.67519538303</v>
      </c>
    </row>
    <row r="40" customFormat="false" ht="15" hidden="false" customHeight="false" outlineLevel="0" collapsed="false">
      <c r="A40" s="6" t="n">
        <v>6307.00548481423</v>
      </c>
      <c r="B40" s="7" t="n">
        <v>682.405097195723</v>
      </c>
      <c r="C40" s="7" t="n">
        <v>658.968261684614</v>
      </c>
      <c r="D40" s="7" t="n">
        <v>593.787627180095</v>
      </c>
      <c r="E40" s="7" t="n">
        <v>824.846890591225</v>
      </c>
      <c r="F40" s="7" t="n">
        <v>2024</v>
      </c>
      <c r="G40" s="4" t="n">
        <v>28595.0042863064</v>
      </c>
      <c r="H40" s="7" t="n">
        <v>3093.92099409024</v>
      </c>
      <c r="I40" s="7" t="n">
        <v>2692.14285372873</v>
      </c>
      <c r="J40" s="2" t="n">
        <v>3739.7304360672</v>
      </c>
      <c r="K40" s="7" t="n">
        <v>2987.66194397347</v>
      </c>
      <c r="R40" s="8" t="n">
        <v>2024</v>
      </c>
      <c r="S40" s="9" t="n">
        <v>6745.39395309757</v>
      </c>
      <c r="T40" s="8" t="n">
        <v>703.433172012744</v>
      </c>
      <c r="U40" s="8" t="n">
        <v>686.974658327556</v>
      </c>
      <c r="V40" s="8" t="n">
        <v>620.104154505831</v>
      </c>
      <c r="W40" s="8" t="n">
        <v>886.412512743453</v>
      </c>
      <c r="X40" s="8" t="n">
        <v>2024</v>
      </c>
      <c r="Y40" s="3" t="n">
        <v>30582.5909722245</v>
      </c>
      <c r="Z40" s="3" t="n">
        <v>3189.25908931994</v>
      </c>
      <c r="AA40" s="3" t="n">
        <v>2811.45798885775</v>
      </c>
      <c r="AB40" s="3" t="n">
        <v>4018.85960974097</v>
      </c>
      <c r="AC40" s="3" t="n">
        <v>3114.63868974881</v>
      </c>
      <c r="AJ40" s="7" t="n">
        <v>2024</v>
      </c>
      <c r="AK40" s="6" t="n">
        <v>7325.72738734605</v>
      </c>
      <c r="AL40" s="7" t="n">
        <v>719.410079548445</v>
      </c>
      <c r="AM40" s="7" t="n">
        <v>707.270431166118</v>
      </c>
      <c r="AN40" s="7" t="n">
        <v>632.198833606456</v>
      </c>
      <c r="AO40" s="7" t="n">
        <v>964.342437585108</v>
      </c>
      <c r="AP40" s="7" t="n">
        <v>2024</v>
      </c>
      <c r="AQ40" s="2" t="n">
        <v>33213.7345600616</v>
      </c>
      <c r="AR40" s="2" t="n">
        <v>3261.6959598071</v>
      </c>
      <c r="AS40" s="2" t="n">
        <v>2866.29342566791</v>
      </c>
      <c r="AT40" s="2" t="n">
        <v>4372.18204464992</v>
      </c>
      <c r="AU40" s="2" t="n">
        <v>3206.65663910844</v>
      </c>
    </row>
    <row r="41" customFormat="false" ht="15" hidden="false" customHeight="false" outlineLevel="0" collapsed="false">
      <c r="A41" s="6" t="n">
        <v>6303.1921203153</v>
      </c>
      <c r="B41" s="7" t="n">
        <v>562.258565310287</v>
      </c>
      <c r="C41" s="7" t="n">
        <v>553.633849806234</v>
      </c>
      <c r="D41" s="7" t="n">
        <v>490.153293975104</v>
      </c>
      <c r="E41" s="7" t="n">
        <v>732.546355876495</v>
      </c>
      <c r="F41" s="7" t="n">
        <v>2024</v>
      </c>
      <c r="G41" s="4" t="n">
        <v>28577.7150712495</v>
      </c>
      <c r="H41" s="7" t="n">
        <v>2549.19487921354</v>
      </c>
      <c r="I41" s="7" t="n">
        <v>2222.28053803225</v>
      </c>
      <c r="J41" s="2" t="n">
        <v>3321.25384013734</v>
      </c>
      <c r="K41" s="7" t="n">
        <v>2510.09172996143</v>
      </c>
      <c r="R41" s="8" t="n">
        <v>2024</v>
      </c>
      <c r="S41" s="9" t="n">
        <v>6747.22284328682</v>
      </c>
      <c r="T41" s="8" t="n">
        <v>584.529520851419</v>
      </c>
      <c r="U41" s="8" t="n">
        <v>582.580176526714</v>
      </c>
      <c r="V41" s="8" t="n">
        <v>511.15799233282</v>
      </c>
      <c r="W41" s="8" t="n">
        <v>820.854062326499</v>
      </c>
      <c r="X41" s="8" t="n">
        <v>2024</v>
      </c>
      <c r="Y41" s="3" t="n">
        <v>30590.8828823753</v>
      </c>
      <c r="Z41" s="3" t="n">
        <v>2650.16800674485</v>
      </c>
      <c r="AA41" s="3" t="n">
        <v>2317.51264794838</v>
      </c>
      <c r="AB41" s="3" t="n">
        <v>3721.62755957229</v>
      </c>
      <c r="AC41" s="3" t="n">
        <v>2641.32997585132</v>
      </c>
      <c r="AJ41" s="7" t="n">
        <v>2024</v>
      </c>
      <c r="AK41" s="6" t="n">
        <v>7363.4327521854</v>
      </c>
      <c r="AL41" s="7" t="n">
        <v>589.53038688632</v>
      </c>
      <c r="AM41" s="7" t="n">
        <v>583.615240652099</v>
      </c>
      <c r="AN41" s="7" t="n">
        <v>512.242658394001</v>
      </c>
      <c r="AO41" s="7" t="n">
        <v>832.075981846699</v>
      </c>
      <c r="AP41" s="7" t="n">
        <v>2024</v>
      </c>
      <c r="AQ41" s="2" t="n">
        <v>33384.6849535239</v>
      </c>
      <c r="AR41" s="2" t="n">
        <v>2672.84117328126</v>
      </c>
      <c r="AS41" s="2" t="n">
        <v>2322.4303590148</v>
      </c>
      <c r="AT41" s="2" t="n">
        <v>3772.50603709278</v>
      </c>
      <c r="AU41" s="2" t="n">
        <v>2646.02279927969</v>
      </c>
    </row>
    <row r="42" customFormat="false" ht="15" hidden="false" customHeight="false" outlineLevel="0" collapsed="false">
      <c r="A42" s="6" t="n">
        <v>6343.28252201252</v>
      </c>
      <c r="B42" s="7" t="n">
        <v>551.216152665969</v>
      </c>
      <c r="C42" s="7" t="n">
        <v>541.302920705996</v>
      </c>
      <c r="D42" s="7" t="n">
        <v>470.28842403125</v>
      </c>
      <c r="E42" s="7" t="n">
        <v>749.370955515877</v>
      </c>
      <c r="F42" s="7" t="n">
        <v>2024</v>
      </c>
      <c r="G42" s="4" t="n">
        <v>28759.4788593311</v>
      </c>
      <c r="H42" s="7" t="n">
        <v>2499.13025858562</v>
      </c>
      <c r="I42" s="7" t="n">
        <v>2132.21623690565</v>
      </c>
      <c r="J42" s="2" t="n">
        <v>3397.53401778454</v>
      </c>
      <c r="K42" s="7" t="n">
        <v>2454.18517155991</v>
      </c>
      <c r="R42" s="8" t="n">
        <v>2024</v>
      </c>
      <c r="S42" s="9" t="n">
        <v>6766.160140659</v>
      </c>
      <c r="T42" s="8" t="n">
        <v>572.628023473856</v>
      </c>
      <c r="U42" s="8" t="n">
        <v>574.152559619693</v>
      </c>
      <c r="V42" s="8" t="n">
        <v>498.981864554645</v>
      </c>
      <c r="W42" s="8" t="n">
        <v>793.707311758705</v>
      </c>
      <c r="X42" s="8" t="n">
        <v>2024</v>
      </c>
      <c r="Y42" s="3" t="n">
        <v>30676.7417104408</v>
      </c>
      <c r="Z42" s="3" t="n">
        <v>2596.20842650597</v>
      </c>
      <c r="AA42" s="3" t="n">
        <v>2262.30793521333</v>
      </c>
      <c r="AB42" s="3" t="n">
        <v>3598.54831844678</v>
      </c>
      <c r="AC42" s="3" t="n">
        <v>2603.12044168176</v>
      </c>
      <c r="AJ42" s="7" t="n">
        <v>2024</v>
      </c>
      <c r="AK42" s="6" t="n">
        <v>7392.4212470608</v>
      </c>
      <c r="AL42" s="7" t="n">
        <v>569.014129817423</v>
      </c>
      <c r="AM42" s="7" t="n">
        <v>572.289972276202</v>
      </c>
      <c r="AN42" s="7" t="n">
        <v>505.196484354825</v>
      </c>
      <c r="AO42" s="7" t="n">
        <v>797.352290017625</v>
      </c>
      <c r="AP42" s="7" t="n">
        <v>2024</v>
      </c>
      <c r="AQ42" s="2" t="n">
        <v>33516.1143834192</v>
      </c>
      <c r="AR42" s="2" t="n">
        <v>2579.82358193198</v>
      </c>
      <c r="AS42" s="2" t="n">
        <v>2290.48407684691</v>
      </c>
      <c r="AT42" s="2" t="n">
        <v>3615.07409588399</v>
      </c>
      <c r="AU42" s="2" t="n">
        <v>2594.67575375514</v>
      </c>
    </row>
    <row r="43" customFormat="false" ht="15" hidden="false" customHeight="false" outlineLevel="0" collapsed="false">
      <c r="A43" s="6" t="n">
        <v>6375.55978964205</v>
      </c>
      <c r="B43" s="7" t="n">
        <v>563.006587616856</v>
      </c>
      <c r="C43" s="7" t="n">
        <v>555.637522534687</v>
      </c>
      <c r="D43" s="7" t="n">
        <v>491.9958454218</v>
      </c>
      <c r="E43" s="7" t="n">
        <v>720.164485514585</v>
      </c>
      <c r="F43" s="7" t="n">
        <v>2024</v>
      </c>
      <c r="G43" s="4" t="n">
        <v>28905.8190850435</v>
      </c>
      <c r="H43" s="7" t="n">
        <v>2552.58629866197</v>
      </c>
      <c r="I43" s="7" t="n">
        <v>2230.63438624799</v>
      </c>
      <c r="J43" s="2" t="n">
        <v>3265.1163217978</v>
      </c>
      <c r="K43" s="7" t="n">
        <v>2519.17607758035</v>
      </c>
      <c r="R43" s="8" t="n">
        <v>2024</v>
      </c>
      <c r="S43" s="9" t="n">
        <v>6809.47098866169</v>
      </c>
      <c r="T43" s="8" t="n">
        <v>591.300154631474</v>
      </c>
      <c r="U43" s="8" t="n">
        <v>593.275519313112</v>
      </c>
      <c r="V43" s="8" t="n">
        <v>524.668903443676</v>
      </c>
      <c r="W43" s="8" t="n">
        <v>809.475265190726</v>
      </c>
      <c r="X43" s="8" t="n">
        <v>2024</v>
      </c>
      <c r="Y43" s="3" t="n">
        <v>30873.106512606</v>
      </c>
      <c r="Z43" s="3" t="n">
        <v>2680.86503125637</v>
      </c>
      <c r="AA43" s="3" t="n">
        <v>2378.76906544429</v>
      </c>
      <c r="AB43" s="3" t="n">
        <v>3670.03782278613</v>
      </c>
      <c r="AC43" s="3" t="n">
        <v>2689.82103449348</v>
      </c>
      <c r="AJ43" s="7" t="n">
        <v>2024</v>
      </c>
      <c r="AK43" s="6" t="n">
        <v>7458.4209885604</v>
      </c>
      <c r="AL43" s="7" t="n">
        <v>607.433243019907</v>
      </c>
      <c r="AM43" s="7" t="n">
        <v>600.696294267067</v>
      </c>
      <c r="AN43" s="7" t="n">
        <v>538.381310154711</v>
      </c>
      <c r="AO43" s="7" t="n">
        <v>808.868097104445</v>
      </c>
      <c r="AP43" s="7" t="n">
        <v>2024</v>
      </c>
      <c r="AQ43" s="2" t="n">
        <v>33815.3471802861</v>
      </c>
      <c r="AR43" s="2" t="n">
        <v>2754.01000199239</v>
      </c>
      <c r="AS43" s="2" t="n">
        <v>2440.93903336674</v>
      </c>
      <c r="AT43" s="2" t="n">
        <v>3667.28501496449</v>
      </c>
      <c r="AU43" s="2" t="n">
        <v>2723.46570027457</v>
      </c>
    </row>
    <row r="44" customFormat="false" ht="15" hidden="false" customHeight="false" outlineLevel="0" collapsed="false">
      <c r="A44" s="6" t="n">
        <v>6407.26003588706</v>
      </c>
      <c r="B44" s="7" t="n">
        <v>715.686507249836</v>
      </c>
      <c r="C44" s="7" t="n">
        <v>695.729083257718</v>
      </c>
      <c r="D44" s="7" t="n">
        <v>630.100223912799</v>
      </c>
      <c r="E44" s="7" t="n">
        <v>881.056270108741</v>
      </c>
      <c r="F44" s="7" t="n">
        <v>2025</v>
      </c>
      <c r="G44" s="4" t="n">
        <v>29049.5431834981</v>
      </c>
      <c r="H44" s="7" t="n">
        <v>3244.8138489392</v>
      </c>
      <c r="I44" s="7" t="n">
        <v>2856.77864827793</v>
      </c>
      <c r="J44" s="2" t="n">
        <v>3994.57521971358</v>
      </c>
      <c r="K44" s="7" t="n">
        <v>3154.32992182477</v>
      </c>
      <c r="R44" s="8" t="n">
        <v>2025</v>
      </c>
      <c r="S44" s="9" t="n">
        <v>6840.08052590487</v>
      </c>
      <c r="T44" s="8" t="n">
        <v>757.703778696966</v>
      </c>
      <c r="U44" s="8" t="n">
        <v>735.563397678434</v>
      </c>
      <c r="V44" s="8" t="n">
        <v>662.221580856341</v>
      </c>
      <c r="W44" s="8" t="n">
        <v>966.506848315983</v>
      </c>
      <c r="X44" s="8" t="n">
        <v>2025</v>
      </c>
      <c r="Y44" s="3" t="n">
        <v>31011.8855022197</v>
      </c>
      <c r="Z44" s="3" t="n">
        <v>3435.31377160812</v>
      </c>
      <c r="AA44" s="3" t="n">
        <v>3002.41199863637</v>
      </c>
      <c r="AB44" s="3" t="n">
        <v>4381.99515394175</v>
      </c>
      <c r="AC44" s="3" t="n">
        <v>3334.93264911667</v>
      </c>
      <c r="AJ44" s="7" t="n">
        <v>2025</v>
      </c>
      <c r="AK44" s="6" t="n">
        <v>7504.96739609413</v>
      </c>
      <c r="AL44" s="7" t="n">
        <v>779.927630718707</v>
      </c>
      <c r="AM44" s="7" t="n">
        <v>744.766003386125</v>
      </c>
      <c r="AN44" s="7" t="n">
        <v>671.782393108978</v>
      </c>
      <c r="AO44" s="7" t="n">
        <v>1020.09167028866</v>
      </c>
      <c r="AP44" s="7" t="n">
        <v>2025</v>
      </c>
      <c r="AQ44" s="2" t="n">
        <v>34026.3815176026</v>
      </c>
      <c r="AR44" s="2" t="n">
        <v>3536.07333894163</v>
      </c>
      <c r="AS44" s="2" t="n">
        <v>3045.75926827218</v>
      </c>
      <c r="AT44" s="2" t="n">
        <v>4624.94059257804</v>
      </c>
      <c r="AU44" s="2" t="n">
        <v>3376.65586472037</v>
      </c>
    </row>
    <row r="45" customFormat="false" ht="15" hidden="false" customHeight="false" outlineLevel="0" collapsed="false">
      <c r="A45" s="6" t="n">
        <v>6419.58376260898</v>
      </c>
      <c r="B45" s="7" t="n">
        <v>569.814219640954</v>
      </c>
      <c r="C45" s="7" t="n">
        <v>569.651200295842</v>
      </c>
      <c r="D45" s="7" t="n">
        <v>501.639064873503</v>
      </c>
      <c r="E45" s="7" t="n">
        <v>777.808759697861</v>
      </c>
      <c r="F45" s="7" t="n">
        <v>2025</v>
      </c>
      <c r="G45" s="4" t="n">
        <v>29105.4170874109</v>
      </c>
      <c r="H45" s="7" t="n">
        <v>2583.45106758875</v>
      </c>
      <c r="I45" s="7" t="n">
        <v>2274.35527759955</v>
      </c>
      <c r="J45" s="2" t="n">
        <v>3526.46669977362</v>
      </c>
      <c r="K45" s="7" t="n">
        <v>2582.7119626548</v>
      </c>
      <c r="R45" s="8" t="n">
        <v>2025</v>
      </c>
      <c r="S45" s="9" t="n">
        <v>6852.53401785481</v>
      </c>
      <c r="T45" s="8" t="n">
        <v>608.634693671395</v>
      </c>
      <c r="U45" s="8" t="n">
        <v>601.923449413308</v>
      </c>
      <c r="V45" s="8" t="n">
        <v>540.697424131816</v>
      </c>
      <c r="W45" s="8" t="n">
        <v>794.675317933144</v>
      </c>
      <c r="X45" s="8" t="n">
        <v>2025</v>
      </c>
      <c r="Y45" s="3" t="n">
        <v>31068.3477419538</v>
      </c>
      <c r="Z45" s="3" t="n">
        <v>2759.45719664154</v>
      </c>
      <c r="AA45" s="3" t="n">
        <v>2451.43994212009</v>
      </c>
      <c r="AB45" s="3" t="n">
        <v>3602.93711131749</v>
      </c>
      <c r="AC45" s="3" t="n">
        <v>2729.02943519619</v>
      </c>
      <c r="AJ45" s="7" t="n">
        <v>2025</v>
      </c>
      <c r="AK45" s="6" t="n">
        <v>7562.58278983347</v>
      </c>
      <c r="AL45" s="7" t="n">
        <v>615.111621595002</v>
      </c>
      <c r="AM45" s="7" t="n">
        <v>605.837704111192</v>
      </c>
      <c r="AN45" s="7" t="n">
        <v>540.272080938766</v>
      </c>
      <c r="AO45" s="7" t="n">
        <v>841.753941765715</v>
      </c>
      <c r="AP45" s="7" t="n">
        <v>2025</v>
      </c>
      <c r="AQ45" s="2" t="n">
        <v>34287.6009560351</v>
      </c>
      <c r="AR45" s="2" t="n">
        <v>2788.82260343936</v>
      </c>
      <c r="AS45" s="2" t="n">
        <v>2449.51150072937</v>
      </c>
      <c r="AT45" s="2" t="n">
        <v>3816.38443644304</v>
      </c>
      <c r="AU45" s="2" t="n">
        <v>2746.77607108119</v>
      </c>
    </row>
    <row r="46" customFormat="false" ht="15" hidden="false" customHeight="false" outlineLevel="0" collapsed="false">
      <c r="A46" s="6" t="n">
        <v>6436.58627808515</v>
      </c>
      <c r="B46" s="7" t="n">
        <v>578.94705396472</v>
      </c>
      <c r="C46" s="7" t="n">
        <v>568.119544956621</v>
      </c>
      <c r="D46" s="7" t="n">
        <v>500.107322541596</v>
      </c>
      <c r="E46" s="7" t="n">
        <v>791.336652010934</v>
      </c>
      <c r="F46" s="7" t="n">
        <v>2025</v>
      </c>
      <c r="G46" s="4" t="n">
        <v>29182.5039084213</v>
      </c>
      <c r="H46" s="7" t="n">
        <v>2624.85795034206</v>
      </c>
      <c r="I46" s="7" t="n">
        <v>2267.41059067136</v>
      </c>
      <c r="J46" s="2" t="n">
        <v>3587.80010745948</v>
      </c>
      <c r="K46" s="7" t="n">
        <v>2575.76767013823</v>
      </c>
      <c r="R46" s="8" t="n">
        <v>2025</v>
      </c>
      <c r="S46" s="9" t="n">
        <v>6875.38454446179</v>
      </c>
      <c r="T46" s="8" t="n">
        <v>609.420280794888</v>
      </c>
      <c r="U46" s="8" t="n">
        <v>599.166347001791</v>
      </c>
      <c r="V46" s="8" t="n">
        <v>537.775734005911</v>
      </c>
      <c r="W46" s="8" t="n">
        <v>797.343483227641</v>
      </c>
      <c r="X46" s="8" t="n">
        <v>2025</v>
      </c>
      <c r="Y46" s="3" t="n">
        <v>31171.9485566105</v>
      </c>
      <c r="Z46" s="3" t="n">
        <v>2763.01892926055</v>
      </c>
      <c r="AA46" s="3" t="n">
        <v>2438.19344314769</v>
      </c>
      <c r="AB46" s="3" t="n">
        <v>3615.03416723672</v>
      </c>
      <c r="AC46" s="3" t="n">
        <v>2716.52915190566</v>
      </c>
      <c r="AJ46" s="7" t="n">
        <v>2025</v>
      </c>
      <c r="AK46" s="6" t="n">
        <v>7600.23259947471</v>
      </c>
      <c r="AL46" s="7" t="n">
        <v>616.458263046096</v>
      </c>
      <c r="AM46" s="7" t="n">
        <v>604.598491769032</v>
      </c>
      <c r="AN46" s="7" t="n">
        <v>538.819586270463</v>
      </c>
      <c r="AO46" s="7" t="n">
        <v>849.124337740223</v>
      </c>
      <c r="AP46" s="7" t="n">
        <v>2025</v>
      </c>
      <c r="AQ46" s="2" t="n">
        <v>34458.2994706728</v>
      </c>
      <c r="AR46" s="2" t="n">
        <v>2794.92807110684</v>
      </c>
      <c r="AS46" s="2" t="n">
        <v>2442.92611066336</v>
      </c>
      <c r="AT46" s="2" t="n">
        <v>3849.80069158826</v>
      </c>
      <c r="AU46" s="2" t="n">
        <v>2741.15767066581</v>
      </c>
    </row>
    <row r="47" customFormat="false" ht="15" hidden="false" customHeight="false" outlineLevel="0" collapsed="false">
      <c r="A47" s="6" t="n">
        <v>6466.08472104075</v>
      </c>
      <c r="B47" s="7" t="n">
        <v>579.819884027835</v>
      </c>
      <c r="C47" s="7" t="n">
        <v>573.460415796793</v>
      </c>
      <c r="D47" s="7" t="n">
        <v>509.135049472743</v>
      </c>
      <c r="E47" s="7" t="n">
        <v>770.635291160862</v>
      </c>
      <c r="F47" s="7" t="n">
        <v>2025</v>
      </c>
      <c r="G47" s="4" t="n">
        <v>29316.2453654068</v>
      </c>
      <c r="H47" s="7" t="n">
        <v>2628.81522918954</v>
      </c>
      <c r="I47" s="7" t="n">
        <v>2308.34093248148</v>
      </c>
      <c r="J47" s="2" t="n">
        <v>3493.94328369969</v>
      </c>
      <c r="K47" s="7" t="n">
        <v>2599.98236678549</v>
      </c>
      <c r="R47" s="8" t="n">
        <v>2025</v>
      </c>
      <c r="S47" s="9" t="n">
        <v>6947.67471584953</v>
      </c>
      <c r="T47" s="8" t="n">
        <v>611.008691107852</v>
      </c>
      <c r="U47" s="8" t="n">
        <v>595.829859954893</v>
      </c>
      <c r="V47" s="8" t="n">
        <v>538.787196320147</v>
      </c>
      <c r="W47" s="8" t="n">
        <v>781.022989738541</v>
      </c>
      <c r="X47" s="8" t="n">
        <v>2025</v>
      </c>
      <c r="Y47" s="3" t="n">
        <v>31499.7012065277</v>
      </c>
      <c r="Z47" s="3" t="n">
        <v>2770.22054020207</v>
      </c>
      <c r="AA47" s="3" t="n">
        <v>2442.77925955148</v>
      </c>
      <c r="AB47" s="3" t="n">
        <v>3541.0395302574</v>
      </c>
      <c r="AC47" s="3" t="n">
        <v>2701.40202673715</v>
      </c>
      <c r="AJ47" s="7" t="n">
        <v>2025</v>
      </c>
      <c r="AK47" s="6" t="n">
        <v>7657.0798748947</v>
      </c>
      <c r="AL47" s="7" t="n">
        <v>622.488348560091</v>
      </c>
      <c r="AM47" s="7" t="n">
        <v>612.453434677081</v>
      </c>
      <c r="AN47" s="7" t="n">
        <v>548.615767319924</v>
      </c>
      <c r="AO47" s="7" t="n">
        <v>858.007744551973</v>
      </c>
      <c r="AP47" s="7" t="n">
        <v>2025</v>
      </c>
      <c r="AQ47" s="2" t="n">
        <v>34716.0363773892</v>
      </c>
      <c r="AR47" s="2" t="n">
        <v>2822.26756233364</v>
      </c>
      <c r="AS47" s="2" t="n">
        <v>2487.340506651</v>
      </c>
      <c r="AT47" s="2" t="n">
        <v>3890.07670791179</v>
      </c>
      <c r="AU47" s="2" t="n">
        <v>2776.77078796294</v>
      </c>
    </row>
    <row r="48" customFormat="false" ht="15" hidden="false" customHeight="false" outlineLevel="0" collapsed="false">
      <c r="A48" s="6" t="n">
        <v>6509.70199242626</v>
      </c>
      <c r="B48" s="7" t="n">
        <v>729.776515392178</v>
      </c>
      <c r="C48" s="7" t="n">
        <v>710.845189844473</v>
      </c>
      <c r="D48" s="7" t="n">
        <v>643.00694152718</v>
      </c>
      <c r="E48" s="7" t="n">
        <v>918.790347868296</v>
      </c>
      <c r="F48" s="7" t="n">
        <v>2026</v>
      </c>
      <c r="G48" s="4" t="n">
        <v>29513.9994446174</v>
      </c>
      <c r="H48" s="7" t="n">
        <v>3308.69580436075</v>
      </c>
      <c r="I48" s="7" t="n">
        <v>2915.29574429029</v>
      </c>
      <c r="J48" s="2" t="n">
        <v>4165.65579319212</v>
      </c>
      <c r="K48" s="7" t="n">
        <v>3222.86405163982</v>
      </c>
      <c r="R48" s="8" t="n">
        <v>2026</v>
      </c>
      <c r="S48" s="9" t="n">
        <v>6987.3956266442</v>
      </c>
      <c r="T48" s="8" t="n">
        <v>774.500167659055</v>
      </c>
      <c r="U48" s="8" t="n">
        <v>745.135058826143</v>
      </c>
      <c r="V48" s="8" t="n">
        <v>676.386910862484</v>
      </c>
      <c r="W48" s="8" t="n">
        <v>954.874970598731</v>
      </c>
      <c r="X48" s="8" t="n">
        <v>2026</v>
      </c>
      <c r="Y48" s="3" t="n">
        <v>31679.789779015</v>
      </c>
      <c r="Z48" s="3" t="n">
        <v>3511.46604633213</v>
      </c>
      <c r="AA48" s="3" t="n">
        <v>3066.63545194046</v>
      </c>
      <c r="AB48" s="3" t="n">
        <v>4329.25798826408</v>
      </c>
      <c r="AC48" s="3" t="n">
        <v>3378.32910599384</v>
      </c>
      <c r="AJ48" s="7" t="n">
        <v>2026</v>
      </c>
      <c r="AK48" s="6" t="n">
        <v>7675.86150539333</v>
      </c>
      <c r="AL48" s="7" t="n">
        <v>795.684613462551</v>
      </c>
      <c r="AM48" s="7" t="n">
        <v>767.909475119159</v>
      </c>
      <c r="AN48" s="7" t="n">
        <v>706.881227344441</v>
      </c>
      <c r="AO48" s="7" t="n">
        <v>985.467173858053</v>
      </c>
      <c r="AP48" s="7" t="n">
        <v>2026</v>
      </c>
      <c r="AQ48" s="2" t="n">
        <v>34801.1894355093</v>
      </c>
      <c r="AR48" s="2" t="n">
        <v>3607.51310384818</v>
      </c>
      <c r="AS48" s="2" t="n">
        <v>3204.89204813482</v>
      </c>
      <c r="AT48" s="2" t="n">
        <v>4467.95838822951</v>
      </c>
      <c r="AU48" s="2" t="n">
        <v>3481.58484805478</v>
      </c>
    </row>
    <row r="49" customFormat="false" ht="15" hidden="false" customHeight="false" outlineLevel="0" collapsed="false">
      <c r="A49" s="6" t="n">
        <v>6542.14841980565</v>
      </c>
      <c r="B49" s="7" t="n">
        <v>587.144530668612</v>
      </c>
      <c r="C49" s="7" t="n">
        <v>579.429499584633</v>
      </c>
      <c r="D49" s="7" t="n">
        <v>516.645665345429</v>
      </c>
      <c r="E49" s="7" t="n">
        <v>763.703917305049</v>
      </c>
      <c r="F49" s="7" t="n">
        <v>2026</v>
      </c>
      <c r="G49" s="4" t="n">
        <v>29661.1066149256</v>
      </c>
      <c r="H49" s="7" t="n">
        <v>2662.02406380892</v>
      </c>
      <c r="I49" s="7" t="n">
        <v>2342.39292333346</v>
      </c>
      <c r="J49" s="2" t="n">
        <v>3462.51748811506</v>
      </c>
      <c r="K49" s="7" t="n">
        <v>2627.04528545736</v>
      </c>
      <c r="R49" s="8" t="n">
        <v>2026</v>
      </c>
      <c r="S49" s="9" t="n">
        <v>7025.15815415619</v>
      </c>
      <c r="T49" s="8" t="n">
        <v>609.373644539298</v>
      </c>
      <c r="U49" s="8" t="n">
        <v>605.268029987302</v>
      </c>
      <c r="V49" s="8" t="n">
        <v>539.230269375814</v>
      </c>
      <c r="W49" s="8" t="n">
        <v>800.307024863874</v>
      </c>
      <c r="X49" s="8" t="n">
        <v>2026</v>
      </c>
      <c r="Y49" s="3" t="n">
        <v>31850.9993393471</v>
      </c>
      <c r="Z49" s="3" t="n">
        <v>2762.80748756581</v>
      </c>
      <c r="AA49" s="3" t="n">
        <v>2444.7880854446</v>
      </c>
      <c r="AB49" s="3" t="n">
        <v>3628.47041459607</v>
      </c>
      <c r="AC49" s="3" t="n">
        <v>2744.19325518644</v>
      </c>
      <c r="AJ49" s="7" t="n">
        <v>2026</v>
      </c>
      <c r="AK49" s="6" t="n">
        <v>7751.25099936711</v>
      </c>
      <c r="AL49" s="7" t="n">
        <v>640.216982566054</v>
      </c>
      <c r="AM49" s="7" t="n">
        <v>623.761015364842</v>
      </c>
      <c r="AN49" s="7" t="n">
        <v>560.228801586944</v>
      </c>
      <c r="AO49" s="7" t="n">
        <v>891.808873670668</v>
      </c>
      <c r="AP49" s="7" t="n">
        <v>2026</v>
      </c>
      <c r="AQ49" s="2" t="n">
        <v>35142.9939429754</v>
      </c>
      <c r="AR49" s="2" t="n">
        <v>2902.6464943976</v>
      </c>
      <c r="AS49" s="2" t="n">
        <v>2539.99223898928</v>
      </c>
      <c r="AT49" s="2" t="n">
        <v>4043.32589000911</v>
      </c>
      <c r="AU49" s="2" t="n">
        <v>2828.03764019778</v>
      </c>
    </row>
    <row r="50" customFormat="false" ht="15" hidden="false" customHeight="false" outlineLevel="0" collapsed="false">
      <c r="A50" s="6" t="n">
        <v>6577.59933574718</v>
      </c>
      <c r="B50" s="7" t="n">
        <v>583.562851546386</v>
      </c>
      <c r="C50" s="7" t="n">
        <v>573.438000148812</v>
      </c>
      <c r="D50" s="7" t="n">
        <v>503.28709801105</v>
      </c>
      <c r="E50" s="7" t="n">
        <v>770.069082340319</v>
      </c>
      <c r="F50" s="7" t="n">
        <v>2026</v>
      </c>
      <c r="G50" s="4" t="n">
        <v>29821.8356797317</v>
      </c>
      <c r="H50" s="7" t="n">
        <v>2645.78527503684</v>
      </c>
      <c r="I50" s="7" t="n">
        <v>2281.82720936584</v>
      </c>
      <c r="J50" s="2" t="n">
        <v>3491.37617896364</v>
      </c>
      <c r="K50" s="7" t="n">
        <v>2599.88073764442</v>
      </c>
      <c r="R50" s="8" t="n">
        <v>2026</v>
      </c>
      <c r="S50" s="9" t="n">
        <v>7075.25481395618</v>
      </c>
      <c r="T50" s="8" t="n">
        <v>610.917609955684</v>
      </c>
      <c r="U50" s="8" t="n">
        <v>605.484094353085</v>
      </c>
      <c r="V50" s="8" t="n">
        <v>539.625016997079</v>
      </c>
      <c r="W50" s="8" t="n">
        <v>806.715077672766</v>
      </c>
      <c r="X50" s="8" t="n">
        <v>2026</v>
      </c>
      <c r="Y50" s="3" t="n">
        <v>32078.1299808472</v>
      </c>
      <c r="Z50" s="3" t="n">
        <v>2769.80759210128</v>
      </c>
      <c r="AA50" s="3" t="n">
        <v>2446.57781116297</v>
      </c>
      <c r="AB50" s="3" t="n">
        <v>3657.52355209188</v>
      </c>
      <c r="AC50" s="3" t="n">
        <v>2745.17285818196</v>
      </c>
      <c r="AJ50" s="7" t="n">
        <v>2026</v>
      </c>
      <c r="AK50" s="6" t="n">
        <v>7748.55580889009</v>
      </c>
      <c r="AL50" s="7" t="n">
        <v>632.269788099298</v>
      </c>
      <c r="AM50" s="7" t="n">
        <v>622.352116211677</v>
      </c>
      <c r="AN50" s="7" t="n">
        <v>556.165455329667</v>
      </c>
      <c r="AO50" s="7" t="n">
        <v>878.11537192371</v>
      </c>
      <c r="AP50" s="7" t="n">
        <v>2026</v>
      </c>
      <c r="AQ50" s="2" t="n">
        <v>35130.7743589861</v>
      </c>
      <c r="AR50" s="2" t="n">
        <v>2866.61512255431</v>
      </c>
      <c r="AS50" s="2" t="n">
        <v>2521.56964463395</v>
      </c>
      <c r="AT50" s="2" t="n">
        <v>3981.24163432048</v>
      </c>
      <c r="AU50" s="2" t="n">
        <v>2821.64990557146</v>
      </c>
    </row>
    <row r="51" customFormat="false" ht="15" hidden="false" customHeight="false" outlineLevel="0" collapsed="false">
      <c r="A51" s="6" t="n">
        <v>6595.08783180664</v>
      </c>
      <c r="B51" s="7" t="n">
        <v>595.088827334093</v>
      </c>
      <c r="C51" s="7" t="n">
        <v>582.40823964274</v>
      </c>
      <c r="D51" s="7" t="n">
        <v>509.602156575255</v>
      </c>
      <c r="E51" s="7" t="n">
        <v>788.484820120045</v>
      </c>
      <c r="F51" s="7" t="n">
        <v>2026</v>
      </c>
      <c r="G51" s="4" t="n">
        <v>29901.125862844</v>
      </c>
      <c r="H51" s="7" t="n">
        <v>2698.04229746165</v>
      </c>
      <c r="I51" s="7" t="n">
        <v>2310.45872509014</v>
      </c>
      <c r="J51" s="2" t="n">
        <v>3574.87033510711</v>
      </c>
      <c r="K51" s="7" t="n">
        <v>2640.55044015153</v>
      </c>
      <c r="R51" s="8" t="n">
        <v>2026</v>
      </c>
      <c r="S51" s="9" t="n">
        <v>7088.53446860739</v>
      </c>
      <c r="T51" s="8" t="n">
        <v>620.213443735311</v>
      </c>
      <c r="U51" s="8" t="n">
        <v>614.684462325232</v>
      </c>
      <c r="V51" s="8" t="n">
        <v>547.120774485756</v>
      </c>
      <c r="W51" s="8" t="n">
        <v>827.605381540788</v>
      </c>
      <c r="X51" s="8" t="n">
        <v>2026</v>
      </c>
      <c r="Y51" s="3" t="n">
        <v>32138.337916703</v>
      </c>
      <c r="Z51" s="3" t="n">
        <v>2811.95348961369</v>
      </c>
      <c r="AA51" s="3" t="n">
        <v>2480.56243636013</v>
      </c>
      <c r="AB51" s="3" t="n">
        <v>3752.2370147782</v>
      </c>
      <c r="AC51" s="3" t="n">
        <v>2786.88592823281</v>
      </c>
      <c r="AJ51" s="7" t="n">
        <v>2026</v>
      </c>
      <c r="AK51" s="6" t="n">
        <v>7824.54282563769</v>
      </c>
      <c r="AL51" s="7" t="n">
        <v>640.713853357242</v>
      </c>
      <c r="AM51" s="7" t="n">
        <v>624.713995329622</v>
      </c>
      <c r="AN51" s="7" t="n">
        <v>560.912899072764</v>
      </c>
      <c r="AO51" s="7" t="n">
        <v>872.151744647434</v>
      </c>
      <c r="AP51" s="7" t="n">
        <v>2026</v>
      </c>
      <c r="AQ51" s="2" t="n">
        <v>35475.2879438931</v>
      </c>
      <c r="AR51" s="2" t="n">
        <v>2904.89923104702</v>
      </c>
      <c r="AS51" s="2" t="n">
        <v>2543.09383301617</v>
      </c>
      <c r="AT51" s="2" t="n">
        <v>3954.20345464271</v>
      </c>
      <c r="AU51" s="2" t="n">
        <v>2832.35830651768</v>
      </c>
    </row>
    <row r="52" customFormat="false" ht="15" hidden="false" customHeight="false" outlineLevel="0" collapsed="false">
      <c r="A52" s="6" t="n">
        <v>6612.7903047932</v>
      </c>
      <c r="B52" s="7" t="n">
        <v>751.873583977432</v>
      </c>
      <c r="C52" s="7" t="n">
        <v>728.360916139034</v>
      </c>
      <c r="D52" s="7" t="n">
        <v>660.721787048695</v>
      </c>
      <c r="E52" s="7" t="n">
        <v>948.60328136137</v>
      </c>
      <c r="F52" s="7" t="n">
        <v>2027</v>
      </c>
      <c r="G52" s="4" t="n">
        <v>29981.3861848221</v>
      </c>
      <c r="H52" s="7" t="n">
        <v>3408.88055486263</v>
      </c>
      <c r="I52" s="7" t="n">
        <v>2995.61216146143</v>
      </c>
      <c r="J52" s="2" t="n">
        <v>4300.82310247613</v>
      </c>
      <c r="K52" s="7" t="n">
        <v>3302.27769249945</v>
      </c>
      <c r="R52" s="8" t="n">
        <v>2027</v>
      </c>
      <c r="S52" s="9" t="n">
        <v>7157.19879359493</v>
      </c>
      <c r="T52" s="8" t="n">
        <v>785.948684772346</v>
      </c>
      <c r="U52" s="8" t="n">
        <v>766.863173784526</v>
      </c>
      <c r="V52" s="8" t="n">
        <v>700.40431399268</v>
      </c>
      <c r="W52" s="8" t="n">
        <v>998.318779997437</v>
      </c>
      <c r="X52" s="8" t="n">
        <v>2027</v>
      </c>
      <c r="Y52" s="3" t="n">
        <v>32449.6515301226</v>
      </c>
      <c r="Z52" s="3" t="n">
        <v>3563.37188289984</v>
      </c>
      <c r="AA52" s="3" t="n">
        <v>3175.52670740353</v>
      </c>
      <c r="AB52" s="3" t="n">
        <v>4526.22561719045</v>
      </c>
      <c r="AC52" s="3" t="n">
        <v>3476.84107682759</v>
      </c>
      <c r="AJ52" s="7" t="n">
        <v>2027</v>
      </c>
      <c r="AK52" s="6" t="n">
        <v>7879.11958449271</v>
      </c>
      <c r="AL52" s="7" t="n">
        <v>815.422242072959</v>
      </c>
      <c r="AM52" s="7" t="n">
        <v>783.95047022315</v>
      </c>
      <c r="AN52" s="7" t="n">
        <v>718.706537032794</v>
      </c>
      <c r="AO52" s="7" t="n">
        <v>1042.2196422461</v>
      </c>
      <c r="AP52" s="7" t="n">
        <v>2027</v>
      </c>
      <c r="AQ52" s="2" t="n">
        <v>35722.7306735925</v>
      </c>
      <c r="AR52" s="2" t="n">
        <v>3697.00051210795</v>
      </c>
      <c r="AS52" s="2" t="n">
        <v>3258.50620497034</v>
      </c>
      <c r="AT52" s="2" t="n">
        <v>4725.26545427251</v>
      </c>
      <c r="AU52" s="2" t="n">
        <v>3554.3122818361</v>
      </c>
    </row>
    <row r="53" customFormat="false" ht="15" hidden="false" customHeight="false" outlineLevel="0" collapsed="false">
      <c r="A53" s="6" t="n">
        <v>6634.12313656122</v>
      </c>
      <c r="B53" s="7" t="n">
        <v>601.647449233994</v>
      </c>
      <c r="C53" s="7" t="n">
        <v>585.796818383713</v>
      </c>
      <c r="D53" s="7" t="n">
        <v>518.839230449572</v>
      </c>
      <c r="E53" s="7" t="n">
        <v>804.870669711769</v>
      </c>
      <c r="F53" s="7" t="n">
        <v>2027</v>
      </c>
      <c r="G53" s="4" t="n">
        <v>30078.1060017486</v>
      </c>
      <c r="H53" s="7" t="n">
        <v>2727.77809233158</v>
      </c>
      <c r="I53" s="7" t="n">
        <v>2352.33821412261</v>
      </c>
      <c r="J53" s="2" t="n">
        <v>3649.16128672246</v>
      </c>
      <c r="K53" s="7" t="n">
        <v>2655.91374114372</v>
      </c>
      <c r="R53" s="8" t="n">
        <v>2027</v>
      </c>
      <c r="S53" s="9" t="n">
        <v>7176.09020163016</v>
      </c>
      <c r="T53" s="8" t="n">
        <v>627.182183051713</v>
      </c>
      <c r="U53" s="8" t="n">
        <v>619.35883432924</v>
      </c>
      <c r="V53" s="8" t="n">
        <v>550.783808289187</v>
      </c>
      <c r="W53" s="8" t="n">
        <v>851.958947501138</v>
      </c>
      <c r="X53" s="8" t="n">
        <v>2027</v>
      </c>
      <c r="Y53" s="3" t="n">
        <v>32535.3023029089</v>
      </c>
      <c r="Z53" s="3" t="n">
        <v>2843.54869451758</v>
      </c>
      <c r="AA53" s="3" t="n">
        <v>2497.17007489195</v>
      </c>
      <c r="AB53" s="3" t="n">
        <v>3862.65238142086</v>
      </c>
      <c r="AC53" s="3" t="n">
        <v>2808.07882045595</v>
      </c>
      <c r="AJ53" s="7" t="n">
        <v>2027</v>
      </c>
      <c r="AK53" s="6" t="n">
        <v>7908.35053742917</v>
      </c>
      <c r="AL53" s="7" t="n">
        <v>651.295601904897</v>
      </c>
      <c r="AM53" s="7" t="n">
        <v>636.262938544639</v>
      </c>
      <c r="AN53" s="7" t="n">
        <v>567.571715788893</v>
      </c>
      <c r="AO53" s="7" t="n">
        <v>926.079116613466</v>
      </c>
      <c r="AP53" s="7" t="n">
        <v>2027</v>
      </c>
      <c r="AQ53" s="2" t="n">
        <v>35855.2593714862</v>
      </c>
      <c r="AR53" s="2" t="n">
        <v>2952.87527067555</v>
      </c>
      <c r="AS53" s="2" t="n">
        <v>2573.28389595458</v>
      </c>
      <c r="AT53" s="2" t="n">
        <v>4198.70196288578</v>
      </c>
      <c r="AU53" s="2" t="n">
        <v>2884.71945976716</v>
      </c>
    </row>
    <row r="54" customFormat="false" ht="15" hidden="false" customHeight="false" outlineLevel="0" collapsed="false">
      <c r="A54" s="6" t="n">
        <v>6659.65648994988</v>
      </c>
      <c r="B54" s="7" t="n">
        <v>609.295718723938</v>
      </c>
      <c r="C54" s="7" t="n">
        <v>594.150182865055</v>
      </c>
      <c r="D54" s="7" t="n">
        <v>528.566732153752</v>
      </c>
      <c r="E54" s="7" t="n">
        <v>824.766884534341</v>
      </c>
      <c r="F54" s="7" t="n">
        <v>2027</v>
      </c>
      <c r="G54" s="4" t="n">
        <v>30193.8703452791</v>
      </c>
      <c r="H54" s="7" t="n">
        <v>2762.45418376266</v>
      </c>
      <c r="I54" s="7" t="n">
        <v>2396.44122839711</v>
      </c>
      <c r="J54" s="2" t="n">
        <v>3739.36770076516</v>
      </c>
      <c r="K54" s="7" t="n">
        <v>2693.78662610064</v>
      </c>
      <c r="R54" s="8" t="n">
        <v>2027</v>
      </c>
      <c r="S54" s="9" t="n">
        <v>7197.15451726513</v>
      </c>
      <c r="T54" s="8" t="n">
        <v>634.455093207458</v>
      </c>
      <c r="U54" s="8" t="n">
        <v>625.778565256996</v>
      </c>
      <c r="V54" s="8" t="n">
        <v>554.354081565951</v>
      </c>
      <c r="W54" s="8" t="n">
        <v>889.941371438256</v>
      </c>
      <c r="X54" s="8" t="n">
        <v>2027</v>
      </c>
      <c r="Y54" s="3" t="n">
        <v>32630.8047084991</v>
      </c>
      <c r="Z54" s="3" t="n">
        <v>2876.52296377709</v>
      </c>
      <c r="AA54" s="3" t="n">
        <v>2513.35715129424</v>
      </c>
      <c r="AB54" s="3" t="n">
        <v>4034.85891872312</v>
      </c>
      <c r="AC54" s="3" t="n">
        <v>2837.18490476777</v>
      </c>
      <c r="AJ54" s="7" t="n">
        <v>2027</v>
      </c>
      <c r="AK54" s="6" t="n">
        <v>8005.55810928379</v>
      </c>
      <c r="AL54" s="7" t="n">
        <v>654.146511077458</v>
      </c>
      <c r="AM54" s="7" t="n">
        <v>640.385035082046</v>
      </c>
      <c r="AN54" s="7" t="n">
        <v>574.794600088223</v>
      </c>
      <c r="AO54" s="7" t="n">
        <v>908.61081570331</v>
      </c>
      <c r="AP54" s="7" t="n">
        <v>2027</v>
      </c>
      <c r="AQ54" s="2" t="n">
        <v>36295.9837280033</v>
      </c>
      <c r="AR54" s="2" t="n">
        <v>2965.80085956327</v>
      </c>
      <c r="AS54" s="2" t="n">
        <v>2606.03135558437</v>
      </c>
      <c r="AT54" s="2" t="n">
        <v>4119.50334151101</v>
      </c>
      <c r="AU54" s="2" t="n">
        <v>2903.40841896334</v>
      </c>
    </row>
    <row r="55" customFormat="false" ht="15" hidden="false" customHeight="false" outlineLevel="0" collapsed="false">
      <c r="A55" s="6" t="n">
        <v>6654.02673520301</v>
      </c>
      <c r="B55" s="7" t="n">
        <v>605.47124476172</v>
      </c>
      <c r="C55" s="7" t="n">
        <v>596.581438967827</v>
      </c>
      <c r="D55" s="7" t="n">
        <v>533.361592058692</v>
      </c>
      <c r="E55" s="7" t="n">
        <v>818.715628179458</v>
      </c>
      <c r="F55" s="7" t="n">
        <v>2027</v>
      </c>
      <c r="G55" s="4" t="n">
        <v>30168.3458929054</v>
      </c>
      <c r="H55" s="7" t="n">
        <v>2745.11460008768</v>
      </c>
      <c r="I55" s="7" t="n">
        <v>2418.18039445049</v>
      </c>
      <c r="J55" s="2" t="n">
        <v>3711.93222416346</v>
      </c>
      <c r="K55" s="7" t="n">
        <v>2704.80957175168</v>
      </c>
      <c r="R55" s="8" t="n">
        <v>2027</v>
      </c>
      <c r="S55" s="9" t="n">
        <v>7218.75144885262</v>
      </c>
      <c r="T55" s="8" t="n">
        <v>628.964009737921</v>
      </c>
      <c r="U55" s="8" t="n">
        <v>623.527367018835</v>
      </c>
      <c r="V55" s="8" t="n">
        <v>554.190899468133</v>
      </c>
      <c r="W55" s="8" t="n">
        <v>850.379427952493</v>
      </c>
      <c r="X55" s="8" t="n">
        <v>2027</v>
      </c>
      <c r="Y55" s="3" t="n">
        <v>32728.7219138674</v>
      </c>
      <c r="Z55" s="3" t="n">
        <v>2851.62722589864</v>
      </c>
      <c r="AA55" s="3" t="n">
        <v>2512.61730846426</v>
      </c>
      <c r="AB55" s="3" t="n">
        <v>3855.49107985349</v>
      </c>
      <c r="AC55" s="3" t="n">
        <v>2826.97831410846</v>
      </c>
      <c r="AJ55" s="7" t="n">
        <v>2027</v>
      </c>
      <c r="AK55" s="6" t="n">
        <v>8053.34672299482</v>
      </c>
      <c r="AL55" s="7" t="n">
        <v>649.66322488154</v>
      </c>
      <c r="AM55" s="7" t="n">
        <v>638.476019516792</v>
      </c>
      <c r="AN55" s="7" t="n">
        <v>573.0590790267</v>
      </c>
      <c r="AO55" s="7" t="n">
        <v>894.050099982905</v>
      </c>
      <c r="AP55" s="7" t="n">
        <v>2027</v>
      </c>
      <c r="AQ55" s="2" t="n">
        <v>36512.6500393287</v>
      </c>
      <c r="AR55" s="2" t="n">
        <v>2945.47432135148</v>
      </c>
      <c r="AS55" s="2" t="n">
        <v>2598.16276686779</v>
      </c>
      <c r="AT55" s="2" t="n">
        <v>4053.48726947188</v>
      </c>
      <c r="AU55" s="2" t="n">
        <v>2894.75323253572</v>
      </c>
    </row>
    <row r="56" customFormat="false" ht="15" hidden="false" customHeight="false" outlineLevel="0" collapsed="false">
      <c r="A56" s="6" t="n">
        <v>6679.09666018342</v>
      </c>
      <c r="B56" s="7" t="n">
        <v>764.895496964011</v>
      </c>
      <c r="C56" s="7" t="n">
        <v>745.546794689889</v>
      </c>
      <c r="D56" s="7" t="n">
        <v>679.673801758143</v>
      </c>
      <c r="E56" s="7" t="n">
        <v>973.405841838055</v>
      </c>
      <c r="F56" s="7" t="n">
        <v>2028</v>
      </c>
      <c r="G56" s="4" t="n">
        <v>30282.0091224679</v>
      </c>
      <c r="H56" s="7" t="n">
        <v>3467.91992918436</v>
      </c>
      <c r="I56" s="7" t="n">
        <v>3081.53771569722</v>
      </c>
      <c r="J56" s="2" t="n">
        <v>4413.27414201459</v>
      </c>
      <c r="K56" s="7" t="n">
        <v>3380.19585382163</v>
      </c>
      <c r="R56" s="8" t="n">
        <v>2028</v>
      </c>
      <c r="S56" s="9" t="n">
        <v>7270.36755869451</v>
      </c>
      <c r="T56" s="8" t="n">
        <v>790.572169720876</v>
      </c>
      <c r="U56" s="8" t="n">
        <v>773.838566256702</v>
      </c>
      <c r="V56" s="8" t="n">
        <v>705.56304384562</v>
      </c>
      <c r="W56" s="8" t="n">
        <v>1017.07420183506</v>
      </c>
      <c r="X56" s="8" t="n">
        <v>2028</v>
      </c>
      <c r="Y56" s="3" t="n">
        <v>32962.741510921</v>
      </c>
      <c r="Z56" s="3" t="n">
        <v>3584.3340609476</v>
      </c>
      <c r="AA56" s="3" t="n">
        <v>3198.91560449771</v>
      </c>
      <c r="AB56" s="3" t="n">
        <v>4611.25984922492</v>
      </c>
      <c r="AC56" s="3" t="n">
        <v>3508.46644612857</v>
      </c>
      <c r="AJ56" s="7" t="n">
        <v>2028</v>
      </c>
      <c r="AK56" s="6" t="n">
        <v>8113.54559267437</v>
      </c>
      <c r="AL56" s="7" t="n">
        <v>835.824586349618</v>
      </c>
      <c r="AM56" s="7" t="n">
        <v>813.26003287812</v>
      </c>
      <c r="AN56" s="7" t="n">
        <v>748.722925408266</v>
      </c>
      <c r="AO56" s="7" t="n">
        <v>1074.40029605809</v>
      </c>
      <c r="AP56" s="7" t="n">
        <v>2028</v>
      </c>
      <c r="AQ56" s="2" t="n">
        <v>36785.5825650197</v>
      </c>
      <c r="AR56" s="2" t="n">
        <v>3789.50164017046</v>
      </c>
      <c r="AS56" s="2" t="n">
        <v>3394.59594776868</v>
      </c>
      <c r="AT56" s="2" t="n">
        <v>4871.16764762015</v>
      </c>
      <c r="AU56" s="2" t="n">
        <v>3687.19738424589</v>
      </c>
    </row>
    <row r="57" customFormat="false" ht="15" hidden="false" customHeight="false" outlineLevel="0" collapsed="false">
      <c r="A57" s="6" t="n">
        <v>6739.62325760007</v>
      </c>
      <c r="B57" s="7" t="n">
        <v>615.937912974013</v>
      </c>
      <c r="C57" s="7" t="n">
        <v>607.713436040261</v>
      </c>
      <c r="D57" s="7" t="n">
        <v>542.80717292271</v>
      </c>
      <c r="E57" s="7" t="n">
        <v>846.412862423314</v>
      </c>
      <c r="F57" s="7" t="n">
        <v>2028</v>
      </c>
      <c r="G57" s="4" t="n">
        <v>30556.4275159086</v>
      </c>
      <c r="H57" s="7" t="n">
        <v>2792.56888296638</v>
      </c>
      <c r="I57" s="7" t="n">
        <v>2461.00522248395</v>
      </c>
      <c r="J57" s="2" t="n">
        <v>3837.50727460996</v>
      </c>
      <c r="K57" s="7" t="n">
        <v>2755.28035456102</v>
      </c>
      <c r="R57" s="8" t="n">
        <v>2028</v>
      </c>
      <c r="S57" s="9" t="n">
        <v>7283.30394738012</v>
      </c>
      <c r="T57" s="8" t="n">
        <v>646.62111895996</v>
      </c>
      <c r="U57" s="8" t="n">
        <v>631.088488717714</v>
      </c>
      <c r="V57" s="8" t="n">
        <v>564.555679043246</v>
      </c>
      <c r="W57" s="8" t="n">
        <v>874.804028506319</v>
      </c>
      <c r="X57" s="8" t="n">
        <v>2028</v>
      </c>
      <c r="Y57" s="3" t="n">
        <v>33021.3931310607</v>
      </c>
      <c r="Z57" s="3" t="n">
        <v>2931.68187546311</v>
      </c>
      <c r="AA57" s="3" t="n">
        <v>2559.60964374771</v>
      </c>
      <c r="AB57" s="3" t="n">
        <v>3966.22850654665</v>
      </c>
      <c r="AC57" s="3" t="n">
        <v>2861.25929070017</v>
      </c>
      <c r="AJ57" s="7" t="n">
        <v>2028</v>
      </c>
      <c r="AK57" s="6" t="n">
        <v>8165.71670434913</v>
      </c>
      <c r="AL57" s="7" t="n">
        <v>677.662609006472</v>
      </c>
      <c r="AM57" s="7" t="n">
        <v>660.369065546399</v>
      </c>
      <c r="AN57" s="7" t="n">
        <v>600.279803479188</v>
      </c>
      <c r="AO57" s="7" t="n">
        <v>953.689114326703</v>
      </c>
      <c r="AP57" s="7" t="n">
        <v>2028</v>
      </c>
      <c r="AQ57" s="2" t="n">
        <v>37022.1184560306</v>
      </c>
      <c r="AR57" s="2" t="n">
        <v>3072.41927343597</v>
      </c>
      <c r="AS57" s="2" t="n">
        <v>2721.57739434345</v>
      </c>
      <c r="AT57" s="2" t="n">
        <v>4323.88149616126</v>
      </c>
      <c r="AU57" s="2" t="n">
        <v>2994.01297577905</v>
      </c>
    </row>
    <row r="58" customFormat="false" ht="15" hidden="false" customHeight="false" outlineLevel="0" collapsed="false">
      <c r="A58" s="6" t="n">
        <v>6798.24986263291</v>
      </c>
      <c r="B58" s="7" t="n">
        <v>614.060989976237</v>
      </c>
      <c r="C58" s="7" t="n">
        <v>605.034965079128</v>
      </c>
      <c r="D58" s="7" t="n">
        <v>538.273730929627</v>
      </c>
      <c r="E58" s="7" t="n">
        <v>832.426405894947</v>
      </c>
      <c r="F58" s="7" t="n">
        <v>2028</v>
      </c>
      <c r="G58" s="4" t="n">
        <v>30822.231632655</v>
      </c>
      <c r="H58" s="7" t="n">
        <v>2784.05919936206</v>
      </c>
      <c r="I58" s="7" t="n">
        <v>2440.45128551084</v>
      </c>
      <c r="J58" s="2" t="n">
        <v>3774.09480646769</v>
      </c>
      <c r="K58" s="7" t="n">
        <v>2743.13657431558</v>
      </c>
      <c r="R58" s="8" t="n">
        <v>2028</v>
      </c>
      <c r="S58" s="9" t="n">
        <v>7329.55114897815</v>
      </c>
      <c r="T58" s="8" t="n">
        <v>659.902138204468</v>
      </c>
      <c r="U58" s="8" t="n">
        <v>641.281552037473</v>
      </c>
      <c r="V58" s="8" t="n">
        <v>584.033993170125</v>
      </c>
      <c r="W58" s="8" t="n">
        <v>867.231154016349</v>
      </c>
      <c r="X58" s="8" t="n">
        <v>2028</v>
      </c>
      <c r="Y58" s="3" t="n">
        <v>33231.0709141401</v>
      </c>
      <c r="Z58" s="3" t="n">
        <v>2991.89599817754</v>
      </c>
      <c r="AA58" s="3" t="n">
        <v>2647.92135955155</v>
      </c>
      <c r="AB58" s="3" t="n">
        <v>3931.8942445864</v>
      </c>
      <c r="AC58" s="3" t="n">
        <v>2907.47309058046</v>
      </c>
      <c r="AJ58" s="7" t="n">
        <v>2028</v>
      </c>
      <c r="AK58" s="6" t="n">
        <v>8194.51834574351</v>
      </c>
      <c r="AL58" s="7" t="n">
        <v>667.629663492877</v>
      </c>
      <c r="AM58" s="7" t="n">
        <v>651.695446321591</v>
      </c>
      <c r="AN58" s="7" t="n">
        <v>589.473803330886</v>
      </c>
      <c r="AO58" s="7" t="n">
        <v>940.177494656033</v>
      </c>
      <c r="AP58" s="7" t="n">
        <v>2028</v>
      </c>
      <c r="AQ58" s="2" t="n">
        <v>37152.7007206422</v>
      </c>
      <c r="AR58" s="2" t="n">
        <v>3026.93142335303</v>
      </c>
      <c r="AS58" s="2" t="n">
        <v>2672.58463204087</v>
      </c>
      <c r="AT58" s="2" t="n">
        <v>4262.62186616283</v>
      </c>
      <c r="AU58" s="2" t="n">
        <v>2954.68810448976</v>
      </c>
    </row>
    <row r="59" customFormat="false" ht="15" hidden="false" customHeight="false" outlineLevel="0" collapsed="false">
      <c r="A59" s="6" t="n">
        <v>6832.32838907614</v>
      </c>
      <c r="B59" s="7" t="n">
        <v>621.353229452098</v>
      </c>
      <c r="C59" s="7" t="n">
        <v>609.954280436323</v>
      </c>
      <c r="D59" s="7" t="n">
        <v>547.647834288898</v>
      </c>
      <c r="E59" s="7" t="n">
        <v>815.683643031208</v>
      </c>
      <c r="F59" s="7" t="n">
        <v>2028</v>
      </c>
      <c r="G59" s="4" t="n">
        <v>30976.738492061</v>
      </c>
      <c r="H59" s="7" t="n">
        <v>2817.12110482117</v>
      </c>
      <c r="I59" s="7" t="n">
        <v>2482.95204540142</v>
      </c>
      <c r="J59" s="2" t="n">
        <v>3698.18566432314</v>
      </c>
      <c r="K59" s="7" t="n">
        <v>2765.4400024739</v>
      </c>
      <c r="R59" s="8" t="n">
        <v>2028</v>
      </c>
      <c r="S59" s="9" t="n">
        <v>7374.2664048459</v>
      </c>
      <c r="T59" s="8" t="n">
        <v>653.402824627105</v>
      </c>
      <c r="U59" s="8" t="n">
        <v>633.885533663946</v>
      </c>
      <c r="V59" s="8" t="n">
        <v>576.999841307515</v>
      </c>
      <c r="W59" s="8" t="n">
        <v>869.422914959221</v>
      </c>
      <c r="X59" s="8" t="n">
        <v>2028</v>
      </c>
      <c r="Y59" s="3" t="n">
        <v>33433.803088114</v>
      </c>
      <c r="Z59" s="3" t="n">
        <v>2962.42909822792</v>
      </c>
      <c r="AA59" s="3" t="n">
        <v>2616.029584105</v>
      </c>
      <c r="AB59" s="3" t="n">
        <v>3941.83135558256</v>
      </c>
      <c r="AC59" s="3" t="n">
        <v>2873.94066737236</v>
      </c>
      <c r="AJ59" s="7" t="n">
        <v>2028</v>
      </c>
      <c r="AK59" s="6" t="n">
        <v>8273.78721964999</v>
      </c>
      <c r="AL59" s="7" t="n">
        <v>668.161392597902</v>
      </c>
      <c r="AM59" s="7" t="n">
        <v>657.677730271436</v>
      </c>
      <c r="AN59" s="7" t="n">
        <v>590.163191490203</v>
      </c>
      <c r="AO59" s="7" t="n">
        <v>958.351432515533</v>
      </c>
      <c r="AP59" s="7" t="n">
        <v>2028</v>
      </c>
      <c r="AQ59" s="2" t="n">
        <v>37512.0937471084</v>
      </c>
      <c r="AR59" s="2" t="n">
        <v>3029.34220229939</v>
      </c>
      <c r="AS59" s="2" t="n">
        <v>2675.71021317729</v>
      </c>
      <c r="AT59" s="2" t="n">
        <v>4345.0197382184</v>
      </c>
      <c r="AU59" s="2" t="n">
        <v>2981.81087068991</v>
      </c>
    </row>
    <row r="60" customFormat="false" ht="15" hidden="false" customHeight="false" outlineLevel="0" collapsed="false">
      <c r="A60" s="6" t="n">
        <v>6811.34558230078</v>
      </c>
      <c r="B60" s="7" t="n">
        <v>764.573402260313</v>
      </c>
      <c r="C60" s="7" t="n">
        <v>751.264211208075</v>
      </c>
      <c r="D60" s="7" t="n">
        <v>687.807433547849</v>
      </c>
      <c r="E60" s="7" t="n">
        <v>968.336967807642</v>
      </c>
      <c r="F60" s="7" t="n">
        <v>2029</v>
      </c>
      <c r="G60" s="4" t="n">
        <v>30881.6056352521</v>
      </c>
      <c r="H60" s="7" t="n">
        <v>3466.45960075195</v>
      </c>
      <c r="I60" s="7" t="n">
        <v>3118.41436602674</v>
      </c>
      <c r="J60" s="2" t="n">
        <v>4390.29263756285</v>
      </c>
      <c r="K60" s="7" t="n">
        <v>3406.11775134301</v>
      </c>
      <c r="R60" s="8" t="n">
        <v>2029</v>
      </c>
      <c r="S60" s="9" t="n">
        <v>7432.44980643767</v>
      </c>
      <c r="T60" s="8" t="n">
        <v>810.1757075535</v>
      </c>
      <c r="U60" s="8" t="n">
        <v>792.540765208546</v>
      </c>
      <c r="V60" s="8" t="n">
        <v>732.701178075928</v>
      </c>
      <c r="W60" s="8" t="n">
        <v>1050.3190692047</v>
      </c>
      <c r="X60" s="8" t="n">
        <v>2029</v>
      </c>
      <c r="Y60" s="3" t="n">
        <v>33697.5977878196</v>
      </c>
      <c r="Z60" s="3" t="n">
        <v>3673.21352200093</v>
      </c>
      <c r="AA60" s="3" t="n">
        <v>3321.95578045863</v>
      </c>
      <c r="AB60" s="3" t="n">
        <v>4761.98702509649</v>
      </c>
      <c r="AC60" s="3" t="n">
        <v>3593.25937368809</v>
      </c>
      <c r="AJ60" s="7" t="n">
        <v>2029</v>
      </c>
      <c r="AK60" s="6" t="n">
        <v>8306.59869676766</v>
      </c>
      <c r="AL60" s="7" t="n">
        <v>847.626300496193</v>
      </c>
      <c r="AM60" s="7" t="n">
        <v>822.705415335187</v>
      </c>
      <c r="AN60" s="7" t="n">
        <v>762.176293050735</v>
      </c>
      <c r="AO60" s="7" t="n">
        <v>1092.73924448976</v>
      </c>
      <c r="AP60" s="7" t="n">
        <v>2029</v>
      </c>
      <c r="AQ60" s="2" t="n">
        <v>37660.8559974472</v>
      </c>
      <c r="AR60" s="2" t="n">
        <v>3843.00881840577</v>
      </c>
      <c r="AS60" s="2" t="n">
        <v>3455.59147192478</v>
      </c>
      <c r="AT60" s="2" t="n">
        <v>4954.3136525305</v>
      </c>
      <c r="AU60" s="2" t="n">
        <v>3730.02131273239</v>
      </c>
    </row>
    <row r="61" customFormat="false" ht="15" hidden="false" customHeight="false" outlineLevel="0" collapsed="false">
      <c r="A61" s="6" t="n">
        <v>6815.8246062015</v>
      </c>
      <c r="B61" s="7" t="n">
        <v>616.910407654893</v>
      </c>
      <c r="C61" s="7" t="n">
        <v>611.757388474908</v>
      </c>
      <c r="D61" s="7" t="n">
        <v>546.807897501112</v>
      </c>
      <c r="E61" s="7" t="n">
        <v>844.259027837257</v>
      </c>
      <c r="F61" s="7" t="n">
        <v>2029</v>
      </c>
      <c r="G61" s="4" t="n">
        <v>30901.9128488652</v>
      </c>
      <c r="H61" s="7" t="n">
        <v>2796.9780260431</v>
      </c>
      <c r="I61" s="7" t="n">
        <v>2479.14389966493</v>
      </c>
      <c r="J61" s="2" t="n">
        <v>3827.74211595129</v>
      </c>
      <c r="K61" s="7" t="n">
        <v>2773.61502027215</v>
      </c>
      <c r="R61" s="8" t="n">
        <v>2029</v>
      </c>
      <c r="S61" s="9" t="n">
        <v>7450.32391875337</v>
      </c>
      <c r="T61" s="8" t="n">
        <v>659.124773338269</v>
      </c>
      <c r="U61" s="8" t="n">
        <v>637.797681601689</v>
      </c>
      <c r="V61" s="8" t="n">
        <v>572.54338303229</v>
      </c>
      <c r="W61" s="8" t="n">
        <v>938.450707604707</v>
      </c>
      <c r="X61" s="8" t="n">
        <v>2029</v>
      </c>
      <c r="Y61" s="3" t="n">
        <v>33778.6362964291</v>
      </c>
      <c r="Z61" s="3" t="n">
        <v>2988.37154402343</v>
      </c>
      <c r="AA61" s="3" t="n">
        <v>2595.82467960814</v>
      </c>
      <c r="AB61" s="3" t="n">
        <v>4254.79287612103</v>
      </c>
      <c r="AC61" s="3" t="n">
        <v>2891.67775152708</v>
      </c>
      <c r="AJ61" s="7" t="n">
        <v>2029</v>
      </c>
      <c r="AK61" s="6" t="n">
        <v>8353.7789644786</v>
      </c>
      <c r="AL61" s="7" t="n">
        <v>690.243421697361</v>
      </c>
      <c r="AM61" s="7" t="n">
        <v>665.230682602416</v>
      </c>
      <c r="AN61" s="7" t="n">
        <v>594.331809051066</v>
      </c>
      <c r="AO61" s="7" t="n">
        <v>996.473430963438</v>
      </c>
      <c r="AP61" s="7" t="n">
        <v>2029</v>
      </c>
      <c r="AQ61" s="2" t="n">
        <v>37874.7641604687</v>
      </c>
      <c r="AR61" s="2" t="n">
        <v>3129.45876605848</v>
      </c>
      <c r="AS61" s="2" t="n">
        <v>2694.61009162323</v>
      </c>
      <c r="AT61" s="2" t="n">
        <v>4517.85908513907</v>
      </c>
      <c r="AU61" s="2" t="n">
        <v>3016.05480860921</v>
      </c>
    </row>
    <row r="62" customFormat="false" ht="15" hidden="false" customHeight="false" outlineLevel="0" collapsed="false">
      <c r="A62" s="6" t="n">
        <v>6825.53751255676</v>
      </c>
      <c r="B62" s="7" t="n">
        <v>622.767838148741</v>
      </c>
      <c r="C62" s="7" t="n">
        <v>608.956761650436</v>
      </c>
      <c r="D62" s="7" t="n">
        <v>543.61494400049</v>
      </c>
      <c r="E62" s="7" t="n">
        <v>842.194768965706</v>
      </c>
      <c r="F62" s="7" t="n">
        <v>2029</v>
      </c>
      <c r="G62" s="4" t="n">
        <v>30945.949690046</v>
      </c>
      <c r="H62" s="7" t="n">
        <v>2823.53472564984</v>
      </c>
      <c r="I62" s="7" t="n">
        <v>2464.66753378003</v>
      </c>
      <c r="J62" s="2" t="n">
        <v>3818.38307996786</v>
      </c>
      <c r="K62" s="7" t="n">
        <v>2760.91740390842</v>
      </c>
      <c r="R62" s="8" t="n">
        <v>2029</v>
      </c>
      <c r="S62" s="9" t="n">
        <v>7499.18751456074</v>
      </c>
      <c r="T62" s="8" t="n">
        <v>658.071400342394</v>
      </c>
      <c r="U62" s="8" t="n">
        <v>635.279813976574</v>
      </c>
      <c r="V62" s="8" t="n">
        <v>574.45814404536</v>
      </c>
      <c r="W62" s="8" t="n">
        <v>906.070349149821</v>
      </c>
      <c r="X62" s="8" t="n">
        <v>2029</v>
      </c>
      <c r="Y62" s="3" t="n">
        <v>34000.1764131962</v>
      </c>
      <c r="Z62" s="3" t="n">
        <v>2983.59571095896</v>
      </c>
      <c r="AA62" s="3" t="n">
        <v>2604.50591502292</v>
      </c>
      <c r="AB62" s="3" t="n">
        <v>4107.98525227498</v>
      </c>
      <c r="AC62" s="3" t="n">
        <v>2880.26212239756</v>
      </c>
      <c r="AJ62" s="7" t="n">
        <v>2029</v>
      </c>
      <c r="AK62" s="6" t="n">
        <v>8423.27361917664</v>
      </c>
      <c r="AL62" s="7" t="n">
        <v>683.221637699413</v>
      </c>
      <c r="AM62" s="7" t="n">
        <v>664.846069559274</v>
      </c>
      <c r="AN62" s="7" t="n">
        <v>591.926447784329</v>
      </c>
      <c r="AO62" s="7" t="n">
        <v>1039.24179749157</v>
      </c>
      <c r="AP62" s="7" t="n">
        <v>2029</v>
      </c>
      <c r="AQ62" s="2" t="n">
        <v>38189.8423625966</v>
      </c>
      <c r="AR62" s="2" t="n">
        <v>3097.62306463056</v>
      </c>
      <c r="AS62" s="2" t="n">
        <v>2683.7045492231</v>
      </c>
      <c r="AT62" s="2" t="n">
        <v>4711.76435874869</v>
      </c>
      <c r="AU62" s="2" t="n">
        <v>3014.31103152772</v>
      </c>
    </row>
    <row r="63" customFormat="false" ht="15" hidden="false" customHeight="false" outlineLevel="0" collapsed="false">
      <c r="A63" s="6" t="n">
        <v>6863.42860162839</v>
      </c>
      <c r="B63" s="7" t="n">
        <v>618.171699295924</v>
      </c>
      <c r="C63" s="7" t="n">
        <v>608.711221938411</v>
      </c>
      <c r="D63" s="7" t="n">
        <v>547.815561210229</v>
      </c>
      <c r="E63" s="7" t="n">
        <v>837.433081557163</v>
      </c>
      <c r="F63" s="7" t="n">
        <v>2029</v>
      </c>
      <c r="G63" s="4" t="n">
        <v>31117.7421289499</v>
      </c>
      <c r="H63" s="7" t="n">
        <v>2802.6965306438</v>
      </c>
      <c r="I63" s="7" t="n">
        <v>2483.71249377045</v>
      </c>
      <c r="J63" s="2" t="n">
        <v>3796.79431297136</v>
      </c>
      <c r="K63" s="7" t="n">
        <v>2759.8041641729</v>
      </c>
      <c r="R63" s="8" t="n">
        <v>2029</v>
      </c>
      <c r="S63" s="9" t="n">
        <v>7550.59928983838</v>
      </c>
      <c r="T63" s="8" t="n">
        <v>648.656440121218</v>
      </c>
      <c r="U63" s="8" t="n">
        <v>628.813896731458</v>
      </c>
      <c r="V63" s="8" t="n">
        <v>570.315794650227</v>
      </c>
      <c r="W63" s="8" t="n">
        <v>918.963040694484</v>
      </c>
      <c r="X63" s="8" t="n">
        <v>2029</v>
      </c>
      <c r="Y63" s="3" t="n">
        <v>34233.2695883917</v>
      </c>
      <c r="Z63" s="3" t="n">
        <v>2940.90971226622</v>
      </c>
      <c r="AA63" s="3" t="n">
        <v>2585.72513244799</v>
      </c>
      <c r="AB63" s="3" t="n">
        <v>4166.43875621902</v>
      </c>
      <c r="AC63" s="3" t="n">
        <v>2850.94663634254</v>
      </c>
      <c r="AJ63" s="7" t="n">
        <v>2029</v>
      </c>
      <c r="AK63" s="6" t="n">
        <v>8476.00583735639</v>
      </c>
      <c r="AL63" s="7" t="n">
        <v>681.401908086092</v>
      </c>
      <c r="AM63" s="7" t="n">
        <v>667.518877716926</v>
      </c>
      <c r="AN63" s="7" t="n">
        <v>604.122590281731</v>
      </c>
      <c r="AO63" s="7" t="n">
        <v>963.693981216772</v>
      </c>
      <c r="AP63" s="7" t="n">
        <v>2029</v>
      </c>
      <c r="AQ63" s="2" t="n">
        <v>38428.9222252203</v>
      </c>
      <c r="AR63" s="2" t="n">
        <v>3089.37268713872</v>
      </c>
      <c r="AS63" s="2" t="n">
        <v>2739.00000565315</v>
      </c>
      <c r="AT63" s="2" t="n">
        <v>4369.24204203272</v>
      </c>
      <c r="AU63" s="2" t="n">
        <v>3026.42913748285</v>
      </c>
    </row>
    <row r="64" customFormat="false" ht="15" hidden="false" customHeight="false" outlineLevel="0" collapsed="false">
      <c r="A64" s="6" t="n">
        <v>6894.53768803128</v>
      </c>
      <c r="B64" s="7" t="n">
        <v>775.470140690616</v>
      </c>
      <c r="C64" s="7" t="n">
        <v>761.8313501985</v>
      </c>
      <c r="D64" s="7" t="n">
        <v>700.457592690959</v>
      </c>
      <c r="E64" s="7" t="n">
        <v>996.23404358988</v>
      </c>
      <c r="F64" s="7" t="n">
        <v>2030</v>
      </c>
      <c r="G64" s="4" t="n">
        <v>31258.7859985288</v>
      </c>
      <c r="H64" s="7" t="n">
        <v>3515.86375663409</v>
      </c>
      <c r="I64" s="7" t="n">
        <v>3175.76826492387</v>
      </c>
      <c r="J64" s="2" t="n">
        <v>4516.77373917109</v>
      </c>
      <c r="K64" s="7" t="n">
        <v>3454.02755345952</v>
      </c>
      <c r="R64" s="8" t="n">
        <v>2030</v>
      </c>
      <c r="S64" s="9" t="n">
        <v>7617.30976267224</v>
      </c>
      <c r="T64" s="8" t="n">
        <v>824.43660705978</v>
      </c>
      <c r="U64" s="8" t="n">
        <v>796.464931683343</v>
      </c>
      <c r="V64" s="8" t="n">
        <v>740.753259412241</v>
      </c>
      <c r="W64" s="8" t="n">
        <v>1081.96977221667</v>
      </c>
      <c r="X64" s="8" t="n">
        <v>2030</v>
      </c>
      <c r="Y64" s="3" t="n">
        <v>34535.7247331063</v>
      </c>
      <c r="Z64" s="3" t="n">
        <v>3737.87027289333</v>
      </c>
      <c r="AA64" s="3" t="n">
        <v>3358.46269342706</v>
      </c>
      <c r="AB64" s="3" t="n">
        <v>4905.48650206238</v>
      </c>
      <c r="AC64" s="3" t="n">
        <v>3611.05094806315</v>
      </c>
      <c r="AJ64" s="7" t="n">
        <v>2030</v>
      </c>
      <c r="AK64" s="6" t="n">
        <v>8550.6833652185</v>
      </c>
      <c r="AL64" s="7" t="n">
        <v>852.754229635108</v>
      </c>
      <c r="AM64" s="7" t="n">
        <v>831.527242607558</v>
      </c>
      <c r="AN64" s="7" t="n">
        <v>771.107274201426</v>
      </c>
      <c r="AO64" s="7" t="n">
        <v>1126.97064399641</v>
      </c>
      <c r="AP64" s="7" t="n">
        <v>2030</v>
      </c>
      <c r="AQ64" s="2" t="n">
        <v>38767.4987865455</v>
      </c>
      <c r="AR64" s="2" t="n">
        <v>3866.25806974386</v>
      </c>
      <c r="AS64" s="2" t="n">
        <v>3496.0831830704</v>
      </c>
      <c r="AT64" s="2" t="n">
        <v>5109.51361517137</v>
      </c>
      <c r="AU64" s="2" t="n">
        <v>3770.01813678366</v>
      </c>
    </row>
    <row r="65" customFormat="false" ht="15" hidden="false" customHeight="false" outlineLevel="0" collapsed="false">
      <c r="A65" s="6" t="n">
        <v>6901.69906931936</v>
      </c>
      <c r="B65" s="7" t="n">
        <v>644.968056025633</v>
      </c>
      <c r="C65" s="7" t="n">
        <v>632.380034259002</v>
      </c>
      <c r="D65" s="7" t="n">
        <v>568.776519706903</v>
      </c>
      <c r="E65" s="7" t="n">
        <v>910.421822662381</v>
      </c>
      <c r="F65" s="7" t="n">
        <v>2030</v>
      </c>
      <c r="G65" s="4" t="n">
        <v>31291.2546128532</v>
      </c>
      <c r="H65" s="7" t="n">
        <v>2924.18713936268</v>
      </c>
      <c r="I65" s="7" t="n">
        <v>2578.74629380449</v>
      </c>
      <c r="J65" s="2" t="n">
        <v>4127.71417181421</v>
      </c>
      <c r="K65" s="7" t="n">
        <v>2867.11496188644</v>
      </c>
      <c r="R65" s="8" t="n">
        <v>2030</v>
      </c>
      <c r="S65" s="9" t="n">
        <v>7618.80198577028</v>
      </c>
      <c r="T65" s="8" t="n">
        <v>670.145562247989</v>
      </c>
      <c r="U65" s="8" t="n">
        <v>647.329717104375</v>
      </c>
      <c r="V65" s="8" t="n">
        <v>592.246350529901</v>
      </c>
      <c r="W65" s="8" t="n">
        <v>898.132524153751</v>
      </c>
      <c r="X65" s="8" t="n">
        <v>2030</v>
      </c>
      <c r="Y65" s="3" t="n">
        <v>34542.4902458346</v>
      </c>
      <c r="Z65" s="3" t="n">
        <v>3038.3381259252</v>
      </c>
      <c r="AA65" s="3" t="n">
        <v>2685.15493965052</v>
      </c>
      <c r="AB65" s="3" t="n">
        <v>4071.99636018774</v>
      </c>
      <c r="AC65" s="3" t="n">
        <v>2934.89455175229</v>
      </c>
      <c r="AJ65" s="7" t="n">
        <v>2030</v>
      </c>
      <c r="AK65" s="6" t="n">
        <v>8578.9802451737</v>
      </c>
      <c r="AL65" s="7" t="n">
        <v>693.56920457031</v>
      </c>
      <c r="AM65" s="7" t="n">
        <v>681.164432463809</v>
      </c>
      <c r="AN65" s="7" t="n">
        <v>619.337024153657</v>
      </c>
      <c r="AO65" s="7" t="n">
        <v>1000.88378205523</v>
      </c>
      <c r="AP65" s="7" t="n">
        <v>2030</v>
      </c>
      <c r="AQ65" s="2" t="n">
        <v>38895.792539509</v>
      </c>
      <c r="AR65" s="2" t="n">
        <v>3144.5373601292</v>
      </c>
      <c r="AS65" s="2" t="n">
        <v>2807.97993643472</v>
      </c>
      <c r="AT65" s="2" t="n">
        <v>4537.85494667393</v>
      </c>
      <c r="AU65" s="2" t="n">
        <v>3088.29600876045</v>
      </c>
    </row>
    <row r="66" customFormat="false" ht="15" hidden="false" customHeight="false" outlineLevel="0" collapsed="false">
      <c r="A66" s="6" t="n">
        <v>6909.86609696262</v>
      </c>
      <c r="B66" s="7" t="n">
        <v>644.803242483789</v>
      </c>
      <c r="C66" s="7" t="n">
        <v>631.612930735025</v>
      </c>
      <c r="D66" s="7" t="n">
        <v>564.333008148595</v>
      </c>
      <c r="E66" s="7" t="n">
        <v>900.230013693842</v>
      </c>
      <c r="F66" s="7" t="n">
        <v>2030</v>
      </c>
      <c r="G66" s="4" t="n">
        <v>31328.282674907</v>
      </c>
      <c r="H66" s="7" t="n">
        <v>2923.43989981345</v>
      </c>
      <c r="I66" s="7" t="n">
        <v>2558.60008775441</v>
      </c>
      <c r="J66" s="2" t="n">
        <v>4081.50605897171</v>
      </c>
      <c r="K66" s="7" t="n">
        <v>2863.63703109837</v>
      </c>
      <c r="R66" s="8" t="n">
        <v>2030</v>
      </c>
      <c r="S66" s="9" t="n">
        <v>7643.23218302543</v>
      </c>
      <c r="T66" s="8" t="n">
        <v>680.501212610937</v>
      </c>
      <c r="U66" s="8" t="n">
        <v>657.548813361142</v>
      </c>
      <c r="V66" s="8" t="n">
        <v>604.154410425264</v>
      </c>
      <c r="W66" s="8" t="n">
        <v>888.987930917998</v>
      </c>
      <c r="X66" s="8" t="n">
        <v>2030</v>
      </c>
      <c r="Y66" s="3" t="n">
        <v>34653.2530471209</v>
      </c>
      <c r="Z66" s="3" t="n">
        <v>3085.28907074822</v>
      </c>
      <c r="AA66" s="3" t="n">
        <v>2739.14427334768</v>
      </c>
      <c r="AB66" s="3" t="n">
        <v>4030.53616431468</v>
      </c>
      <c r="AC66" s="3" t="n">
        <v>2981.22638101231</v>
      </c>
      <c r="AJ66" s="7" t="n">
        <v>2030</v>
      </c>
      <c r="AK66" s="6" t="n">
        <v>8607.17943316871</v>
      </c>
      <c r="AL66" s="7" t="n">
        <v>689.213665303427</v>
      </c>
      <c r="AM66" s="7" t="n">
        <v>676.322117826514</v>
      </c>
      <c r="AN66" s="7" t="n">
        <v>613.198626107868</v>
      </c>
      <c r="AO66" s="7" t="n">
        <v>1020.63692292394</v>
      </c>
      <c r="AP66" s="7" t="n">
        <v>2030</v>
      </c>
      <c r="AQ66" s="2" t="n">
        <v>39023.6433719729</v>
      </c>
      <c r="AR66" s="2" t="n">
        <v>3124.79000707781</v>
      </c>
      <c r="AS66" s="2" t="n">
        <v>2780.14937265084</v>
      </c>
      <c r="AT66" s="2" t="n">
        <v>4627.41268515517</v>
      </c>
      <c r="AU66" s="2" t="n">
        <v>3066.34169016306</v>
      </c>
    </row>
    <row r="67" customFormat="false" ht="15" hidden="false" customHeight="false" outlineLevel="0" collapsed="false">
      <c r="A67" s="6" t="n">
        <v>6950.04932928271</v>
      </c>
      <c r="B67" s="7" t="n">
        <v>639.845380076021</v>
      </c>
      <c r="C67" s="7" t="n">
        <v>629.257604438017</v>
      </c>
      <c r="D67" s="7" t="n">
        <v>566.360142804034</v>
      </c>
      <c r="E67" s="7" t="n">
        <v>845.370044549244</v>
      </c>
      <c r="F67" s="7" t="n">
        <v>2030</v>
      </c>
      <c r="G67" s="4" t="n">
        <v>31510.4673429238</v>
      </c>
      <c r="H67" s="7" t="n">
        <v>2900.96170518648</v>
      </c>
      <c r="I67" s="7" t="n">
        <v>2567.79080818438</v>
      </c>
      <c r="J67" s="2" t="n">
        <v>3832.77929686352</v>
      </c>
      <c r="K67" s="7" t="n">
        <v>2852.95833964634</v>
      </c>
      <c r="R67" s="8" t="n">
        <v>2030</v>
      </c>
      <c r="S67" s="9" t="n">
        <v>7684.89852004179</v>
      </c>
      <c r="T67" s="8" t="n">
        <v>674.529384488916</v>
      </c>
      <c r="U67" s="8" t="n">
        <v>653.988153514179</v>
      </c>
      <c r="V67" s="8" t="n">
        <v>599.251083803068</v>
      </c>
      <c r="W67" s="8" t="n">
        <v>867.221442854989</v>
      </c>
      <c r="X67" s="8" t="n">
        <v>2030</v>
      </c>
      <c r="Y67" s="3" t="n">
        <v>34842.1618864181</v>
      </c>
      <c r="Z67" s="3" t="n">
        <v>3058.21370968227</v>
      </c>
      <c r="AA67" s="3" t="n">
        <v>2716.91333568377</v>
      </c>
      <c r="AB67" s="3" t="n">
        <v>3931.85021565676</v>
      </c>
      <c r="AC67" s="3" t="n">
        <v>2965.08289043962</v>
      </c>
      <c r="AJ67" s="7" t="n">
        <v>2030</v>
      </c>
      <c r="AK67" s="6" t="n">
        <v>8675.3156799829</v>
      </c>
      <c r="AL67" s="7" t="n">
        <v>709.093936331301</v>
      </c>
      <c r="AM67" s="7" t="n">
        <v>684.918153297544</v>
      </c>
      <c r="AN67" s="7" t="n">
        <v>627.067477915162</v>
      </c>
      <c r="AO67" s="7" t="n">
        <v>1021.34002655214</v>
      </c>
      <c r="AP67" s="7" t="n">
        <v>2030</v>
      </c>
      <c r="AQ67" s="2" t="n">
        <v>39332.5627592155</v>
      </c>
      <c r="AR67" s="2" t="n">
        <v>3214.92413437859</v>
      </c>
      <c r="AS67" s="2" t="n">
        <v>2843.02863886213</v>
      </c>
      <c r="AT67" s="2" t="n">
        <v>4630.60045014293</v>
      </c>
      <c r="AU67" s="2" t="n">
        <v>3105.31480850444</v>
      </c>
    </row>
    <row r="68" customFormat="false" ht="15" hidden="false" customHeight="false" outlineLevel="0" collapsed="false">
      <c r="A68" s="6" t="n">
        <v>6991.14501554312</v>
      </c>
      <c r="B68" s="7" t="n">
        <v>786.180929938631</v>
      </c>
      <c r="C68" s="7" t="n">
        <v>769.669142396094</v>
      </c>
      <c r="D68" s="7" t="n">
        <v>711.251746962697</v>
      </c>
      <c r="E68" s="7" t="n">
        <v>996.302279333635</v>
      </c>
      <c r="F68" s="7" t="n">
        <v>2031</v>
      </c>
      <c r="G68" s="4" t="n">
        <v>31696.7889384249</v>
      </c>
      <c r="H68" s="7" t="n">
        <v>3564.42484718557</v>
      </c>
      <c r="I68" s="7" t="n">
        <v>3224.70731982252</v>
      </c>
      <c r="J68" s="2" t="n">
        <v>4517.08310966234</v>
      </c>
      <c r="K68" s="7" t="n">
        <v>3489.56291204214</v>
      </c>
      <c r="R68" s="8" t="n">
        <v>2031</v>
      </c>
      <c r="S68" s="9" t="n">
        <v>7699.34059782522</v>
      </c>
      <c r="T68" s="8" t="n">
        <v>836.357986016543</v>
      </c>
      <c r="U68" s="8" t="n">
        <v>820.873953670292</v>
      </c>
      <c r="V68" s="8" t="n">
        <v>756.589755798346</v>
      </c>
      <c r="W68" s="8" t="n">
        <v>1097.6991882708</v>
      </c>
      <c r="X68" s="8" t="n">
        <v>2031</v>
      </c>
      <c r="Y68" s="3" t="n">
        <v>34907.6400720824</v>
      </c>
      <c r="Z68" s="3" t="n">
        <v>3791.91999319056</v>
      </c>
      <c r="AA68" s="3" t="n">
        <v>3430.2629611026</v>
      </c>
      <c r="AB68" s="3" t="n">
        <v>4976.80128378755</v>
      </c>
      <c r="AC68" s="3" t="n">
        <v>3721.71774390183</v>
      </c>
      <c r="AJ68" s="7" t="n">
        <v>2031</v>
      </c>
      <c r="AK68" s="6" t="n">
        <v>8702.3634226765</v>
      </c>
      <c r="AL68" s="7" t="n">
        <v>866.102658864876</v>
      </c>
      <c r="AM68" s="7" t="n">
        <v>848.525957975112</v>
      </c>
      <c r="AN68" s="7" t="n">
        <v>788.391796240779</v>
      </c>
      <c r="AO68" s="7" t="n">
        <v>1141.43850170328</v>
      </c>
      <c r="AP68" s="7" t="n">
        <v>2031</v>
      </c>
      <c r="AQ68" s="2" t="n">
        <v>39455.1931136873</v>
      </c>
      <c r="AR68" s="2" t="n">
        <v>3926.77781908604</v>
      </c>
      <c r="AS68" s="2" t="n">
        <v>3574.44857897692</v>
      </c>
      <c r="AT68" s="2" t="n">
        <v>5175.10868309033</v>
      </c>
      <c r="AU68" s="2" t="n">
        <v>3847.08772867909</v>
      </c>
    </row>
    <row r="69" customFormat="false" ht="15" hidden="false" customHeight="false" outlineLevel="0" collapsed="false">
      <c r="A69" s="6" t="n">
        <v>6968.66797999024</v>
      </c>
      <c r="B69" s="7" t="n">
        <v>650.374340919054</v>
      </c>
      <c r="C69" s="7" t="n">
        <v>623.907315404393</v>
      </c>
      <c r="D69" s="7" t="n">
        <v>563.339879434275</v>
      </c>
      <c r="E69" s="7" t="n">
        <v>859.465898349195</v>
      </c>
      <c r="F69" s="7" t="n">
        <v>2031</v>
      </c>
      <c r="G69" s="4" t="n">
        <v>31594.8814754418</v>
      </c>
      <c r="H69" s="7" t="n">
        <v>2948.69841338529</v>
      </c>
      <c r="I69" s="7" t="n">
        <v>2554.09739310618</v>
      </c>
      <c r="J69" s="2" t="n">
        <v>3896.6877556082</v>
      </c>
      <c r="K69" s="7" t="n">
        <v>2828.70094234142</v>
      </c>
      <c r="R69" s="8" t="n">
        <v>2031</v>
      </c>
      <c r="S69" s="9" t="n">
        <v>7741.09717587669</v>
      </c>
      <c r="T69" s="8" t="n">
        <v>690.147349185797</v>
      </c>
      <c r="U69" s="8" t="n">
        <v>666.413240448971</v>
      </c>
      <c r="V69" s="8" t="n">
        <v>602.560713608291</v>
      </c>
      <c r="W69" s="8" t="n">
        <v>970.153678762791</v>
      </c>
      <c r="X69" s="8" t="n">
        <v>2031</v>
      </c>
      <c r="Y69" s="3" t="n">
        <v>35096.9580505174</v>
      </c>
      <c r="Z69" s="3" t="n">
        <v>3129.02318789281</v>
      </c>
      <c r="AA69" s="3" t="n">
        <v>2731.91869420047</v>
      </c>
      <c r="AB69" s="3" t="n">
        <v>4398.52932891734</v>
      </c>
      <c r="AC69" s="3" t="n">
        <v>3021.41634615226</v>
      </c>
      <c r="AJ69" s="7" t="n">
        <v>2031</v>
      </c>
      <c r="AK69" s="6" t="n">
        <v>8763.3871611406</v>
      </c>
      <c r="AL69" s="7" t="n">
        <v>700.595808424447</v>
      </c>
      <c r="AM69" s="7" t="n">
        <v>682.457212855389</v>
      </c>
      <c r="AN69" s="7" t="n">
        <v>617.852402438343</v>
      </c>
      <c r="AO69" s="7" t="n">
        <v>1031.68900009274</v>
      </c>
      <c r="AP69" s="7" t="n">
        <v>2031</v>
      </c>
      <c r="AQ69" s="2" t="n">
        <v>39731.8654690783</v>
      </c>
      <c r="AR69" s="2" t="n">
        <v>3176.39491405253</v>
      </c>
      <c r="AS69" s="2" t="n">
        <v>2801.24888722045</v>
      </c>
      <c r="AT69" s="2" t="n">
        <v>4677.52112326822</v>
      </c>
      <c r="AU69" s="2" t="n">
        <v>3094.15727857027</v>
      </c>
    </row>
    <row r="70" customFormat="false" ht="15" hidden="false" customHeight="false" outlineLevel="0" collapsed="false">
      <c r="A70" s="6" t="n">
        <v>6995.38530122379</v>
      </c>
      <c r="B70" s="7" t="n">
        <v>649.71493044774</v>
      </c>
      <c r="C70" s="7" t="n">
        <v>630.801456427843</v>
      </c>
      <c r="D70" s="7" t="n">
        <v>572.07154011317</v>
      </c>
      <c r="E70" s="7" t="n">
        <v>909.629033263069</v>
      </c>
      <c r="F70" s="7" t="n">
        <v>2031</v>
      </c>
      <c r="G70" s="4" t="n">
        <v>31716.0137492335</v>
      </c>
      <c r="H70" s="7" t="n">
        <v>2945.70874653007</v>
      </c>
      <c r="I70" s="7" t="n">
        <v>2593.68541552677</v>
      </c>
      <c r="J70" s="2" t="n">
        <v>4124.11978517129</v>
      </c>
      <c r="K70" s="7" t="n">
        <v>2859.95792992303</v>
      </c>
      <c r="R70" s="8" t="n">
        <v>2031</v>
      </c>
      <c r="S70" s="9" t="n">
        <v>7795.85679897538</v>
      </c>
      <c r="T70" s="8" t="n">
        <v>696.788149667133</v>
      </c>
      <c r="U70" s="8" t="n">
        <v>673.176153105652</v>
      </c>
      <c r="V70" s="8" t="n">
        <v>611.487343474117</v>
      </c>
      <c r="W70" s="8" t="n">
        <v>987.473177837758</v>
      </c>
      <c r="X70" s="8" t="n">
        <v>2031</v>
      </c>
      <c r="Y70" s="3" t="n">
        <v>35345.2298589047</v>
      </c>
      <c r="Z70" s="3" t="n">
        <v>3159.1315679609</v>
      </c>
      <c r="AA70" s="3" t="n">
        <v>2772.39067728185</v>
      </c>
      <c r="AB70" s="3" t="n">
        <v>4477.05330538728</v>
      </c>
      <c r="AC70" s="3" t="n">
        <v>3052.07836426392</v>
      </c>
      <c r="AJ70" s="7" t="n">
        <v>2031</v>
      </c>
      <c r="AK70" s="6" t="n">
        <v>8833.61220922879</v>
      </c>
      <c r="AL70" s="7" t="n">
        <v>692.332662652708</v>
      </c>
      <c r="AM70" s="7" t="n">
        <v>668.497074934096</v>
      </c>
      <c r="AN70" s="7" t="n">
        <v>607.841820865307</v>
      </c>
      <c r="AO70" s="7" t="n">
        <v>997.328341608705</v>
      </c>
      <c r="AP70" s="7" t="n">
        <v>2031</v>
      </c>
      <c r="AQ70" s="2" t="n">
        <v>40050.2551638269</v>
      </c>
      <c r="AR70" s="2" t="n">
        <v>3138.93106701289</v>
      </c>
      <c r="AS70" s="2" t="n">
        <v>2755.86243184497</v>
      </c>
      <c r="AT70" s="2" t="n">
        <v>4521.73512006955</v>
      </c>
      <c r="AU70" s="2" t="n">
        <v>3030.86413499239</v>
      </c>
    </row>
    <row r="71" customFormat="false" ht="15" hidden="false" customHeight="false" outlineLevel="0" collapsed="false">
      <c r="A71" s="6" t="n">
        <v>7011.37337997734</v>
      </c>
      <c r="B71" s="7" t="n">
        <v>638.201523476153</v>
      </c>
      <c r="C71" s="7" t="n">
        <v>619.073256538512</v>
      </c>
      <c r="D71" s="7" t="n">
        <v>565.612458380899</v>
      </c>
      <c r="E71" s="7" t="n">
        <v>830.736915310616</v>
      </c>
      <c r="F71" s="7" t="n">
        <v>2031</v>
      </c>
      <c r="G71" s="4" t="n">
        <v>31788.5012683245</v>
      </c>
      <c r="H71" s="7" t="n">
        <v>2893.50870920725</v>
      </c>
      <c r="I71" s="7" t="n">
        <v>2564.40092064808</v>
      </c>
      <c r="J71" s="2" t="n">
        <v>3766.43491293867</v>
      </c>
      <c r="K71" s="7" t="n">
        <v>2806.78405415685</v>
      </c>
      <c r="R71" s="8" t="n">
        <v>2031</v>
      </c>
      <c r="S71" s="9" t="n">
        <v>7781.65197726684</v>
      </c>
      <c r="T71" s="8" t="n">
        <v>682.768123587361</v>
      </c>
      <c r="U71" s="8" t="n">
        <v>663.263454533055</v>
      </c>
      <c r="V71" s="8" t="n">
        <v>609.389998495382</v>
      </c>
      <c r="W71" s="8" t="n">
        <v>902.18064440868</v>
      </c>
      <c r="X71" s="8" t="n">
        <v>2031</v>
      </c>
      <c r="Y71" s="3" t="n">
        <v>35280.8273562242</v>
      </c>
      <c r="Z71" s="3" t="n">
        <v>3095.56690057469</v>
      </c>
      <c r="AA71" s="3" t="n">
        <v>2762.88163391711</v>
      </c>
      <c r="AB71" s="3" t="n">
        <v>4090.34992216258</v>
      </c>
      <c r="AC71" s="3" t="n">
        <v>3007.13569553551</v>
      </c>
      <c r="AJ71" s="7" t="n">
        <v>2031</v>
      </c>
      <c r="AK71" s="6" t="n">
        <v>8909.74732577768</v>
      </c>
      <c r="AL71" s="7" t="n">
        <v>705.446264774383</v>
      </c>
      <c r="AM71" s="7" t="n">
        <v>680.118012359469</v>
      </c>
      <c r="AN71" s="7" t="n">
        <v>617.931170155069</v>
      </c>
      <c r="AO71" s="7" t="n">
        <v>992.053132826128</v>
      </c>
      <c r="AP71" s="7" t="n">
        <v>2031</v>
      </c>
      <c r="AQ71" s="2" t="n">
        <v>40395.4402107237</v>
      </c>
      <c r="AR71" s="2" t="n">
        <v>3198.3861459376</v>
      </c>
      <c r="AS71" s="2" t="n">
        <v>2801.60600807643</v>
      </c>
      <c r="AT71" s="2" t="n">
        <v>4497.81812521166</v>
      </c>
      <c r="AU71" s="2" t="n">
        <v>3083.55169904946</v>
      </c>
    </row>
    <row r="72" customFormat="false" ht="15" hidden="false" customHeight="false" outlineLevel="0" collapsed="false">
      <c r="A72" s="6" t="n">
        <v>7045.92764469828</v>
      </c>
      <c r="B72" s="7" t="n">
        <v>790.184653603768</v>
      </c>
      <c r="C72" s="7" t="n">
        <v>770.781705958461</v>
      </c>
      <c r="D72" s="7" t="n">
        <v>711.222767178006</v>
      </c>
      <c r="E72" s="7" t="n">
        <v>994.057411209612</v>
      </c>
      <c r="F72" s="7" t="n">
        <v>2032</v>
      </c>
      <c r="G72" s="4" t="n">
        <v>31945.1650527757</v>
      </c>
      <c r="H72" s="7" t="n">
        <v>3582.57712176998</v>
      </c>
      <c r="I72" s="7" t="n">
        <v>3224.57592988328</v>
      </c>
      <c r="J72" s="2" t="n">
        <v>4506.90521877844</v>
      </c>
      <c r="K72" s="7" t="n">
        <v>3494.60710613889</v>
      </c>
      <c r="R72" s="8" t="n">
        <v>2032</v>
      </c>
      <c r="S72" s="9" t="n">
        <v>7820.57820467412</v>
      </c>
      <c r="T72" s="8" t="n">
        <v>852.896548428376</v>
      </c>
      <c r="U72" s="8" t="n">
        <v>834.710023298387</v>
      </c>
      <c r="V72" s="8" t="n">
        <v>780.892368247961</v>
      </c>
      <c r="W72" s="8" t="n">
        <v>1100.27052915465</v>
      </c>
      <c r="X72" s="8" t="n">
        <v>2032</v>
      </c>
      <c r="Y72" s="3" t="n">
        <v>35457.3129550144</v>
      </c>
      <c r="Z72" s="3" t="n">
        <v>3866.90332152195</v>
      </c>
      <c r="AA72" s="3" t="n">
        <v>3540.44731227186</v>
      </c>
      <c r="AB72" s="3" t="n">
        <v>4988.45935254494</v>
      </c>
      <c r="AC72" s="3" t="n">
        <v>3784.44838069509</v>
      </c>
      <c r="AJ72" s="7" t="n">
        <v>2032</v>
      </c>
      <c r="AK72" s="6" t="n">
        <v>8933.79987993332</v>
      </c>
      <c r="AL72" s="7" t="n">
        <v>887.856450347618</v>
      </c>
      <c r="AM72" s="7" t="n">
        <v>863.242664026638</v>
      </c>
      <c r="AN72" s="7" t="n">
        <v>807.035550392803</v>
      </c>
      <c r="AO72" s="7" t="n">
        <v>1182.56082556999</v>
      </c>
      <c r="AP72" s="7" t="n">
        <v>2032</v>
      </c>
      <c r="AQ72" s="2" t="n">
        <v>40504.4908355936</v>
      </c>
      <c r="AR72" s="2" t="n">
        <v>4025.40620337873</v>
      </c>
      <c r="AS72" s="2" t="n">
        <v>3658.97652669689</v>
      </c>
      <c r="AT72" s="2" t="n">
        <v>5361.55104944988</v>
      </c>
      <c r="AU72" s="2" t="n">
        <v>3913.81103717105</v>
      </c>
    </row>
    <row r="73" customFormat="false" ht="15" hidden="false" customHeight="false" outlineLevel="0" collapsed="false">
      <c r="A73" s="6" t="n">
        <v>7054.02632651</v>
      </c>
      <c r="B73" s="7" t="n">
        <v>656.981747405673</v>
      </c>
      <c r="C73" s="7" t="n">
        <v>637.512198412828</v>
      </c>
      <c r="D73" s="7" t="n">
        <v>577.5386203615</v>
      </c>
      <c r="E73" s="7" t="n">
        <v>886.347062481188</v>
      </c>
      <c r="F73" s="7" t="n">
        <v>2032</v>
      </c>
      <c r="G73" s="4" t="n">
        <v>31981.8832452169</v>
      </c>
      <c r="H73" s="7" t="n">
        <v>2978.65539015678</v>
      </c>
      <c r="I73" s="7" t="n">
        <v>2618.47232644844</v>
      </c>
      <c r="J73" s="2" t="n">
        <v>4018.56286819944</v>
      </c>
      <c r="K73" s="7" t="n">
        <v>2890.38341413847</v>
      </c>
      <c r="R73" s="8" t="n">
        <v>2032</v>
      </c>
      <c r="S73" s="9" t="n">
        <v>7864.75262804612</v>
      </c>
      <c r="T73" s="8" t="n">
        <v>703.063374953561</v>
      </c>
      <c r="U73" s="8" t="n">
        <v>676.399660696417</v>
      </c>
      <c r="V73" s="8" t="n">
        <v>627.482316474518</v>
      </c>
      <c r="W73" s="8" t="n">
        <v>951.254248720372</v>
      </c>
      <c r="X73" s="8" t="n">
        <v>2032</v>
      </c>
      <c r="Y73" s="3" t="n">
        <v>35657.593076652</v>
      </c>
      <c r="Z73" s="3" t="n">
        <v>3187.58248565789</v>
      </c>
      <c r="AA73" s="3" t="n">
        <v>2844.90945384025</v>
      </c>
      <c r="AB73" s="3" t="n">
        <v>4312.84218556969</v>
      </c>
      <c r="AC73" s="3" t="n">
        <v>3066.69325774971</v>
      </c>
      <c r="AJ73" s="7" t="n">
        <v>2032</v>
      </c>
      <c r="AK73" s="6" t="n">
        <v>9004.06818768506</v>
      </c>
      <c r="AL73" s="7" t="n">
        <v>734.910108949219</v>
      </c>
      <c r="AM73" s="7" t="n">
        <v>703.036903335185</v>
      </c>
      <c r="AN73" s="7" t="n">
        <v>646.885443691069</v>
      </c>
      <c r="AO73" s="7" t="n">
        <v>1066.68596858891</v>
      </c>
      <c r="AP73" s="7" t="n">
        <v>2032</v>
      </c>
      <c r="AQ73" s="2" t="n">
        <v>40823.0766630819</v>
      </c>
      <c r="AR73" s="2" t="n">
        <v>3331.9707373097</v>
      </c>
      <c r="AS73" s="2" t="n">
        <v>2932.88028362007</v>
      </c>
      <c r="AT73" s="2" t="n">
        <v>4836.19205935116</v>
      </c>
      <c r="AU73" s="2" t="n">
        <v>3187.46246736351</v>
      </c>
    </row>
    <row r="74" customFormat="false" ht="15" hidden="false" customHeight="false" outlineLevel="0" collapsed="false">
      <c r="A74" s="6" t="n">
        <v>7026.45870990461</v>
      </c>
      <c r="B74" s="7" t="n">
        <v>678.098689844081</v>
      </c>
      <c r="C74" s="7" t="n">
        <v>638.59925672042</v>
      </c>
      <c r="D74" s="7" t="n">
        <v>585.511399963125</v>
      </c>
      <c r="E74" s="7" t="n">
        <v>827.414353984469</v>
      </c>
      <c r="F74" s="7" t="n">
        <v>2032</v>
      </c>
      <c r="G74" s="4" t="n">
        <v>31856.8958614431</v>
      </c>
      <c r="H74" s="7" t="n">
        <v>3074.39639767514</v>
      </c>
      <c r="I74" s="7" t="n">
        <v>2654.61969740462</v>
      </c>
      <c r="J74" s="2" t="n">
        <v>3751.37092487152</v>
      </c>
      <c r="K74" s="7" t="n">
        <v>2895.31197128654</v>
      </c>
      <c r="R74" s="8" t="n">
        <v>2032</v>
      </c>
      <c r="S74" s="9" t="n">
        <v>7930.1043655964</v>
      </c>
      <c r="T74" s="8" t="n">
        <v>701.277327908104</v>
      </c>
      <c r="U74" s="8" t="n">
        <v>668.579082688685</v>
      </c>
      <c r="V74" s="8" t="n">
        <v>619.216703162148</v>
      </c>
      <c r="W74" s="8" t="n">
        <v>947.290057070773</v>
      </c>
      <c r="X74" s="8" t="n">
        <v>2032</v>
      </c>
      <c r="Y74" s="3" t="n">
        <v>35953.8879221008</v>
      </c>
      <c r="Z74" s="3" t="n">
        <v>3179.48481980944</v>
      </c>
      <c r="AA74" s="3" t="n">
        <v>2807.43441934642</v>
      </c>
      <c r="AB74" s="3" t="n">
        <v>4294.86914313537</v>
      </c>
      <c r="AC74" s="3" t="n">
        <v>3031.2359456876</v>
      </c>
      <c r="AJ74" s="7" t="n">
        <v>2032</v>
      </c>
      <c r="AK74" s="6" t="n">
        <v>9075.91548603843</v>
      </c>
      <c r="AL74" s="7" t="n">
        <v>742.97344707542</v>
      </c>
      <c r="AM74" s="7" t="n">
        <v>701.69754328697</v>
      </c>
      <c r="AN74" s="7" t="n">
        <v>646.127851248688</v>
      </c>
      <c r="AO74" s="7" t="n">
        <v>1059.84414964149</v>
      </c>
      <c r="AP74" s="7" t="n">
        <v>2032</v>
      </c>
      <c r="AQ74" s="2" t="n">
        <v>41148.8213939721</v>
      </c>
      <c r="AR74" s="2" t="n">
        <v>3368.52868685261</v>
      </c>
      <c r="AS74" s="2" t="n">
        <v>2929.4454746304</v>
      </c>
      <c r="AT74" s="2" t="n">
        <v>4805.17229211</v>
      </c>
      <c r="AU74" s="2" t="n">
        <v>3181.39001247001</v>
      </c>
    </row>
    <row r="75" customFormat="false" ht="15" hidden="false" customHeight="false" outlineLevel="0" collapsed="false">
      <c r="A75" s="6" t="n">
        <v>7070.5955171249</v>
      </c>
      <c r="B75" s="7" t="n">
        <v>670.125865712918</v>
      </c>
      <c r="C75" s="7" t="n">
        <v>644.626549021814</v>
      </c>
      <c r="D75" s="7" t="n">
        <v>589.627951124879</v>
      </c>
      <c r="E75" s="7" t="n">
        <v>864.090689838395</v>
      </c>
      <c r="F75" s="7" t="n">
        <v>2032</v>
      </c>
      <c r="G75" s="4" t="n">
        <v>32057.0054371659</v>
      </c>
      <c r="H75" s="7" t="n">
        <v>3038.24882482881</v>
      </c>
      <c r="I75" s="7" t="n">
        <v>2673.2835147104</v>
      </c>
      <c r="J75" s="2" t="n">
        <v>3917.65585731279</v>
      </c>
      <c r="K75" s="7" t="n">
        <v>2922.63879851194</v>
      </c>
      <c r="R75" s="8" t="n">
        <v>2032</v>
      </c>
      <c r="S75" s="9" t="n">
        <v>7957.69736174791</v>
      </c>
      <c r="T75" s="8" t="n">
        <v>702.617568795031</v>
      </c>
      <c r="U75" s="8" t="n">
        <v>667.556421366514</v>
      </c>
      <c r="V75" s="8" t="n">
        <v>614.549030421491</v>
      </c>
      <c r="W75" s="8" t="n">
        <v>953.310367912525</v>
      </c>
      <c r="X75" s="8" t="n">
        <v>2032</v>
      </c>
      <c r="Y75" s="3" t="n">
        <v>36078.9903728794</v>
      </c>
      <c r="Z75" s="3" t="n">
        <v>3185.56126829179</v>
      </c>
      <c r="AA75" s="3" t="n">
        <v>2786.27190056512</v>
      </c>
      <c r="AB75" s="3" t="n">
        <v>4322.16431748385</v>
      </c>
      <c r="AC75" s="3" t="n">
        <v>3026.59935468394</v>
      </c>
      <c r="AJ75" s="7" t="n">
        <v>2032</v>
      </c>
      <c r="AK75" s="6" t="n">
        <v>9147.57274631093</v>
      </c>
      <c r="AL75" s="7" t="n">
        <v>731.944255967359</v>
      </c>
      <c r="AM75" s="7" t="n">
        <v>692.273075253766</v>
      </c>
      <c r="AN75" s="7" t="n">
        <v>639.186586384025</v>
      </c>
      <c r="AO75" s="7" t="n">
        <v>1013.59822412587</v>
      </c>
      <c r="AP75" s="7" t="n">
        <v>2032</v>
      </c>
      <c r="AQ75" s="2" t="n">
        <v>41473.704521087</v>
      </c>
      <c r="AR75" s="2" t="n">
        <v>3318.52401066058</v>
      </c>
      <c r="AS75" s="2" t="n">
        <v>2897.97483471494</v>
      </c>
      <c r="AT75" s="2" t="n">
        <v>4595.50029459432</v>
      </c>
      <c r="AU75" s="2" t="n">
        <v>3138.66090680259</v>
      </c>
    </row>
    <row r="76" customFormat="false" ht="15" hidden="false" customHeight="false" outlineLevel="0" collapsed="false">
      <c r="A76" s="6" t="n">
        <v>7085.75601201101</v>
      </c>
      <c r="B76" s="7" t="n">
        <v>813.885790533953</v>
      </c>
      <c r="C76" s="7" t="n">
        <v>794.36213516951</v>
      </c>
      <c r="D76" s="7" t="n">
        <v>739.647554697029</v>
      </c>
      <c r="E76" s="7" t="n">
        <v>1017.65087310432</v>
      </c>
      <c r="F76" s="7" t="n">
        <v>2033</v>
      </c>
      <c r="G76" s="4" t="n">
        <v>32125.7408167838</v>
      </c>
      <c r="H76" s="7" t="n">
        <v>3690.03447435051</v>
      </c>
      <c r="I76" s="7" t="n">
        <v>3353.44959630086</v>
      </c>
      <c r="J76" s="2" t="n">
        <v>4613.8743891133</v>
      </c>
      <c r="K76" s="7" t="n">
        <v>3601.51718826683</v>
      </c>
      <c r="R76" s="8" t="n">
        <v>2033</v>
      </c>
      <c r="S76" s="9" t="n">
        <v>8002.74921517536</v>
      </c>
      <c r="T76" s="8" t="n">
        <v>850.293279644721</v>
      </c>
      <c r="U76" s="8" t="n">
        <v>830.874464859822</v>
      </c>
      <c r="V76" s="8" t="n">
        <v>778.896865462157</v>
      </c>
      <c r="W76" s="8" t="n">
        <v>1088.3314534042</v>
      </c>
      <c r="X76" s="8" t="n">
        <v>2033</v>
      </c>
      <c r="Y76" s="3" t="n">
        <v>36283.2486290306</v>
      </c>
      <c r="Z76" s="3" t="n">
        <v>3855.10049651946</v>
      </c>
      <c r="AA76" s="3" t="n">
        <v>3531.40000593119</v>
      </c>
      <c r="AB76" s="3" t="n">
        <v>4934.32939767482</v>
      </c>
      <c r="AC76" s="3" t="n">
        <v>3767.05854168905</v>
      </c>
      <c r="AJ76" s="7" t="n">
        <v>2033</v>
      </c>
      <c r="AK76" s="6" t="n">
        <v>9211.8206101459</v>
      </c>
      <c r="AL76" s="7" t="n">
        <v>910.877683319571</v>
      </c>
      <c r="AM76" s="7" t="n">
        <v>878.701774284797</v>
      </c>
      <c r="AN76" s="7" t="n">
        <v>829.476790565859</v>
      </c>
      <c r="AO76" s="7" t="n">
        <v>1211.60418480896</v>
      </c>
      <c r="AP76" s="7" t="n">
        <v>2033</v>
      </c>
      <c r="AQ76" s="2" t="n">
        <v>41764.9945708849</v>
      </c>
      <c r="AR76" s="2" t="n">
        <v>4129.78097474909</v>
      </c>
      <c r="AS76" s="2" t="n">
        <v>3760.72169886832</v>
      </c>
      <c r="AT76" s="2" t="n">
        <v>5493.22922603094</v>
      </c>
      <c r="AU76" s="2" t="n">
        <v>3983.9002935002</v>
      </c>
    </row>
    <row r="77" customFormat="false" ht="15" hidden="false" customHeight="false" outlineLevel="0" collapsed="false">
      <c r="A77" s="6" t="n">
        <v>7096.32311773222</v>
      </c>
      <c r="B77" s="7" t="n">
        <v>665.461072030037</v>
      </c>
      <c r="C77" s="7" t="n">
        <v>642.716942416816</v>
      </c>
      <c r="D77" s="7" t="n">
        <v>585.537344128374</v>
      </c>
      <c r="E77" s="7" t="n">
        <v>863.083989059875</v>
      </c>
      <c r="F77" s="7" t="n">
        <v>2033</v>
      </c>
      <c r="G77" s="4" t="n">
        <v>32173.6504680628</v>
      </c>
      <c r="H77" s="7" t="n">
        <v>3017.09935925788</v>
      </c>
      <c r="I77" s="7" t="n">
        <v>2654.73732430668</v>
      </c>
      <c r="J77" s="2" t="n">
        <v>3913.09162898825</v>
      </c>
      <c r="K77" s="7" t="n">
        <v>2913.98093239995</v>
      </c>
      <c r="R77" s="8" t="n">
        <v>2033</v>
      </c>
      <c r="S77" s="9" t="n">
        <v>8008.58966416074</v>
      </c>
      <c r="T77" s="8" t="n">
        <v>701.536530243499</v>
      </c>
      <c r="U77" s="8" t="n">
        <v>675.230600866066</v>
      </c>
      <c r="V77" s="8" t="n">
        <v>620.407357108706</v>
      </c>
      <c r="W77" s="8" t="n">
        <v>948.563256950142</v>
      </c>
      <c r="X77" s="8" t="n">
        <v>2033</v>
      </c>
      <c r="Y77" s="3" t="n">
        <v>36309.7283370589</v>
      </c>
      <c r="Z77" s="3" t="n">
        <v>3180.66000380278</v>
      </c>
      <c r="AA77" s="3" t="n">
        <v>2812.83266337638</v>
      </c>
      <c r="AB77" s="3" t="n">
        <v>4300.6416378788</v>
      </c>
      <c r="AC77" s="3" t="n">
        <v>3061.39291816061</v>
      </c>
      <c r="AJ77" s="7" t="n">
        <v>2033</v>
      </c>
      <c r="AK77" s="6" t="n">
        <v>9207.49290726771</v>
      </c>
      <c r="AL77" s="7" t="n">
        <v>749.064412313198</v>
      </c>
      <c r="AM77" s="7" t="n">
        <v>714.676293715894</v>
      </c>
      <c r="AN77" s="7" t="n">
        <v>656.235097126593</v>
      </c>
      <c r="AO77" s="7" t="n">
        <v>1055.75484334868</v>
      </c>
      <c r="AP77" s="7" t="n">
        <v>2033</v>
      </c>
      <c r="AQ77" s="2" t="n">
        <v>41745.3734237891</v>
      </c>
      <c r="AR77" s="2" t="n">
        <v>3396.14419749413</v>
      </c>
      <c r="AS77" s="2" t="n">
        <v>2975.27019127245</v>
      </c>
      <c r="AT77" s="2" t="n">
        <v>4786.63199889915</v>
      </c>
      <c r="AU77" s="2" t="n">
        <v>3240.23369431547</v>
      </c>
    </row>
    <row r="78" customFormat="false" ht="15" hidden="false" customHeight="false" outlineLevel="0" collapsed="false">
      <c r="A78" s="6" t="n">
        <v>7100.63896411311</v>
      </c>
      <c r="B78" s="7" t="n">
        <v>664.990906592246</v>
      </c>
      <c r="C78" s="7" t="n">
        <v>644.934468526512</v>
      </c>
      <c r="D78" s="7" t="n">
        <v>588.665475619438</v>
      </c>
      <c r="E78" s="7" t="n">
        <v>864.244602953102</v>
      </c>
      <c r="F78" s="7" t="n">
        <v>2033</v>
      </c>
      <c r="G78" s="4" t="n">
        <v>32193.2178596019</v>
      </c>
      <c r="H78" s="7" t="n">
        <v>3014.9677006219</v>
      </c>
      <c r="I78" s="7" t="n">
        <v>2668.91979705234</v>
      </c>
      <c r="J78" s="2" t="n">
        <v>3918.3536759821</v>
      </c>
      <c r="K78" s="7" t="n">
        <v>2924.03485874653</v>
      </c>
      <c r="R78" s="8" t="n">
        <v>2033</v>
      </c>
      <c r="S78" s="9" t="n">
        <v>8050.36815030225</v>
      </c>
      <c r="T78" s="8" t="n">
        <v>706.485817478963</v>
      </c>
      <c r="U78" s="8" t="n">
        <v>672.895174429047</v>
      </c>
      <c r="V78" s="8" t="n">
        <v>615.332921328267</v>
      </c>
      <c r="W78" s="8" t="n">
        <v>994.848183650011</v>
      </c>
      <c r="X78" s="8" t="n">
        <v>2033</v>
      </c>
      <c r="Y78" s="3" t="n">
        <v>36499.1456434444</v>
      </c>
      <c r="Z78" s="3" t="n">
        <v>3203.09931990184</v>
      </c>
      <c r="AA78" s="3" t="n">
        <v>2789.82594279534</v>
      </c>
      <c r="AB78" s="3" t="n">
        <v>4510.4904608362</v>
      </c>
      <c r="AC78" s="3" t="n">
        <v>3050.80444964925</v>
      </c>
      <c r="AJ78" s="7" t="n">
        <v>2033</v>
      </c>
      <c r="AK78" s="6" t="n">
        <v>9312.56044611669</v>
      </c>
      <c r="AL78" s="7" t="n">
        <v>762.580953280159</v>
      </c>
      <c r="AM78" s="7" t="n">
        <v>718.191373937612</v>
      </c>
      <c r="AN78" s="7" t="n">
        <v>667.037402227027</v>
      </c>
      <c r="AO78" s="7" t="n">
        <v>1008.05324560282</v>
      </c>
      <c r="AP78" s="7" t="n">
        <v>2033</v>
      </c>
      <c r="AQ78" s="2" t="n">
        <v>42221.733676047</v>
      </c>
      <c r="AR78" s="2" t="n">
        <v>3457.42613990196</v>
      </c>
      <c r="AS78" s="2" t="n">
        <v>3024.24620078959</v>
      </c>
      <c r="AT78" s="2" t="n">
        <v>4570.36020473458</v>
      </c>
      <c r="AU78" s="2" t="n">
        <v>3256.1705337948</v>
      </c>
    </row>
    <row r="79" customFormat="false" ht="15" hidden="false" customHeight="false" outlineLevel="0" collapsed="false">
      <c r="A79" s="6" t="n">
        <v>7073.06153221581</v>
      </c>
      <c r="B79" s="7" t="n">
        <v>674.840313127996</v>
      </c>
      <c r="C79" s="7" t="n">
        <v>646.090712271311</v>
      </c>
      <c r="D79" s="7" t="n">
        <v>588.872320001494</v>
      </c>
      <c r="E79" s="7" t="n">
        <v>879.659101972878</v>
      </c>
      <c r="F79" s="7" t="n">
        <v>2033</v>
      </c>
      <c r="G79" s="4" t="n">
        <v>32068.1859747863</v>
      </c>
      <c r="H79" s="7" t="n">
        <v>3059.6234128748</v>
      </c>
      <c r="I79" s="7" t="n">
        <v>2669.85759804296</v>
      </c>
      <c r="J79" s="2" t="n">
        <v>3988.24067173675</v>
      </c>
      <c r="K79" s="7" t="n">
        <v>2929.27709215161</v>
      </c>
      <c r="R79" s="8" t="n">
        <v>2033</v>
      </c>
      <c r="S79" s="9" t="n">
        <v>8099.60513433822</v>
      </c>
      <c r="T79" s="8" t="n">
        <v>707.524095385012</v>
      </c>
      <c r="U79" s="8" t="n">
        <v>676.754533138837</v>
      </c>
      <c r="V79" s="8" t="n">
        <v>627.55092484625</v>
      </c>
      <c r="W79" s="8" t="n">
        <v>952.901297788915</v>
      </c>
      <c r="X79" s="8" t="n">
        <v>2033</v>
      </c>
      <c r="Y79" s="3" t="n">
        <v>36722.3786456898</v>
      </c>
      <c r="Z79" s="3" t="n">
        <v>3207.80671412328</v>
      </c>
      <c r="AA79" s="3" t="n">
        <v>2845.22051377011</v>
      </c>
      <c r="AB79" s="3" t="n">
        <v>4320.30965571668</v>
      </c>
      <c r="AC79" s="3" t="n">
        <v>3068.3021954677</v>
      </c>
      <c r="AJ79" s="7" t="n">
        <v>2033</v>
      </c>
      <c r="AK79" s="6" t="n">
        <v>9368.47667027354</v>
      </c>
      <c r="AL79" s="7" t="n">
        <v>735.655316189576</v>
      </c>
      <c r="AM79" s="7" t="n">
        <v>704.36310096267</v>
      </c>
      <c r="AN79" s="7" t="n">
        <v>653.139118464726</v>
      </c>
      <c r="AO79" s="7" t="n">
        <v>1049.53495118519</v>
      </c>
      <c r="AP79" s="7" t="n">
        <v>2033</v>
      </c>
      <c r="AQ79" s="2" t="n">
        <v>42475.2493378439</v>
      </c>
      <c r="AR79" s="2" t="n">
        <v>3335.34939367579</v>
      </c>
      <c r="AS79" s="2" t="n">
        <v>2961.23349456756</v>
      </c>
      <c r="AT79" s="2" t="n">
        <v>4758.43195317165</v>
      </c>
      <c r="AU79" s="2" t="n">
        <v>3193.47524584194</v>
      </c>
    </row>
    <row r="80" customFormat="false" ht="15" hidden="false" customHeight="false" outlineLevel="0" collapsed="false">
      <c r="A80" s="6" t="n">
        <v>7064.60830117689</v>
      </c>
      <c r="B80" s="7" t="n">
        <v>813.207104959415</v>
      </c>
      <c r="C80" s="7" t="n">
        <v>794.000188091101</v>
      </c>
      <c r="D80" s="7" t="n">
        <v>739.204911726012</v>
      </c>
      <c r="E80" s="7" t="n">
        <v>1010.87792680967</v>
      </c>
      <c r="F80" s="7" t="n">
        <v>2034</v>
      </c>
      <c r="G80" s="4" t="n">
        <v>32029.8603100357</v>
      </c>
      <c r="H80" s="7" t="n">
        <v>3686.95741710683</v>
      </c>
      <c r="I80" s="7" t="n">
        <v>3351.44272034617</v>
      </c>
      <c r="J80" s="2" t="n">
        <v>4583.16688001207</v>
      </c>
      <c r="K80" s="7" t="n">
        <v>3599.87617522452</v>
      </c>
      <c r="R80" s="8" t="n">
        <v>2034</v>
      </c>
      <c r="S80" s="9" t="n">
        <v>8099.95494674384</v>
      </c>
      <c r="T80" s="8" t="n">
        <v>880.482685880474</v>
      </c>
      <c r="U80" s="8" t="n">
        <v>847.853197449266</v>
      </c>
      <c r="V80" s="8" t="n">
        <v>794.509868256826</v>
      </c>
      <c r="W80" s="8" t="n">
        <v>1161.351686404</v>
      </c>
      <c r="X80" s="8" t="n">
        <v>2034</v>
      </c>
      <c r="Y80" s="3" t="n">
        <v>36723.96464197</v>
      </c>
      <c r="Z80" s="3" t="n">
        <v>3991.97467599987</v>
      </c>
      <c r="AA80" s="3" t="n">
        <v>3602.18698763124</v>
      </c>
      <c r="AB80" s="3" t="n">
        <v>5265.39203598135</v>
      </c>
      <c r="AC80" s="3" t="n">
        <v>3844.03753470565</v>
      </c>
      <c r="AJ80" s="7" t="n">
        <v>2034</v>
      </c>
      <c r="AK80" s="6" t="n">
        <v>9451.95743454532</v>
      </c>
      <c r="AL80" s="7" t="n">
        <v>909.072421191908</v>
      </c>
      <c r="AM80" s="7" t="n">
        <v>880.41378202849</v>
      </c>
      <c r="AN80" s="7" t="n">
        <v>823.239934357243</v>
      </c>
      <c r="AO80" s="7" t="n">
        <v>1253.73747281339</v>
      </c>
      <c r="AP80" s="7" t="n">
        <v>2034</v>
      </c>
      <c r="AQ80" s="2" t="n">
        <v>42853.7384350745</v>
      </c>
      <c r="AR80" s="2" t="n">
        <v>4121.59619063835</v>
      </c>
      <c r="AS80" s="2" t="n">
        <v>3732.44474073853</v>
      </c>
      <c r="AT80" s="2" t="n">
        <v>5684.25515013767</v>
      </c>
      <c r="AU80" s="2" t="n">
        <v>3991.66227640746</v>
      </c>
    </row>
    <row r="81" customFormat="false" ht="15" hidden="false" customHeight="false" outlineLevel="0" collapsed="false">
      <c r="A81" s="6" t="n">
        <v>7099.18897579475</v>
      </c>
      <c r="B81" s="7" t="n">
        <v>658.501278000842</v>
      </c>
      <c r="C81" s="7" t="n">
        <v>646.888728633142</v>
      </c>
      <c r="D81" s="7" t="n">
        <v>591.56732128798</v>
      </c>
      <c r="E81" s="7" t="n">
        <v>881.184430354796</v>
      </c>
      <c r="F81" s="7" t="n">
        <v>2034</v>
      </c>
      <c r="G81" s="4" t="n">
        <v>32186.6438329456</v>
      </c>
      <c r="H81" s="7" t="n">
        <v>2985.54471092662</v>
      </c>
      <c r="I81" s="7" t="n">
        <v>2682.07632427116</v>
      </c>
      <c r="J81" s="2" t="n">
        <v>3995.15627879052</v>
      </c>
      <c r="K81" s="7" t="n">
        <v>2932.89517704817</v>
      </c>
      <c r="R81" s="8" t="n">
        <v>2034</v>
      </c>
      <c r="S81" s="9" t="n">
        <v>8175.24388111227</v>
      </c>
      <c r="T81" s="8" t="n">
        <v>705.081865352622</v>
      </c>
      <c r="U81" s="8" t="n">
        <v>688.848518942526</v>
      </c>
      <c r="V81" s="8" t="n">
        <v>644.783721944667</v>
      </c>
      <c r="W81" s="8" t="n">
        <v>948.510781951753</v>
      </c>
      <c r="X81" s="8" t="n">
        <v>2034</v>
      </c>
      <c r="Y81" s="3" t="n">
        <v>37065.3132274692</v>
      </c>
      <c r="Z81" s="3" t="n">
        <v>3196.73401434326</v>
      </c>
      <c r="AA81" s="3" t="n">
        <v>2923.35139665594</v>
      </c>
      <c r="AB81" s="3" t="n">
        <v>4300.40372421162</v>
      </c>
      <c r="AC81" s="3" t="n">
        <v>3123.13448897492</v>
      </c>
      <c r="AJ81" s="7" t="n">
        <v>2034</v>
      </c>
      <c r="AK81" s="6" t="n">
        <v>9501.11478366626</v>
      </c>
      <c r="AL81" s="7" t="n">
        <v>745.834950485078</v>
      </c>
      <c r="AM81" s="7" t="n">
        <v>716.760145109411</v>
      </c>
      <c r="AN81" s="7" t="n">
        <v>664.08852106022</v>
      </c>
      <c r="AO81" s="7" t="n">
        <v>1094.35120863115</v>
      </c>
      <c r="AP81" s="7" t="n">
        <v>2034</v>
      </c>
      <c r="AQ81" s="2" t="n">
        <v>43076.6103847186</v>
      </c>
      <c r="AR81" s="2" t="n">
        <v>3381.50230840113</v>
      </c>
      <c r="AS81" s="2" t="n">
        <v>3010.87642177042</v>
      </c>
      <c r="AT81" s="2" t="n">
        <v>4961.62205295022</v>
      </c>
      <c r="AU81" s="2" t="n">
        <v>3249.68155981569</v>
      </c>
    </row>
    <row r="82" customFormat="false" ht="15" hidden="false" customHeight="false" outlineLevel="0" collapsed="false">
      <c r="A82" s="6" t="n">
        <v>7102.33159948881</v>
      </c>
      <c r="B82" s="7" t="n">
        <v>657.293598750043</v>
      </c>
      <c r="C82" s="7" t="n">
        <v>642.196456995921</v>
      </c>
      <c r="D82" s="7" t="n">
        <v>585.426275038551</v>
      </c>
      <c r="E82" s="7" t="n">
        <v>858.24310140064</v>
      </c>
      <c r="F82" s="7" t="n">
        <v>2034</v>
      </c>
      <c r="G82" s="4" t="n">
        <v>32200.892011137</v>
      </c>
      <c r="H82" s="7" t="n">
        <v>2980.06927675485</v>
      </c>
      <c r="I82" s="7" t="n">
        <v>2654.23375393447</v>
      </c>
      <c r="J82" s="2" t="n">
        <v>3891.1437800925</v>
      </c>
      <c r="K82" s="7" t="n">
        <v>2911.62113060855</v>
      </c>
      <c r="R82" s="8" t="n">
        <v>2034</v>
      </c>
      <c r="S82" s="9" t="n">
        <v>8150.44363879745</v>
      </c>
      <c r="T82" s="8" t="n">
        <v>721.079457544469</v>
      </c>
      <c r="U82" s="8" t="n">
        <v>693.050974437113</v>
      </c>
      <c r="V82" s="8" t="n">
        <v>649.896624205341</v>
      </c>
      <c r="W82" s="8" t="n">
        <v>946.397809105341</v>
      </c>
      <c r="X82" s="8" t="n">
        <v>2034</v>
      </c>
      <c r="Y82" s="3" t="n">
        <v>36952.8726981243</v>
      </c>
      <c r="Z82" s="3" t="n">
        <v>3269.26466591759</v>
      </c>
      <c r="AA82" s="3" t="n">
        <v>2946.53251841197</v>
      </c>
      <c r="AB82" s="3" t="n">
        <v>4290.82382647005</v>
      </c>
      <c r="AC82" s="3" t="n">
        <v>3142.18778346945</v>
      </c>
      <c r="AJ82" s="7" t="n">
        <v>2034</v>
      </c>
      <c r="AK82" s="6" t="n">
        <v>9522.00467216262</v>
      </c>
      <c r="AL82" s="7" t="n">
        <v>768.443798142805</v>
      </c>
      <c r="AM82" s="7" t="n">
        <v>723.111457072726</v>
      </c>
      <c r="AN82" s="7" t="n">
        <v>669.849761488052</v>
      </c>
      <c r="AO82" s="7" t="n">
        <v>1081.36963301681</v>
      </c>
      <c r="AP82" s="7" t="n">
        <v>2034</v>
      </c>
      <c r="AQ82" s="2" t="n">
        <v>43171.3219641729</v>
      </c>
      <c r="AR82" s="2" t="n">
        <v>3484.00738743393</v>
      </c>
      <c r="AS82" s="2" t="n">
        <v>3036.99701023747</v>
      </c>
      <c r="AT82" s="2" t="n">
        <v>4902.76556214348</v>
      </c>
      <c r="AU82" s="2" t="n">
        <v>3278.47744294151</v>
      </c>
    </row>
    <row r="83" customFormat="false" ht="15" hidden="false" customHeight="false" outlineLevel="0" collapsed="false">
      <c r="A83" s="6" t="n">
        <v>7119.28054038669</v>
      </c>
      <c r="B83" s="7" t="n">
        <v>658.354271198169</v>
      </c>
      <c r="C83" s="7" t="n">
        <v>630.014776386878</v>
      </c>
      <c r="D83" s="7" t="n">
        <v>575.660180811464</v>
      </c>
      <c r="E83" s="7" t="n">
        <v>846.043001142104</v>
      </c>
      <c r="F83" s="7" t="n">
        <v>2034</v>
      </c>
      <c r="G83" s="4" t="n">
        <v>32277.735933152</v>
      </c>
      <c r="H83" s="7" t="n">
        <v>2984.8782044264</v>
      </c>
      <c r="I83" s="7" t="n">
        <v>2609.95576702667</v>
      </c>
      <c r="J83" s="2" t="n">
        <v>3835.830379775</v>
      </c>
      <c r="K83" s="7" t="n">
        <v>2856.39124218231</v>
      </c>
      <c r="R83" s="8" t="n">
        <v>2034</v>
      </c>
      <c r="S83" s="9" t="n">
        <v>8208.68221335193</v>
      </c>
      <c r="T83" s="8" t="n">
        <v>715.542894487987</v>
      </c>
      <c r="U83" s="8" t="n">
        <v>690.330322705772</v>
      </c>
      <c r="V83" s="8" t="n">
        <v>642.206818470189</v>
      </c>
      <c r="W83" s="8" t="n">
        <v>985.626063947566</v>
      </c>
      <c r="X83" s="8" t="n">
        <v>2034</v>
      </c>
      <c r="Y83" s="3" t="n">
        <v>37216.9175436573</v>
      </c>
      <c r="Z83" s="3" t="n">
        <v>3244.16273050423</v>
      </c>
      <c r="AA83" s="3" t="n">
        <v>2911.66810795807</v>
      </c>
      <c r="AB83" s="3" t="n">
        <v>4468.67877174616</v>
      </c>
      <c r="AC83" s="3" t="n">
        <v>3129.85276202281</v>
      </c>
      <c r="AJ83" s="7" t="n">
        <v>2034</v>
      </c>
      <c r="AK83" s="6" t="n">
        <v>9543.41358378998</v>
      </c>
      <c r="AL83" s="7" t="n">
        <v>755.833952288944</v>
      </c>
      <c r="AM83" s="7" t="n">
        <v>727.843089995804</v>
      </c>
      <c r="AN83" s="7" t="n">
        <v>676.63932343996</v>
      </c>
      <c r="AO83" s="7" t="n">
        <v>1070.71579457933</v>
      </c>
      <c r="AP83" s="7" t="n">
        <v>2034</v>
      </c>
      <c r="AQ83" s="2" t="n">
        <v>43268.3867156185</v>
      </c>
      <c r="AR83" s="2" t="n">
        <v>3426.83626286316</v>
      </c>
      <c r="AS83" s="2" t="n">
        <v>3067.77985220335</v>
      </c>
      <c r="AT83" s="2" t="n">
        <v>4854.4626779112</v>
      </c>
      <c r="AU83" s="2" t="n">
        <v>3299.92994746881</v>
      </c>
    </row>
    <row r="84" customFormat="false" ht="15" hidden="false" customHeight="false" outlineLevel="0" collapsed="false">
      <c r="A84" s="6" t="n">
        <v>7133.76820640827</v>
      </c>
      <c r="B84" s="7" t="n">
        <v>811.213238957176</v>
      </c>
      <c r="C84" s="7" t="n">
        <v>789.807748325173</v>
      </c>
      <c r="D84" s="7" t="n">
        <v>728.95244881798</v>
      </c>
      <c r="E84" s="7" t="n">
        <v>1048.59446348934</v>
      </c>
      <c r="F84" s="7" t="n">
        <v>2035</v>
      </c>
      <c r="G84" s="4" t="n">
        <v>32343.4208089592</v>
      </c>
      <c r="H84" s="7" t="n">
        <v>3677.91753169407</v>
      </c>
      <c r="I84" s="7" t="n">
        <v>3304.95961176061</v>
      </c>
      <c r="J84" s="2" t="n">
        <v>4754.16792490042</v>
      </c>
      <c r="K84" s="7" t="n">
        <v>3580.86829052148</v>
      </c>
      <c r="R84" s="8" t="n">
        <v>2035</v>
      </c>
      <c r="S84" s="9" t="n">
        <v>8233.86155983004</v>
      </c>
      <c r="T84" s="8" t="n">
        <v>876.464390935347</v>
      </c>
      <c r="U84" s="8" t="n">
        <v>856.925260946576</v>
      </c>
      <c r="V84" s="8" t="n">
        <v>811.234046975391</v>
      </c>
      <c r="W84" s="8" t="n">
        <v>1136.17142715264</v>
      </c>
      <c r="X84" s="8" t="n">
        <v>2035</v>
      </c>
      <c r="Y84" s="3" t="n">
        <v>37331.0768736597</v>
      </c>
      <c r="Z84" s="3" t="n">
        <v>3973.75633744662</v>
      </c>
      <c r="AA84" s="3" t="n">
        <v>3678.01187208611</v>
      </c>
      <c r="AB84" s="3" t="n">
        <v>5151.22856760375</v>
      </c>
      <c r="AC84" s="3" t="n">
        <v>3885.16889176818</v>
      </c>
      <c r="AJ84" s="7" t="n">
        <v>2035</v>
      </c>
      <c r="AK84" s="6" t="n">
        <v>9614.13861620629</v>
      </c>
      <c r="AL84" s="7" t="n">
        <v>928.558987023312</v>
      </c>
      <c r="AM84" s="7" t="n">
        <v>898.501653514809</v>
      </c>
      <c r="AN84" s="7" t="n">
        <v>850.226626974566</v>
      </c>
      <c r="AO84" s="7" t="n">
        <v>1252.35918866437</v>
      </c>
      <c r="AP84" s="7" t="n">
        <v>2035</v>
      </c>
      <c r="AQ84" s="2" t="n">
        <v>43589.0432633198</v>
      </c>
      <c r="AR84" s="2" t="n">
        <v>4209.94531841635</v>
      </c>
      <c r="AS84" s="2" t="n">
        <v>3854.79830344331</v>
      </c>
      <c r="AT84" s="2" t="n">
        <v>5678.00621928707</v>
      </c>
      <c r="AU84" s="2" t="n">
        <v>4073.66993660798</v>
      </c>
    </row>
    <row r="85" customFormat="false" ht="15" hidden="false" customHeight="false" outlineLevel="0" collapsed="false">
      <c r="A85" s="6" t="n">
        <v>7187.07432314152</v>
      </c>
      <c r="B85" s="7" t="n">
        <v>669.374584740992</v>
      </c>
      <c r="C85" s="7" t="n">
        <v>648.093984918595</v>
      </c>
      <c r="D85" s="7" t="n">
        <v>590.317794107406</v>
      </c>
      <c r="E85" s="7" t="n">
        <v>867.806526029341</v>
      </c>
      <c r="F85" s="7" t="n">
        <v>2035</v>
      </c>
      <c r="G85" s="4" t="n">
        <v>32585.1026403995</v>
      </c>
      <c r="H85" s="7" t="n">
        <v>3034.84263108691</v>
      </c>
      <c r="I85" s="7" t="n">
        <v>2676.41115794612</v>
      </c>
      <c r="J85" s="2" t="n">
        <v>3934.50289384433</v>
      </c>
      <c r="K85" s="7" t="n">
        <v>2938.35962586331</v>
      </c>
      <c r="R85" s="8" t="n">
        <v>2035</v>
      </c>
      <c r="S85" s="9" t="n">
        <v>8289.1881109033</v>
      </c>
      <c r="T85" s="8" t="n">
        <v>732.246933721605</v>
      </c>
      <c r="U85" s="8" t="n">
        <v>696.403961805927</v>
      </c>
      <c r="V85" s="8" t="n">
        <v>644.244144324236</v>
      </c>
      <c r="W85" s="8" t="n">
        <v>980.38420672972</v>
      </c>
      <c r="X85" s="8" t="n">
        <v>2035</v>
      </c>
      <c r="Y85" s="3" t="n">
        <v>37581.9190473181</v>
      </c>
      <c r="Z85" s="3" t="n">
        <v>3319.89630559529</v>
      </c>
      <c r="AA85" s="3" t="n">
        <v>2920.9050337336</v>
      </c>
      <c r="AB85" s="3" t="n">
        <v>4444.91298781377</v>
      </c>
      <c r="AC85" s="3" t="n">
        <v>3157.38971858969</v>
      </c>
      <c r="AJ85" s="7" t="n">
        <v>2035</v>
      </c>
      <c r="AK85" s="6" t="n">
        <v>9652.41091135938</v>
      </c>
      <c r="AL85" s="7" t="n">
        <v>765.613509598044</v>
      </c>
      <c r="AM85" s="7" t="n">
        <v>735.511697636886</v>
      </c>
      <c r="AN85" s="7" t="n">
        <v>682.88686368995</v>
      </c>
      <c r="AO85" s="7" t="n">
        <v>1096.56201555502</v>
      </c>
      <c r="AP85" s="7" t="n">
        <v>2035</v>
      </c>
      <c r="AQ85" s="2" t="n">
        <v>43762.5640326586</v>
      </c>
      <c r="AR85" s="2" t="n">
        <v>3471.17528933859</v>
      </c>
      <c r="AS85" s="2" t="n">
        <v>3096.1052501529</v>
      </c>
      <c r="AT85" s="2" t="n">
        <v>4971.64551552949</v>
      </c>
      <c r="AU85" s="2" t="n">
        <v>3334.69824898602</v>
      </c>
    </row>
    <row r="86" customFormat="false" ht="15" hidden="false" customHeight="false" outlineLevel="0" collapsed="false">
      <c r="A86" s="6" t="n">
        <v>7179.16768215726</v>
      </c>
      <c r="B86" s="7" t="n">
        <v>668.937000059005</v>
      </c>
      <c r="C86" s="7" t="n">
        <v>642.611155671368</v>
      </c>
      <c r="D86" s="7" t="n">
        <v>586.267411350282</v>
      </c>
      <c r="E86" s="7" t="n">
        <v>855.562188296024</v>
      </c>
      <c r="F86" s="7" t="n">
        <v>2035</v>
      </c>
      <c r="G86" s="4" t="n">
        <v>32549.2551318823</v>
      </c>
      <c r="H86" s="7" t="n">
        <v>3032.8586886459</v>
      </c>
      <c r="I86" s="7" t="n">
        <v>2658.0473381302</v>
      </c>
      <c r="J86" s="2" t="n">
        <v>3878.98892753969</v>
      </c>
      <c r="K86" s="7" t="n">
        <v>2913.50131137429</v>
      </c>
      <c r="R86" s="8" t="n">
        <v>2035</v>
      </c>
      <c r="S86" s="9" t="n">
        <v>8309.96802636492</v>
      </c>
      <c r="T86" s="8" t="n">
        <v>720.161103929849</v>
      </c>
      <c r="U86" s="8" t="n">
        <v>696.435170447641</v>
      </c>
      <c r="V86" s="8" t="n">
        <v>643.525041957628</v>
      </c>
      <c r="W86" s="8" t="n">
        <v>954.339777056419</v>
      </c>
      <c r="X86" s="8" t="n">
        <v>2035</v>
      </c>
      <c r="Y86" s="3" t="n">
        <v>37676.1320257474</v>
      </c>
      <c r="Z86" s="3" t="n">
        <v>3265.10099020656</v>
      </c>
      <c r="AA86" s="3" t="n">
        <v>2917.6447328975</v>
      </c>
      <c r="AB86" s="3" t="n">
        <v>4326.83150208562</v>
      </c>
      <c r="AC86" s="3" t="n">
        <v>3157.53121382792</v>
      </c>
      <c r="AJ86" s="7" t="n">
        <v>2035</v>
      </c>
      <c r="AK86" s="6" t="n">
        <v>9665.85370863415</v>
      </c>
      <c r="AL86" s="7" t="n">
        <v>766.243753578006</v>
      </c>
      <c r="AM86" s="7" t="n">
        <v>723.250446786631</v>
      </c>
      <c r="AN86" s="7" t="n">
        <v>667.873265967527</v>
      </c>
      <c r="AO86" s="7" t="n">
        <v>1095.20802993321</v>
      </c>
      <c r="AP86" s="7" t="n">
        <v>2035</v>
      </c>
      <c r="AQ86" s="2" t="n">
        <v>43823.5116323741</v>
      </c>
      <c r="AR86" s="2" t="n">
        <v>3474.03271975495</v>
      </c>
      <c r="AS86" s="2" t="n">
        <v>3028.03587994872</v>
      </c>
      <c r="AT86" s="2" t="n">
        <v>4965.5067505082</v>
      </c>
      <c r="AU86" s="2" t="n">
        <v>3279.10760117975</v>
      </c>
    </row>
    <row r="87" customFormat="false" ht="15" hidden="false" customHeight="false" outlineLevel="0" collapsed="false">
      <c r="A87" s="6" t="n">
        <v>7244.0047252128</v>
      </c>
      <c r="B87" s="7" t="n">
        <v>657.264852107999</v>
      </c>
      <c r="C87" s="7" t="n">
        <v>637.207861649839</v>
      </c>
      <c r="D87" s="7" t="n">
        <v>585.858956576631</v>
      </c>
      <c r="E87" s="7" t="n">
        <v>836.780164863672</v>
      </c>
      <c r="F87" s="7" t="n">
        <v>2035</v>
      </c>
      <c r="G87" s="4" t="n">
        <v>32843.2164307187</v>
      </c>
      <c r="H87" s="7" t="n">
        <v>2979.93894384894</v>
      </c>
      <c r="I87" s="7" t="n">
        <v>2656.19546626622</v>
      </c>
      <c r="J87" s="2" t="n">
        <v>3793.83408791782</v>
      </c>
      <c r="K87" s="7" t="n">
        <v>2889.00359751026</v>
      </c>
      <c r="R87" s="8" t="n">
        <v>2035</v>
      </c>
      <c r="S87" s="9" t="n">
        <v>8360.57995177474</v>
      </c>
      <c r="T87" s="8" t="n">
        <v>715.809743396351</v>
      </c>
      <c r="U87" s="8" t="n">
        <v>696.077643387561</v>
      </c>
      <c r="V87" s="8" t="n">
        <v>650.291354913228</v>
      </c>
      <c r="W87" s="8" t="n">
        <v>946.927791133014</v>
      </c>
      <c r="X87" s="8" t="n">
        <v>2035</v>
      </c>
      <c r="Y87" s="3" t="n">
        <v>37905.5988032088</v>
      </c>
      <c r="Z87" s="3" t="n">
        <v>3245.37258289723</v>
      </c>
      <c r="AA87" s="3" t="n">
        <v>2948.32216744766</v>
      </c>
      <c r="AB87" s="3" t="n">
        <v>4293.22668443323</v>
      </c>
      <c r="AC87" s="3" t="n">
        <v>3155.91024047692</v>
      </c>
      <c r="AJ87" s="7" t="n">
        <v>2035</v>
      </c>
      <c r="AK87" s="6" t="n">
        <v>9766.48572349286</v>
      </c>
      <c r="AL87" s="7" t="n">
        <v>765.073659143839</v>
      </c>
      <c r="AM87" s="7" t="n">
        <v>725.84251438898</v>
      </c>
      <c r="AN87" s="7" t="n">
        <v>681.440945943139</v>
      </c>
      <c r="AO87" s="7" t="n">
        <v>1027.30631240888</v>
      </c>
      <c r="AP87" s="7" t="n">
        <v>2035</v>
      </c>
      <c r="AQ87" s="2" t="n">
        <v>44279.7618930015</v>
      </c>
      <c r="AR87" s="2" t="n">
        <v>3468.72768942939</v>
      </c>
      <c r="AS87" s="2" t="n">
        <v>3089.54967884933</v>
      </c>
      <c r="AT87" s="2" t="n">
        <v>4657.65068342045</v>
      </c>
      <c r="AU87" s="2" t="n">
        <v>3290.85964172863</v>
      </c>
    </row>
    <row r="88" customFormat="false" ht="15" hidden="false" customHeight="false" outlineLevel="0" collapsed="false">
      <c r="A88" s="6" t="n">
        <v>7250.05526926744</v>
      </c>
      <c r="B88" s="7" t="n">
        <v>823.117275629387</v>
      </c>
      <c r="C88" s="7" t="n">
        <v>791.209028030443</v>
      </c>
      <c r="D88" s="7" t="n">
        <v>730.43508158102</v>
      </c>
      <c r="E88" s="7" t="n">
        <v>1028.46733991565</v>
      </c>
      <c r="F88" s="7" t="n">
        <v>2036</v>
      </c>
      <c r="G88" s="4" t="n">
        <v>32870.6486778594</v>
      </c>
      <c r="H88" s="7" t="n">
        <v>3731.88862470895</v>
      </c>
      <c r="I88" s="7" t="n">
        <v>3311.68164336756</v>
      </c>
      <c r="J88" s="2" t="n">
        <v>4662.91460567524</v>
      </c>
      <c r="K88" s="7" t="n">
        <v>3587.2214797291</v>
      </c>
      <c r="R88" s="8" t="n">
        <v>2036</v>
      </c>
      <c r="S88" s="9" t="n">
        <v>8372.56121329854</v>
      </c>
      <c r="T88" s="8" t="n">
        <v>888.228252336871</v>
      </c>
      <c r="U88" s="8" t="n">
        <v>867.670119185336</v>
      </c>
      <c r="V88" s="8" t="n">
        <v>818.069016679824</v>
      </c>
      <c r="W88" s="8" t="n">
        <v>1168.3228877832</v>
      </c>
      <c r="X88" s="8" t="n">
        <v>2036</v>
      </c>
      <c r="Y88" s="3" t="n">
        <v>37959.9200219637</v>
      </c>
      <c r="Z88" s="3" t="n">
        <v>4027.091897089</v>
      </c>
      <c r="AA88" s="3" t="n">
        <v>3709.00058590056</v>
      </c>
      <c r="AB88" s="3" t="n">
        <v>5296.99840350376</v>
      </c>
      <c r="AC88" s="3" t="n">
        <v>3933.88444594566</v>
      </c>
      <c r="AJ88" s="7" t="n">
        <v>2036</v>
      </c>
      <c r="AK88" s="6" t="n">
        <v>9815.85634507882</v>
      </c>
      <c r="AL88" s="7" t="n">
        <v>937.321155668562</v>
      </c>
      <c r="AM88" s="7" t="n">
        <v>910.583891295513</v>
      </c>
      <c r="AN88" s="7" t="n">
        <v>861.413460367599</v>
      </c>
      <c r="AO88" s="7" t="n">
        <v>1300.59308271628</v>
      </c>
      <c r="AP88" s="7" t="n">
        <v>2036</v>
      </c>
      <c r="AQ88" s="2" t="n">
        <v>44503.6007875874</v>
      </c>
      <c r="AR88" s="2" t="n">
        <v>4249.67165931958</v>
      </c>
      <c r="AS88" s="2" t="n">
        <v>3905.51770579585</v>
      </c>
      <c r="AT88" s="2" t="n">
        <v>5896.69136400123</v>
      </c>
      <c r="AU88" s="2" t="n">
        <v>4128.44896636453</v>
      </c>
    </row>
    <row r="89" customFormat="false" ht="15" hidden="false" customHeight="false" outlineLevel="0" collapsed="false">
      <c r="A89" s="6" t="n">
        <v>7268.94603429466</v>
      </c>
      <c r="B89" s="7" t="n">
        <v>681.008297446198</v>
      </c>
      <c r="C89" s="7" t="n">
        <v>646.044753664413</v>
      </c>
      <c r="D89" s="7" t="n">
        <v>595.382939304695</v>
      </c>
      <c r="E89" s="7" t="n">
        <v>835.70979475732</v>
      </c>
      <c r="F89" s="7" t="n">
        <v>2036</v>
      </c>
      <c r="G89" s="4" t="n">
        <v>32956.2965353451</v>
      </c>
      <c r="H89" s="7" t="n">
        <v>3087.58811632107</v>
      </c>
      <c r="I89" s="7" t="n">
        <v>2699.37575643521</v>
      </c>
      <c r="J89" s="2" t="n">
        <v>3788.98119253779</v>
      </c>
      <c r="K89" s="7" t="n">
        <v>2929.06872281304</v>
      </c>
      <c r="R89" s="8" t="n">
        <v>2036</v>
      </c>
      <c r="S89" s="9" t="n">
        <v>8431.84833803401</v>
      </c>
      <c r="T89" s="8" t="n">
        <v>739.664729169806</v>
      </c>
      <c r="U89" s="8" t="n">
        <v>714.22622514157</v>
      </c>
      <c r="V89" s="8" t="n">
        <v>667.821651053334</v>
      </c>
      <c r="W89" s="8" t="n">
        <v>995.130695533574</v>
      </c>
      <c r="X89" s="8" t="n">
        <v>2036</v>
      </c>
      <c r="Y89" s="3" t="n">
        <v>38228.7188346515</v>
      </c>
      <c r="Z89" s="3" t="n">
        <v>3353.52746275014</v>
      </c>
      <c r="AA89" s="3" t="n">
        <v>3027.80186577256</v>
      </c>
      <c r="AB89" s="3" t="n">
        <v>4511.77132677819</v>
      </c>
      <c r="AC89" s="3" t="n">
        <v>3238.19315180399</v>
      </c>
      <c r="AJ89" s="7" t="n">
        <v>2036</v>
      </c>
      <c r="AK89" s="6" t="n">
        <v>9859.41072863198</v>
      </c>
      <c r="AL89" s="7" t="n">
        <v>774.684006951806</v>
      </c>
      <c r="AM89" s="7" t="n">
        <v>729.90644798964</v>
      </c>
      <c r="AN89" s="7" t="n">
        <v>678.65476400467</v>
      </c>
      <c r="AO89" s="7" t="n">
        <v>1065.87681685761</v>
      </c>
      <c r="AP89" s="7" t="n">
        <v>2036</v>
      </c>
      <c r="AQ89" s="2" t="n">
        <v>44701.0697429242</v>
      </c>
      <c r="AR89" s="2" t="n">
        <v>3512.29954574431</v>
      </c>
      <c r="AS89" s="2" t="n">
        <v>3076.9175534033</v>
      </c>
      <c r="AT89" s="2" t="n">
        <v>4832.52348838186</v>
      </c>
      <c r="AU89" s="2" t="n">
        <v>3309.2848990096</v>
      </c>
    </row>
    <row r="90" customFormat="false" ht="15" hidden="false" customHeight="false" outlineLevel="0" collapsed="false">
      <c r="A90" s="6" t="n">
        <v>7294.2408425548</v>
      </c>
      <c r="B90" s="7" t="n">
        <v>675.158354686102</v>
      </c>
      <c r="C90" s="7" t="n">
        <v>642.665474305361</v>
      </c>
      <c r="D90" s="7" t="n">
        <v>581.348540884314</v>
      </c>
      <c r="E90" s="7" t="n">
        <v>868.652904347929</v>
      </c>
      <c r="F90" s="7" t="n">
        <v>2036</v>
      </c>
      <c r="G90" s="4" t="n">
        <v>33070.9793515185</v>
      </c>
      <c r="H90" s="7" t="n">
        <v>3061.06536496112</v>
      </c>
      <c r="I90" s="7" t="n">
        <v>2635.74592704109</v>
      </c>
      <c r="J90" s="2" t="n">
        <v>3938.34024450244</v>
      </c>
      <c r="K90" s="7" t="n">
        <v>2913.74758380509</v>
      </c>
      <c r="R90" s="8" t="n">
        <v>2036</v>
      </c>
      <c r="S90" s="9" t="n">
        <v>8458.72250761145</v>
      </c>
      <c r="T90" s="8" t="n">
        <v>743.90319941698</v>
      </c>
      <c r="U90" s="8" t="n">
        <v>708.946458472669</v>
      </c>
      <c r="V90" s="8" t="n">
        <v>666.828103293911</v>
      </c>
      <c r="W90" s="8" t="n">
        <v>967.650229504917</v>
      </c>
      <c r="X90" s="8" t="n">
        <v>2036</v>
      </c>
      <c r="Y90" s="3" t="n">
        <v>38350.5622349954</v>
      </c>
      <c r="Z90" s="3" t="n">
        <v>3372.74404265912</v>
      </c>
      <c r="AA90" s="3" t="n">
        <v>3023.29727123752</v>
      </c>
      <c r="AB90" s="3" t="n">
        <v>4387.17907047348</v>
      </c>
      <c r="AC90" s="3" t="n">
        <v>3214.25549218225</v>
      </c>
      <c r="AJ90" s="7" t="n">
        <v>2036</v>
      </c>
      <c r="AK90" s="6" t="n">
        <v>9917.88142325939</v>
      </c>
      <c r="AL90" s="7" t="n">
        <v>769.642271353789</v>
      </c>
      <c r="AM90" s="7" t="n">
        <v>726.490906682547</v>
      </c>
      <c r="AN90" s="7" t="n">
        <v>676.052063113855</v>
      </c>
      <c r="AO90" s="7" t="n">
        <v>1110.51170585618</v>
      </c>
      <c r="AP90" s="7" t="n">
        <v>2036</v>
      </c>
      <c r="AQ90" s="2" t="n">
        <v>44966.1669855887</v>
      </c>
      <c r="AR90" s="2" t="n">
        <v>3489.44108282037</v>
      </c>
      <c r="AS90" s="2" t="n">
        <v>3065.11730314063</v>
      </c>
      <c r="AT90" s="2" t="n">
        <v>5034.89129118559</v>
      </c>
      <c r="AU90" s="2" t="n">
        <v>3293.79935384057</v>
      </c>
    </row>
    <row r="91" customFormat="false" ht="15" hidden="false" customHeight="false" outlineLevel="0" collapsed="false">
      <c r="A91" s="6" t="n">
        <v>7301.48743682526</v>
      </c>
      <c r="B91" s="7" t="n">
        <v>669.825143290308</v>
      </c>
      <c r="C91" s="7" t="n">
        <v>637.384970175649</v>
      </c>
      <c r="D91" s="7" t="n">
        <v>577.928763929267</v>
      </c>
      <c r="E91" s="7" t="n">
        <v>862.1993953195</v>
      </c>
      <c r="F91" s="7" t="n">
        <v>2036</v>
      </c>
      <c r="G91" s="4" t="n">
        <v>33103.8343085538</v>
      </c>
      <c r="H91" s="7" t="n">
        <v>3036.88539507054</v>
      </c>
      <c r="I91" s="7" t="n">
        <v>2620.241178088</v>
      </c>
      <c r="J91" s="2" t="n">
        <v>3909.081015416</v>
      </c>
      <c r="K91" s="7" t="n">
        <v>2889.80658064812</v>
      </c>
      <c r="R91" s="8" t="n">
        <v>2036</v>
      </c>
      <c r="S91" s="9" t="n">
        <v>8493.58706735557</v>
      </c>
      <c r="T91" s="8" t="n">
        <v>744.909852425553</v>
      </c>
      <c r="U91" s="8" t="n">
        <v>699.411880531466</v>
      </c>
      <c r="V91" s="8" t="n">
        <v>648.001768691514</v>
      </c>
      <c r="W91" s="8" t="n">
        <v>990.860870958413</v>
      </c>
      <c r="X91" s="8" t="n">
        <v>2036</v>
      </c>
      <c r="Y91" s="3" t="n">
        <v>38508.632849921</v>
      </c>
      <c r="Z91" s="3" t="n">
        <v>3377.30805440198</v>
      </c>
      <c r="AA91" s="3" t="n">
        <v>2937.94153150538</v>
      </c>
      <c r="AB91" s="3" t="n">
        <v>4492.41259111156</v>
      </c>
      <c r="AC91" s="3" t="n">
        <v>3171.02716492722</v>
      </c>
      <c r="AJ91" s="7" t="n">
        <v>2036</v>
      </c>
      <c r="AK91" s="6" t="n">
        <v>9999.36188033317</v>
      </c>
      <c r="AL91" s="7" t="n">
        <v>784.382890589959</v>
      </c>
      <c r="AM91" s="7" t="n">
        <v>734.094045471641</v>
      </c>
      <c r="AN91" s="7" t="n">
        <v>685.21363326737</v>
      </c>
      <c r="AO91" s="7" t="n">
        <v>1078.64192569814</v>
      </c>
      <c r="AP91" s="7" t="n">
        <v>2036</v>
      </c>
      <c r="AQ91" s="2" t="n">
        <v>45335.586994004</v>
      </c>
      <c r="AR91" s="2" t="n">
        <v>3556.27281005701</v>
      </c>
      <c r="AS91" s="2" t="n">
        <v>3106.65446977856</v>
      </c>
      <c r="AT91" s="2" t="n">
        <v>4890.39855173625</v>
      </c>
      <c r="AU91" s="2" t="n">
        <v>3328.27082953327</v>
      </c>
    </row>
    <row r="92" customFormat="false" ht="15" hidden="false" customHeight="false" outlineLevel="0" collapsed="false">
      <c r="A92" s="6" t="n">
        <v>7336.56237549718</v>
      </c>
      <c r="B92" s="7" t="n">
        <v>824.363974135932</v>
      </c>
      <c r="C92" s="7" t="n">
        <v>801.529710735573</v>
      </c>
      <c r="D92" s="7" t="n">
        <v>738.358031961865</v>
      </c>
      <c r="E92" s="7" t="n">
        <v>1052.55241335533</v>
      </c>
      <c r="F92" s="7" t="n">
        <v>2037</v>
      </c>
      <c r="G92" s="4" t="n">
        <v>33262.8587495632</v>
      </c>
      <c r="H92" s="7" t="n">
        <v>3737.54096625585</v>
      </c>
      <c r="I92" s="7" t="n">
        <v>3347.60309621011</v>
      </c>
      <c r="J92" s="2" t="n">
        <v>4772.11266803652</v>
      </c>
      <c r="K92" s="7" t="n">
        <v>3634.01388650619</v>
      </c>
      <c r="R92" s="8" t="n">
        <v>2037</v>
      </c>
      <c r="S92" s="9" t="n">
        <v>8517.75003540554</v>
      </c>
      <c r="T92" s="8" t="n">
        <v>897.889444685851</v>
      </c>
      <c r="U92" s="8" t="n">
        <v>875.660634713922</v>
      </c>
      <c r="V92" s="8" t="n">
        <v>819.547432262179</v>
      </c>
      <c r="W92" s="8" t="n">
        <v>1191.69045529506</v>
      </c>
      <c r="X92" s="8" t="n">
        <v>2037</v>
      </c>
      <c r="Y92" s="3" t="n">
        <v>38618.1840746063</v>
      </c>
      <c r="Z92" s="3" t="n">
        <v>4070.89427482517</v>
      </c>
      <c r="AA92" s="3" t="n">
        <v>3715.70349745124</v>
      </c>
      <c r="AB92" s="3" t="n">
        <v>5402.94340303976</v>
      </c>
      <c r="AC92" s="3" t="n">
        <v>3970.11222889905</v>
      </c>
      <c r="AJ92" s="7" t="n">
        <v>2037</v>
      </c>
      <c r="AK92" s="6" t="n">
        <v>10012.4482412351</v>
      </c>
      <c r="AL92" s="7" t="n">
        <v>947.209848833336</v>
      </c>
      <c r="AM92" s="7" t="n">
        <v>913.948949553886</v>
      </c>
      <c r="AN92" s="7" t="n">
        <v>862.206290901125</v>
      </c>
      <c r="AO92" s="7" t="n">
        <v>1268.97609501431</v>
      </c>
      <c r="AP92" s="7" t="n">
        <v>2037</v>
      </c>
      <c r="AQ92" s="2" t="n">
        <v>45394.9185653787</v>
      </c>
      <c r="AR92" s="2" t="n">
        <v>4294.50549117743</v>
      </c>
      <c r="AS92" s="2" t="n">
        <v>3909.11227893505</v>
      </c>
      <c r="AT92" s="2" t="n">
        <v>5753.34474712659</v>
      </c>
      <c r="AU92" s="2" t="n">
        <v>4143.70562906342</v>
      </c>
    </row>
    <row r="93" customFormat="false" ht="15" hidden="false" customHeight="false" outlineLevel="0" collapsed="false">
      <c r="A93" s="6" t="n">
        <v>7320.96845271297</v>
      </c>
      <c r="B93" s="7" t="n">
        <v>693.728716162363</v>
      </c>
      <c r="C93" s="7" t="n">
        <v>654.828906383841</v>
      </c>
      <c r="D93" s="7" t="n">
        <v>591.718921859376</v>
      </c>
      <c r="E93" s="7" t="n">
        <v>976.309319987407</v>
      </c>
      <c r="F93" s="7" t="n">
        <v>2037</v>
      </c>
      <c r="G93" s="4" t="n">
        <v>33192.1582737306</v>
      </c>
      <c r="H93" s="7" t="n">
        <v>3145.2605614439</v>
      </c>
      <c r="I93" s="7" t="n">
        <v>2682.76365822057</v>
      </c>
      <c r="J93" s="2" t="n">
        <v>4426.43807065328</v>
      </c>
      <c r="K93" s="7" t="n">
        <v>2968.8947361673</v>
      </c>
      <c r="R93" s="8" t="n">
        <v>2037</v>
      </c>
      <c r="S93" s="9" t="n">
        <v>8521.03843251069</v>
      </c>
      <c r="T93" s="8" t="n">
        <v>740.89855230047</v>
      </c>
      <c r="U93" s="8" t="n">
        <v>714.737963107924</v>
      </c>
      <c r="V93" s="8" t="n">
        <v>658.957025409495</v>
      </c>
      <c r="W93" s="8" t="n">
        <v>1035.04105017642</v>
      </c>
      <c r="X93" s="8" t="n">
        <v>2037</v>
      </c>
      <c r="Y93" s="3" t="n">
        <v>38633.093167288</v>
      </c>
      <c r="Z93" s="3" t="n">
        <v>3359.12142929969</v>
      </c>
      <c r="AA93" s="3" t="n">
        <v>2987.61100040984</v>
      </c>
      <c r="AB93" s="3" t="n">
        <v>4692.71880888012</v>
      </c>
      <c r="AC93" s="3" t="n">
        <v>3240.513293966</v>
      </c>
      <c r="AJ93" s="7" t="n">
        <v>2037</v>
      </c>
      <c r="AK93" s="6" t="n">
        <v>10041.740831781</v>
      </c>
      <c r="AL93" s="7" t="n">
        <v>786.573817452993</v>
      </c>
      <c r="AM93" s="7" t="n">
        <v>736.775142949776</v>
      </c>
      <c r="AN93" s="7" t="n">
        <v>685.340950642589</v>
      </c>
      <c r="AO93" s="7" t="n">
        <v>1082.56602630934</v>
      </c>
      <c r="AP93" s="7" t="n">
        <v>2037</v>
      </c>
      <c r="AQ93" s="2" t="n">
        <v>45527.7267188255</v>
      </c>
      <c r="AR93" s="2" t="n">
        <v>3566.20613946195</v>
      </c>
      <c r="AS93" s="2" t="n">
        <v>3107.23170740724</v>
      </c>
      <c r="AT93" s="2" t="n">
        <v>4908.18982749577</v>
      </c>
      <c r="AU93" s="2" t="n">
        <v>3340.4265180076</v>
      </c>
    </row>
    <row r="94" customFormat="false" ht="15" hidden="false" customHeight="false" outlineLevel="0" collapsed="false">
      <c r="A94" s="6" t="n">
        <v>7340.32841435066</v>
      </c>
      <c r="B94" s="7" t="n">
        <v>682.371337529657</v>
      </c>
      <c r="C94" s="7" t="n">
        <v>655.401939100059</v>
      </c>
      <c r="D94" s="7" t="n">
        <v>601.799728994275</v>
      </c>
      <c r="E94" s="7" t="n">
        <v>937.450377254266</v>
      </c>
      <c r="F94" s="7" t="n">
        <v>2037</v>
      </c>
      <c r="G94" s="4" t="n">
        <v>33279.9333973365</v>
      </c>
      <c r="H94" s="7" t="n">
        <v>3093.76793289532</v>
      </c>
      <c r="I94" s="7" t="n">
        <v>2728.46850562017</v>
      </c>
      <c r="J94" s="2" t="n">
        <v>4250.25753034918</v>
      </c>
      <c r="K94" s="7" t="n">
        <v>2971.4927794092</v>
      </c>
      <c r="R94" s="8" t="n">
        <v>2037</v>
      </c>
      <c r="S94" s="9" t="n">
        <v>8573.02759321808</v>
      </c>
      <c r="T94" s="8" t="n">
        <v>749.722762838716</v>
      </c>
      <c r="U94" s="8" t="n">
        <v>712.937017983222</v>
      </c>
      <c r="V94" s="8" t="n">
        <v>664.382411440136</v>
      </c>
      <c r="W94" s="8" t="n">
        <v>1034.22650682539</v>
      </c>
      <c r="X94" s="8" t="n">
        <v>2037</v>
      </c>
      <c r="Y94" s="3" t="n">
        <v>38868.804120267</v>
      </c>
      <c r="Z94" s="3" t="n">
        <v>3399.12905871621</v>
      </c>
      <c r="AA94" s="3" t="n">
        <v>3012.20887608548</v>
      </c>
      <c r="AB94" s="3" t="n">
        <v>4689.02579312642</v>
      </c>
      <c r="AC94" s="3" t="n">
        <v>3232.34808249056</v>
      </c>
      <c r="AJ94" s="7" t="n">
        <v>2037</v>
      </c>
      <c r="AK94" s="6" t="n">
        <v>10096.0106789354</v>
      </c>
      <c r="AL94" s="7" t="n">
        <v>776.184687734189</v>
      </c>
      <c r="AM94" s="7" t="n">
        <v>726.931669169928</v>
      </c>
      <c r="AN94" s="7" t="n">
        <v>681.659820664293</v>
      </c>
      <c r="AO94" s="7" t="n">
        <v>1062.84125977696</v>
      </c>
      <c r="AP94" s="7" t="n">
        <v>2037</v>
      </c>
      <c r="AQ94" s="2" t="n">
        <v>45773.7779575209</v>
      </c>
      <c r="AR94" s="2" t="n">
        <v>3519.1034043279</v>
      </c>
      <c r="AS94" s="2" t="n">
        <v>3090.54202356896</v>
      </c>
      <c r="AT94" s="2" t="n">
        <v>4818.76073394292</v>
      </c>
      <c r="AU94" s="2" t="n">
        <v>3295.79770396826</v>
      </c>
    </row>
    <row r="95" customFormat="false" ht="15" hidden="false" customHeight="false" outlineLevel="0" collapsed="false">
      <c r="A95" s="6" t="n">
        <v>7348.17455362887</v>
      </c>
      <c r="B95" s="7" t="n">
        <v>675.848431051726</v>
      </c>
      <c r="C95" s="7" t="n">
        <v>646.586161600385</v>
      </c>
      <c r="D95" s="7" t="n">
        <v>590.493031827462</v>
      </c>
      <c r="E95" s="7" t="n">
        <v>913.592489794197</v>
      </c>
      <c r="F95" s="7" t="n">
        <v>2037</v>
      </c>
      <c r="G95" s="4" t="n">
        <v>33315.506600314</v>
      </c>
      <c r="H95" s="7" t="n">
        <v>3064.19406632033</v>
      </c>
      <c r="I95" s="7" t="n">
        <v>2677.20565913503</v>
      </c>
      <c r="J95" s="2" t="n">
        <v>4142.08949469018</v>
      </c>
      <c r="K95" s="7" t="n">
        <v>2931.52338410785</v>
      </c>
      <c r="R95" s="8" t="n">
        <v>2037</v>
      </c>
      <c r="S95" s="9" t="n">
        <v>8617.00901687813</v>
      </c>
      <c r="T95" s="8" t="n">
        <v>736.677768458268</v>
      </c>
      <c r="U95" s="8" t="n">
        <v>701.617919928995</v>
      </c>
      <c r="V95" s="8" t="n">
        <v>653.399038715351</v>
      </c>
      <c r="W95" s="8" t="n">
        <v>1021.56363735723</v>
      </c>
      <c r="X95" s="8" t="n">
        <v>2037</v>
      </c>
      <c r="Y95" s="3" t="n">
        <v>39068.209210544</v>
      </c>
      <c r="Z95" s="3" t="n">
        <v>3339.98503686275</v>
      </c>
      <c r="AA95" s="3" t="n">
        <v>2962.41193347944</v>
      </c>
      <c r="AB95" s="3" t="n">
        <v>4631.61426754731</v>
      </c>
      <c r="AC95" s="3" t="n">
        <v>3181.02901226665</v>
      </c>
      <c r="AJ95" s="7" t="n">
        <v>2037</v>
      </c>
      <c r="AK95" s="6" t="n">
        <v>10158.3147659529</v>
      </c>
      <c r="AL95" s="7" t="n">
        <v>773.096363149659</v>
      </c>
      <c r="AM95" s="7" t="n">
        <v>725.36971626274</v>
      </c>
      <c r="AN95" s="7" t="n">
        <v>676.596809110169</v>
      </c>
      <c r="AO95" s="7" t="n">
        <v>1113.05188659662</v>
      </c>
      <c r="AP95" s="7" t="n">
        <v>2037</v>
      </c>
      <c r="AQ95" s="2" t="n">
        <v>46056.2552186568</v>
      </c>
      <c r="AR95" s="2" t="n">
        <v>3505.10141004634</v>
      </c>
      <c r="AS95" s="2" t="n">
        <v>3067.58709869369</v>
      </c>
      <c r="AT95" s="2" t="n">
        <v>5046.40808458869</v>
      </c>
      <c r="AU95" s="2" t="n">
        <v>3288.71604688336</v>
      </c>
    </row>
    <row r="96" customFormat="false" ht="15" hidden="false" customHeight="false" outlineLevel="0" collapsed="false">
      <c r="A96" s="6" t="n">
        <v>7376.14869182157</v>
      </c>
      <c r="B96" s="7" t="n">
        <v>820.258011962905</v>
      </c>
      <c r="C96" s="7" t="n">
        <v>803.002449465561</v>
      </c>
      <c r="D96" s="7" t="n">
        <v>738.121669638314</v>
      </c>
      <c r="E96" s="7" t="n">
        <v>1061.1846813303</v>
      </c>
      <c r="F96" s="7" t="n">
        <v>2038</v>
      </c>
      <c r="G96" s="4" t="n">
        <v>33442.3370911788</v>
      </c>
      <c r="H96" s="7" t="n">
        <v>3718.92515781557</v>
      </c>
      <c r="I96" s="7" t="n">
        <v>3346.5314653591</v>
      </c>
      <c r="J96" s="2" t="n">
        <v>4811.25005904389</v>
      </c>
      <c r="K96" s="7" t="n">
        <v>3640.69106007105</v>
      </c>
      <c r="R96" s="8" t="n">
        <v>2038</v>
      </c>
      <c r="S96" s="9" t="n">
        <v>8680.95201379023</v>
      </c>
      <c r="T96" s="8" t="n">
        <v>888.780812718901</v>
      </c>
      <c r="U96" s="8" t="n">
        <v>875.12774957277</v>
      </c>
      <c r="V96" s="8" t="n">
        <v>823.754830476061</v>
      </c>
      <c r="W96" s="8" t="n">
        <v>1217.34977503852</v>
      </c>
      <c r="X96" s="8" t="n">
        <v>2038</v>
      </c>
      <c r="Y96" s="3" t="n">
        <v>39358.1170400493</v>
      </c>
      <c r="Z96" s="3" t="n">
        <v>4029.59712187922</v>
      </c>
      <c r="AA96" s="3" t="n">
        <v>3734.77920148382</v>
      </c>
      <c r="AB96" s="3" t="n">
        <v>5519.27885887766</v>
      </c>
      <c r="AC96" s="3" t="n">
        <v>3967.6962086606</v>
      </c>
      <c r="AJ96" s="7" t="n">
        <v>2038</v>
      </c>
      <c r="AK96" s="6" t="n">
        <v>10218.7347322209</v>
      </c>
      <c r="AL96" s="7" t="n">
        <v>959.617300664133</v>
      </c>
      <c r="AM96" s="7" t="n">
        <v>930.375970258516</v>
      </c>
      <c r="AN96" s="7" t="n">
        <v>881.368818926799</v>
      </c>
      <c r="AO96" s="7" t="n">
        <v>1281.10759091746</v>
      </c>
      <c r="AP96" s="7" t="n">
        <v>2038</v>
      </c>
      <c r="AQ96" s="2" t="n">
        <v>46330.1901626761</v>
      </c>
      <c r="AR96" s="2" t="n">
        <v>4350.75899200885</v>
      </c>
      <c r="AS96" s="2" t="n">
        <v>3995.99226855135</v>
      </c>
      <c r="AT96" s="2" t="n">
        <v>5808.34710572373</v>
      </c>
      <c r="AU96" s="2" t="n">
        <v>4218.18324424722</v>
      </c>
    </row>
    <row r="97" customFormat="false" ht="15" hidden="false" customHeight="false" outlineLevel="0" collapsed="false">
      <c r="A97" s="6" t="n">
        <v>7397.18813670135</v>
      </c>
      <c r="B97" s="7" t="n">
        <v>702.913553374102</v>
      </c>
      <c r="C97" s="7" t="n">
        <v>669.662983725159</v>
      </c>
      <c r="D97" s="7" t="n">
        <v>613.045287670498</v>
      </c>
      <c r="E97" s="7" t="n">
        <v>906.344934694389</v>
      </c>
      <c r="F97" s="7" t="n">
        <v>2038</v>
      </c>
      <c r="G97" s="4" t="n">
        <v>33537.7267365449</v>
      </c>
      <c r="H97" s="7" t="n">
        <v>3186.90321738753</v>
      </c>
      <c r="I97" s="7" t="n">
        <v>2779.45415948123</v>
      </c>
      <c r="J97" s="2" t="n">
        <v>4109.23018140066</v>
      </c>
      <c r="K97" s="7" t="n">
        <v>3036.15018824828</v>
      </c>
      <c r="R97" s="8" t="n">
        <v>2038</v>
      </c>
      <c r="S97" s="9" t="n">
        <v>8706.38190143654</v>
      </c>
      <c r="T97" s="8" t="n">
        <v>744.416084395585</v>
      </c>
      <c r="U97" s="8" t="n">
        <v>714.249454447836</v>
      </c>
      <c r="V97" s="8" t="n">
        <v>664.594479669689</v>
      </c>
      <c r="W97" s="8" t="n">
        <v>1040.86037003368</v>
      </c>
      <c r="X97" s="8" t="n">
        <v>2038</v>
      </c>
      <c r="Y97" s="3" t="n">
        <v>39473.4122856294</v>
      </c>
      <c r="Z97" s="3" t="n">
        <v>3375.06938520035</v>
      </c>
      <c r="AA97" s="3" t="n">
        <v>3013.1703612067</v>
      </c>
      <c r="AB97" s="3" t="n">
        <v>4719.10272065289</v>
      </c>
      <c r="AC97" s="3" t="n">
        <v>3238.29846994805</v>
      </c>
      <c r="AJ97" s="7" t="n">
        <v>2038</v>
      </c>
      <c r="AK97" s="6" t="n">
        <v>10253.9575558108</v>
      </c>
      <c r="AL97" s="7" t="n">
        <v>797.442402004118</v>
      </c>
      <c r="AM97" s="7" t="n">
        <v>748.515039240814</v>
      </c>
      <c r="AN97" s="7" t="n">
        <v>702.179712716242</v>
      </c>
      <c r="AO97" s="7" t="n">
        <v>1105.95736490883</v>
      </c>
      <c r="AP97" s="7" t="n">
        <v>2038</v>
      </c>
      <c r="AQ97" s="2" t="n">
        <v>46489.885091427</v>
      </c>
      <c r="AR97" s="2" t="n">
        <v>3615.48264993492</v>
      </c>
      <c r="AS97" s="2" t="n">
        <v>3183.57609537892</v>
      </c>
      <c r="AT97" s="2" t="n">
        <v>5014.24260153019</v>
      </c>
      <c r="AU97" s="2" t="n">
        <v>3393.65342348141</v>
      </c>
    </row>
    <row r="98" customFormat="false" ht="15" hidden="false" customHeight="false" outlineLevel="0" collapsed="false">
      <c r="A98" s="6" t="n">
        <v>7371.35496731314</v>
      </c>
      <c r="B98" s="7" t="n">
        <v>690.272941788029</v>
      </c>
      <c r="C98" s="7" t="n">
        <v>666.183320543085</v>
      </c>
      <c r="D98" s="7" t="n">
        <v>605.16053401666</v>
      </c>
      <c r="E98" s="7" t="n">
        <v>902.768161781654</v>
      </c>
      <c r="F98" s="7" t="n">
        <v>2038</v>
      </c>
      <c r="G98" s="4" t="n">
        <v>33420.6030728406</v>
      </c>
      <c r="H98" s="7" t="n">
        <v>3129.59260566291</v>
      </c>
      <c r="I98" s="7" t="n">
        <v>2743.70588479353</v>
      </c>
      <c r="J98" s="2" t="n">
        <v>4093.01363663674</v>
      </c>
      <c r="K98" s="7" t="n">
        <v>3020.37392424377</v>
      </c>
      <c r="R98" s="8" t="n">
        <v>2038</v>
      </c>
      <c r="S98" s="9" t="n">
        <v>8758.29243981613</v>
      </c>
      <c r="T98" s="8" t="n">
        <v>758.153281772411</v>
      </c>
      <c r="U98" s="8" t="n">
        <v>719.533323176993</v>
      </c>
      <c r="V98" s="8" t="n">
        <v>673.060543563309</v>
      </c>
      <c r="W98" s="8" t="n">
        <v>1018.19651082979</v>
      </c>
      <c r="X98" s="8" t="n">
        <v>2038</v>
      </c>
      <c r="Y98" s="3" t="n">
        <v>39708.7667769237</v>
      </c>
      <c r="Z98" s="3" t="n">
        <v>3437.35175023364</v>
      </c>
      <c r="AA98" s="3" t="n">
        <v>3051.55420817006</v>
      </c>
      <c r="AB98" s="3" t="n">
        <v>4616.34822763082</v>
      </c>
      <c r="AC98" s="3" t="n">
        <v>3262.25472768753</v>
      </c>
      <c r="AJ98" s="7" t="n">
        <v>2038</v>
      </c>
      <c r="AK98" s="6" t="n">
        <v>10320.9033098827</v>
      </c>
      <c r="AL98" s="7" t="n">
        <v>785.129563234294</v>
      </c>
      <c r="AM98" s="7" t="n">
        <v>753.100703243208</v>
      </c>
      <c r="AN98" s="7" t="n">
        <v>706.612937939515</v>
      </c>
      <c r="AO98" s="7" t="n">
        <v>1066.33885130592</v>
      </c>
      <c r="AP98" s="7" t="n">
        <v>2038</v>
      </c>
      <c r="AQ98" s="2" t="n">
        <v>46793.4069655153</v>
      </c>
      <c r="AR98" s="2" t="n">
        <v>3559.65811034201</v>
      </c>
      <c r="AS98" s="2" t="n">
        <v>3203.67566474934</v>
      </c>
      <c r="AT98" s="2" t="n">
        <v>4834.61828234734</v>
      </c>
      <c r="AU98" s="2" t="n">
        <v>3414.44412710768</v>
      </c>
    </row>
    <row r="99" customFormat="false" ht="15" hidden="false" customHeight="false" outlineLevel="0" collapsed="false">
      <c r="A99" s="6" t="n">
        <v>7419.71363149411</v>
      </c>
      <c r="B99" s="7" t="n">
        <v>706.312377333627</v>
      </c>
      <c r="C99" s="7" t="n">
        <v>672.135605828175</v>
      </c>
      <c r="D99" s="7" t="n">
        <v>618.303229998922</v>
      </c>
      <c r="E99" s="7" t="n">
        <v>899.873223151275</v>
      </c>
      <c r="F99" s="7" t="n">
        <v>2038</v>
      </c>
      <c r="G99" s="4" t="n">
        <v>33639.8539063565</v>
      </c>
      <c r="H99" s="7" t="n">
        <v>3202.3129686435</v>
      </c>
      <c r="I99" s="7" t="n">
        <v>2803.29287086026</v>
      </c>
      <c r="J99" s="2" t="n">
        <v>4079.88842487918</v>
      </c>
      <c r="K99" s="7" t="n">
        <v>3047.36068105733</v>
      </c>
      <c r="R99" s="8" t="n">
        <v>2038</v>
      </c>
      <c r="S99" s="9" t="n">
        <v>8823.7043955459</v>
      </c>
      <c r="T99" s="8" t="n">
        <v>742.966304259169</v>
      </c>
      <c r="U99" s="8" t="n">
        <v>714.041918486157</v>
      </c>
      <c r="V99" s="8" t="n">
        <v>662.877098037645</v>
      </c>
      <c r="W99" s="8" t="n">
        <v>1043.67784863308</v>
      </c>
      <c r="X99" s="8" t="n">
        <v>2038</v>
      </c>
      <c r="Y99" s="3" t="n">
        <v>40005.334642446</v>
      </c>
      <c r="Z99" s="3" t="n">
        <v>3368.49630240934</v>
      </c>
      <c r="AA99" s="3" t="n">
        <v>3005.38401390642</v>
      </c>
      <c r="AB99" s="3" t="n">
        <v>4731.8767404029</v>
      </c>
      <c r="AC99" s="3" t="n">
        <v>3237.35753344053</v>
      </c>
      <c r="AJ99" s="7" t="n">
        <v>2038</v>
      </c>
      <c r="AK99" s="6" t="n">
        <v>10370.074314286</v>
      </c>
      <c r="AL99" s="7" t="n">
        <v>799.253493092447</v>
      </c>
      <c r="AM99" s="7" t="n">
        <v>750.564036671963</v>
      </c>
      <c r="AN99" s="7" t="n">
        <v>703.259289240749</v>
      </c>
      <c r="AO99" s="7" t="n">
        <v>1178.66304904779</v>
      </c>
      <c r="AP99" s="7" t="n">
        <v>2038</v>
      </c>
      <c r="AQ99" s="2" t="n">
        <v>47016.3408261343</v>
      </c>
      <c r="AR99" s="2" t="n">
        <v>3623.69386166739</v>
      </c>
      <c r="AS99" s="2" t="n">
        <v>3188.47073125961</v>
      </c>
      <c r="AT99" s="2" t="n">
        <v>5343.87912310897</v>
      </c>
      <c r="AU99" s="2" t="n">
        <v>3402.9432664136</v>
      </c>
    </row>
    <row r="100" customFormat="false" ht="15" hidden="false" customHeight="false" outlineLevel="0" collapsed="false">
      <c r="A100" s="6" t="n">
        <v>7458.18946163052</v>
      </c>
      <c r="B100" s="7" t="n">
        <v>836.837970317116</v>
      </c>
      <c r="C100" s="7" t="n">
        <v>824.165752342277</v>
      </c>
      <c r="D100" s="7" t="n">
        <v>765.319767166619</v>
      </c>
      <c r="E100" s="7" t="n">
        <v>1062.23745974601</v>
      </c>
      <c r="F100" s="7" t="n">
        <v>2039</v>
      </c>
      <c r="G100" s="4" t="n">
        <v>33814.2974723751</v>
      </c>
      <c r="H100" s="7" t="n">
        <v>3794.09616905806</v>
      </c>
      <c r="I100" s="7" t="n">
        <v>3469.8435057995</v>
      </c>
      <c r="J100" s="2" t="n">
        <v>4816.02319637225</v>
      </c>
      <c r="K100" s="7" t="n">
        <v>3736.64225877053</v>
      </c>
      <c r="R100" s="8" t="n">
        <v>2039</v>
      </c>
      <c r="S100" s="9" t="n">
        <v>8832.49978800271</v>
      </c>
      <c r="T100" s="8" t="n">
        <v>923.602107025952</v>
      </c>
      <c r="U100" s="8" t="n">
        <v>898.256473843186</v>
      </c>
      <c r="V100" s="8" t="n">
        <v>845.860057621595</v>
      </c>
      <c r="W100" s="8" t="n">
        <v>1220.06756347329</v>
      </c>
      <c r="X100" s="8" t="n">
        <v>2039</v>
      </c>
      <c r="Y100" s="3" t="n">
        <v>40045.2116150612</v>
      </c>
      <c r="Z100" s="3" t="n">
        <v>4187.47157788885</v>
      </c>
      <c r="AA100" s="3" t="n">
        <v>3835.00094165802</v>
      </c>
      <c r="AB100" s="3" t="n">
        <v>5531.60089857282</v>
      </c>
      <c r="AC100" s="3" t="n">
        <v>4072.55832924092</v>
      </c>
      <c r="AJ100" s="7" t="n">
        <v>2039</v>
      </c>
      <c r="AK100" s="6" t="n">
        <v>10401.7690246626</v>
      </c>
      <c r="AL100" s="7" t="n">
        <v>966.8273399468</v>
      </c>
      <c r="AM100" s="7" t="n">
        <v>942.109670550392</v>
      </c>
      <c r="AN100" s="7" t="n">
        <v>897.258305774439</v>
      </c>
      <c r="AO100" s="7" t="n">
        <v>1313.13875211585</v>
      </c>
      <c r="AP100" s="7" t="n">
        <v>2039</v>
      </c>
      <c r="AQ100" s="2" t="n">
        <v>47160.0398258028</v>
      </c>
      <c r="AR100" s="2" t="n">
        <v>4383.44821428537</v>
      </c>
      <c r="AS100" s="2" t="n">
        <v>4068.03278692563</v>
      </c>
      <c r="AT100" s="2" t="n">
        <v>5953.57152228222</v>
      </c>
      <c r="AU100" s="2" t="n">
        <v>4271.38205800255</v>
      </c>
    </row>
    <row r="101" customFormat="false" ht="15" hidden="false" customHeight="false" outlineLevel="0" collapsed="false">
      <c r="A101" s="6" t="n">
        <v>7441.94283378831</v>
      </c>
      <c r="B101" s="7" t="n">
        <v>717.759784036137</v>
      </c>
      <c r="C101" s="7" t="n">
        <v>682.637298731757</v>
      </c>
      <c r="D101" s="7" t="n">
        <v>629.089536980364</v>
      </c>
      <c r="E101" s="7" t="n">
        <v>929.643475560923</v>
      </c>
      <c r="F101" s="7" t="n">
        <v>2039</v>
      </c>
      <c r="G101" s="4" t="n">
        <v>33740.6377310122</v>
      </c>
      <c r="H101" s="7" t="n">
        <v>3254.2137707775</v>
      </c>
      <c r="I101" s="7" t="n">
        <v>2852.19634733739</v>
      </c>
      <c r="J101" s="2" t="n">
        <v>4214.86222461789</v>
      </c>
      <c r="K101" s="7" t="n">
        <v>3094.97376056304</v>
      </c>
      <c r="R101" s="8" t="n">
        <v>2039</v>
      </c>
      <c r="S101" s="9" t="n">
        <v>8839.40426480708</v>
      </c>
      <c r="T101" s="8" t="n">
        <v>763.027827140863</v>
      </c>
      <c r="U101" s="8" t="n">
        <v>726.207487195215</v>
      </c>
      <c r="V101" s="8" t="n">
        <v>671.769697588532</v>
      </c>
      <c r="W101" s="8" t="n">
        <v>1041.85607871461</v>
      </c>
      <c r="X101" s="8" t="n">
        <v>2039</v>
      </c>
      <c r="Y101" s="3" t="n">
        <v>40076.5154635026</v>
      </c>
      <c r="Z101" s="3" t="n">
        <v>3459.45219806745</v>
      </c>
      <c r="AA101" s="3" t="n">
        <v>3045.70170871203</v>
      </c>
      <c r="AB101" s="3" t="n">
        <v>4723.61711247761</v>
      </c>
      <c r="AC101" s="3" t="n">
        <v>3292.51437296104</v>
      </c>
      <c r="AJ101" s="7" t="n">
        <v>2039</v>
      </c>
      <c r="AK101" s="6" t="n">
        <v>10466.0850843358</v>
      </c>
      <c r="AL101" s="7" t="n">
        <v>793.131182570948</v>
      </c>
      <c r="AM101" s="7" t="n">
        <v>746.301438603764</v>
      </c>
      <c r="AN101" s="7" t="n">
        <v>696.932674409774</v>
      </c>
      <c r="AO101" s="7" t="n">
        <v>1148.52569098108</v>
      </c>
      <c r="AP101" s="7" t="n">
        <v>2039</v>
      </c>
      <c r="AQ101" s="2" t="n">
        <v>47451.6390651664</v>
      </c>
      <c r="AR101" s="2" t="n">
        <v>3595.93623627355</v>
      </c>
      <c r="AS101" s="2" t="n">
        <v>3159.78682117817</v>
      </c>
      <c r="AT101" s="2" t="n">
        <v>5207.24092211636</v>
      </c>
      <c r="AU101" s="2" t="n">
        <v>3383.6172946312</v>
      </c>
    </row>
    <row r="102" customFormat="false" ht="15" hidden="false" customHeight="false" outlineLevel="0" collapsed="false">
      <c r="A102" s="6" t="n">
        <v>7443.50945475927</v>
      </c>
      <c r="B102" s="7" t="n">
        <v>707.108802233768</v>
      </c>
      <c r="C102" s="7" t="n">
        <v>673.092436684759</v>
      </c>
      <c r="D102" s="7" t="n">
        <v>607.070160851495</v>
      </c>
      <c r="E102" s="7" t="n">
        <v>937.067572473922</v>
      </c>
      <c r="F102" s="7" t="n">
        <v>2039</v>
      </c>
      <c r="G102" s="4" t="n">
        <v>33747.7405523888</v>
      </c>
      <c r="H102" s="7" t="n">
        <v>3205.92383809464</v>
      </c>
      <c r="I102" s="7" t="n">
        <v>2752.36384262452</v>
      </c>
      <c r="J102" s="2" t="n">
        <v>4248.52195165639</v>
      </c>
      <c r="K102" s="7" t="n">
        <v>3051.69880673538</v>
      </c>
      <c r="R102" s="8" t="n">
        <v>2039</v>
      </c>
      <c r="S102" s="9" t="n">
        <v>8832.7687772907</v>
      </c>
      <c r="T102" s="8" t="n">
        <v>760.914879962929</v>
      </c>
      <c r="U102" s="8" t="n">
        <v>713.489215014707</v>
      </c>
      <c r="V102" s="8" t="n">
        <v>664.705592595835</v>
      </c>
      <c r="W102" s="8" t="n">
        <v>1040.3946027332</v>
      </c>
      <c r="X102" s="8" t="n">
        <v>2039</v>
      </c>
      <c r="Y102" s="3" t="n">
        <v>40046.4311716101</v>
      </c>
      <c r="Z102" s="3" t="n">
        <v>3449.87241670286</v>
      </c>
      <c r="AA102" s="3" t="n">
        <v>3013.67413032614</v>
      </c>
      <c r="AB102" s="3" t="n">
        <v>4716.99100250301</v>
      </c>
      <c r="AC102" s="3" t="n">
        <v>3234.85165990463</v>
      </c>
      <c r="AJ102" s="7" t="n">
        <v>2039</v>
      </c>
      <c r="AK102" s="6" t="n">
        <v>10524.0096740448</v>
      </c>
      <c r="AL102" s="7" t="n">
        <v>779.538401612812</v>
      </c>
      <c r="AM102" s="7" t="n">
        <v>740.040667628169</v>
      </c>
      <c r="AN102" s="7" t="n">
        <v>694.58183367388</v>
      </c>
      <c r="AO102" s="7" t="n">
        <v>1097.87482244127</v>
      </c>
      <c r="AP102" s="7" t="n">
        <v>2039</v>
      </c>
      <c r="AQ102" s="2" t="n">
        <v>47714.2603511316</v>
      </c>
      <c r="AR102" s="2" t="n">
        <v>3534.3086333332</v>
      </c>
      <c r="AS102" s="2" t="n">
        <v>3149.12846657849</v>
      </c>
      <c r="AT102" s="2" t="n">
        <v>4977.59758242238</v>
      </c>
      <c r="AU102" s="2" t="n">
        <v>3355.23191058265</v>
      </c>
    </row>
    <row r="103" customFormat="false" ht="15" hidden="false" customHeight="false" outlineLevel="0" collapsed="false">
      <c r="A103" s="6" t="n">
        <v>7422.74763740487</v>
      </c>
      <c r="B103" s="7" t="n">
        <v>714.727428686701</v>
      </c>
      <c r="C103" s="7" t="n">
        <v>674.242025942015</v>
      </c>
      <c r="D103" s="7" t="n">
        <v>623.04620928761</v>
      </c>
      <c r="E103" s="7" t="n">
        <v>876.829092141356</v>
      </c>
      <c r="F103" s="7" t="n">
        <v>2039</v>
      </c>
      <c r="G103" s="4" t="n">
        <v>33653.6096280269</v>
      </c>
      <c r="H103" s="7" t="n">
        <v>3240.46553250127</v>
      </c>
      <c r="I103" s="7" t="n">
        <v>2824.79681808473</v>
      </c>
      <c r="J103" s="2" t="n">
        <v>3975.40983728488</v>
      </c>
      <c r="K103" s="7" t="n">
        <v>3056.91086970534</v>
      </c>
      <c r="R103" s="8" t="n">
        <v>2039</v>
      </c>
      <c r="S103" s="9" t="n">
        <v>8840.77358313042</v>
      </c>
      <c r="T103" s="8" t="n">
        <v>746.964572501985</v>
      </c>
      <c r="U103" s="8" t="n">
        <v>710.999047652609</v>
      </c>
      <c r="V103" s="8" t="n">
        <v>657.535919076053</v>
      </c>
      <c r="W103" s="8" t="n">
        <v>1054.17246341553</v>
      </c>
      <c r="X103" s="8" t="n">
        <v>2039</v>
      </c>
      <c r="Y103" s="3" t="n">
        <v>40082.7237446623</v>
      </c>
      <c r="Z103" s="3" t="n">
        <v>3386.62384293811</v>
      </c>
      <c r="AA103" s="3" t="n">
        <v>2981.16792028348</v>
      </c>
      <c r="AB103" s="3" t="n">
        <v>4779.45772878317</v>
      </c>
      <c r="AC103" s="3" t="n">
        <v>3223.56161955755</v>
      </c>
      <c r="AJ103" s="7" t="n">
        <v>2039</v>
      </c>
      <c r="AK103" s="6" t="n">
        <v>10608.7348264736</v>
      </c>
      <c r="AL103" s="7" t="n">
        <v>790.165611494817</v>
      </c>
      <c r="AM103" s="7" t="n">
        <v>743.519459512214</v>
      </c>
      <c r="AN103" s="7" t="n">
        <v>694.725549501414</v>
      </c>
      <c r="AO103" s="7" t="n">
        <v>1171.75695832772</v>
      </c>
      <c r="AP103" s="7" t="n">
        <v>2039</v>
      </c>
      <c r="AQ103" s="2" t="n">
        <v>48098.3913151355</v>
      </c>
      <c r="AR103" s="2" t="n">
        <v>3582.49078774215</v>
      </c>
      <c r="AS103" s="2" t="n">
        <v>3149.78005229761</v>
      </c>
      <c r="AT103" s="2" t="n">
        <v>5312.56795741908</v>
      </c>
      <c r="AU103" s="2" t="n">
        <v>3371.00422425432</v>
      </c>
    </row>
    <row r="104" customFormat="false" ht="15" hidden="false" customHeight="false" outlineLevel="0" collapsed="false">
      <c r="A104" s="6" t="n">
        <v>7398.30218687012</v>
      </c>
      <c r="B104" s="7" t="n">
        <v>848.654475183307</v>
      </c>
      <c r="C104" s="7" t="n">
        <v>822.20301770681</v>
      </c>
      <c r="D104" s="7" t="n">
        <v>761.322456239043</v>
      </c>
      <c r="E104" s="7" t="n">
        <v>1087.71579634346</v>
      </c>
      <c r="F104" s="7" t="n">
        <v>2040</v>
      </c>
      <c r="G104" s="4" t="n">
        <v>33542.7776706892</v>
      </c>
      <c r="H104" s="7" t="n">
        <v>3847.67040616812</v>
      </c>
      <c r="I104" s="7" t="n">
        <v>3451.72030559253</v>
      </c>
      <c r="J104" s="2" t="n">
        <v>4931.53810213319</v>
      </c>
      <c r="K104" s="7" t="n">
        <v>3727.74351824316</v>
      </c>
      <c r="R104" s="8" t="n">
        <v>2040</v>
      </c>
      <c r="S104" s="9" t="n">
        <v>8841.4867858377</v>
      </c>
      <c r="T104" s="8" t="n">
        <v>921.47306385265</v>
      </c>
      <c r="U104" s="8" t="n">
        <v>889.512729534087</v>
      </c>
      <c r="V104" s="8" t="n">
        <v>841.506615410067</v>
      </c>
      <c r="W104" s="8" t="n">
        <v>1203.35295873665</v>
      </c>
      <c r="X104" s="8" t="n">
        <v>2040</v>
      </c>
      <c r="Y104" s="3" t="n">
        <v>40085.9572973397</v>
      </c>
      <c r="Z104" s="3" t="n">
        <v>4177.81881972765</v>
      </c>
      <c r="AA104" s="3" t="n">
        <v>3815.26309633688</v>
      </c>
      <c r="AB104" s="3" t="n">
        <v>5455.81942109687</v>
      </c>
      <c r="AC104" s="3" t="n">
        <v>4032.91552147754</v>
      </c>
      <c r="AJ104" s="7" t="n">
        <v>2040</v>
      </c>
      <c r="AK104" s="6" t="n">
        <v>10615.4069388485</v>
      </c>
      <c r="AL104" s="7" t="n">
        <v>984.554277788481</v>
      </c>
      <c r="AM104" s="7" t="n">
        <v>943.111479858347</v>
      </c>
      <c r="AN104" s="7" t="n">
        <v>891.867757086094</v>
      </c>
      <c r="AO104" s="7" t="n">
        <v>1385.04002827984</v>
      </c>
      <c r="AP104" s="7" t="n">
        <v>2040</v>
      </c>
      <c r="AQ104" s="2" t="n">
        <v>48128.64165857</v>
      </c>
      <c r="AR104" s="2" t="n">
        <v>4463.81945619826</v>
      </c>
      <c r="AS104" s="2" t="n">
        <v>4043.59285846515</v>
      </c>
      <c r="AT104" s="2" t="n">
        <v>6279.5609803619</v>
      </c>
      <c r="AU104" s="2" t="n">
        <v>4275.92410914298</v>
      </c>
    </row>
    <row r="105" customFormat="false" ht="15" hidden="false" customHeight="false" outlineLevel="0" collapsed="false">
      <c r="A105" s="6" t="n">
        <v>7436.78894930006</v>
      </c>
      <c r="B105" s="7" t="n">
        <v>707.963769829371</v>
      </c>
      <c r="C105" s="7" t="n">
        <v>668.850237700095</v>
      </c>
      <c r="D105" s="7" t="n">
        <v>607.97815901812</v>
      </c>
      <c r="E105" s="7" t="n">
        <v>929.455317179651</v>
      </c>
      <c r="F105" s="7" t="n">
        <v>2040</v>
      </c>
      <c r="G105" s="4" t="n">
        <v>33717.2708020651</v>
      </c>
      <c r="H105" s="7" t="n">
        <v>3209.80013122928</v>
      </c>
      <c r="I105" s="7" t="n">
        <v>2756.48056830822</v>
      </c>
      <c r="J105" s="2" t="n">
        <v>4214.0091431148</v>
      </c>
      <c r="K105" s="7" t="n">
        <v>3032.46532129734</v>
      </c>
      <c r="R105" s="8" t="n">
        <v>2040</v>
      </c>
      <c r="S105" s="9" t="n">
        <v>8895.33631953185</v>
      </c>
      <c r="T105" s="8" t="n">
        <v>767.213545800827</v>
      </c>
      <c r="U105" s="8" t="n">
        <v>718.048047364232</v>
      </c>
      <c r="V105" s="8" t="n">
        <v>668.53386620215</v>
      </c>
      <c r="W105" s="8" t="n">
        <v>1082.33745333471</v>
      </c>
      <c r="X105" s="8" t="n">
        <v>2040</v>
      </c>
      <c r="Y105" s="3" t="n">
        <v>40330.1028986884</v>
      </c>
      <c r="Z105" s="3" t="n">
        <v>3478.42961029757</v>
      </c>
      <c r="AA105" s="3" t="n">
        <v>3031.03094100996</v>
      </c>
      <c r="AB105" s="3" t="n">
        <v>4907.15351236889</v>
      </c>
      <c r="AC105" s="3" t="n">
        <v>3255.52071289485</v>
      </c>
      <c r="AJ105" s="7" t="n">
        <v>2040</v>
      </c>
      <c r="AK105" s="6" t="n">
        <v>10708.7460224612</v>
      </c>
      <c r="AL105" s="7" t="n">
        <v>816.104956382251</v>
      </c>
      <c r="AM105" s="7" t="n">
        <v>741.225917935422</v>
      </c>
      <c r="AN105" s="7" t="n">
        <v>689.127296641997</v>
      </c>
      <c r="AO105" s="7" t="n">
        <v>1244.9626539701</v>
      </c>
      <c r="AP105" s="7" t="n">
        <v>2040</v>
      </c>
      <c r="AQ105" s="2" t="n">
        <v>48551.8268773575</v>
      </c>
      <c r="AR105" s="2" t="n">
        <v>3700.09583502268</v>
      </c>
      <c r="AS105" s="2" t="n">
        <v>3124.39842469378</v>
      </c>
      <c r="AT105" s="2" t="n">
        <v>5644.47145515919</v>
      </c>
      <c r="AU105" s="2" t="n">
        <v>3360.60565533329</v>
      </c>
    </row>
    <row r="106" customFormat="false" ht="15" hidden="false" customHeight="false" outlineLevel="0" collapsed="false">
      <c r="A106" s="6" t="n">
        <v>7465.2528524393</v>
      </c>
      <c r="B106" s="7" t="n">
        <v>703.654199088112</v>
      </c>
      <c r="C106" s="7" t="n">
        <v>673.256507791122</v>
      </c>
      <c r="D106" s="7" t="n">
        <v>615.287364226659</v>
      </c>
      <c r="E106" s="7" t="n">
        <v>905.982853714997</v>
      </c>
      <c r="F106" s="7" t="n">
        <v>2040</v>
      </c>
      <c r="G106" s="4" t="n">
        <v>33846.3218127597</v>
      </c>
      <c r="H106" s="7" t="n">
        <v>3190.26119248645</v>
      </c>
      <c r="I106" s="7" t="n">
        <v>2789.61939382073</v>
      </c>
      <c r="J106" s="2" t="n">
        <v>4107.58856127164</v>
      </c>
      <c r="K106" s="7" t="n">
        <v>3052.44268019498</v>
      </c>
      <c r="R106" s="8" t="n">
        <v>2040</v>
      </c>
      <c r="S106" s="9" t="n">
        <v>8927.19671936728</v>
      </c>
      <c r="T106" s="8" t="n">
        <v>753.986869551439</v>
      </c>
      <c r="U106" s="8" t="n">
        <v>713.121649271368</v>
      </c>
      <c r="V106" s="8" t="n">
        <v>663.006218223609</v>
      </c>
      <c r="W106" s="8" t="n">
        <v>1029.59828075725</v>
      </c>
      <c r="X106" s="8" t="n">
        <v>2040</v>
      </c>
      <c r="Y106" s="3" t="n">
        <v>40474.5531091807</v>
      </c>
      <c r="Z106" s="3" t="n">
        <v>3418.46187046358</v>
      </c>
      <c r="AA106" s="3" t="n">
        <v>3005.96942520501</v>
      </c>
      <c r="AB106" s="3" t="n">
        <v>4668.04211956293</v>
      </c>
      <c r="AC106" s="3" t="n">
        <v>3233.18517268949</v>
      </c>
      <c r="AJ106" s="7" t="n">
        <v>2040</v>
      </c>
      <c r="AK106" s="6" t="n">
        <v>10741.4682752547</v>
      </c>
      <c r="AL106" s="7" t="n">
        <v>777.079762734553</v>
      </c>
      <c r="AM106" s="7" t="n">
        <v>729.943750839634</v>
      </c>
      <c r="AN106" s="7" t="n">
        <v>684.144341483598</v>
      </c>
      <c r="AO106" s="7" t="n">
        <v>1146.69410813888</v>
      </c>
      <c r="AP106" s="7" t="n">
        <v>2040</v>
      </c>
      <c r="AQ106" s="2" t="n">
        <v>48700.1845981714</v>
      </c>
      <c r="AR106" s="2" t="n">
        <v>3523.16153833993</v>
      </c>
      <c r="AS106" s="2" t="n">
        <v>3101.80646334922</v>
      </c>
      <c r="AT106" s="2" t="n">
        <v>5198.93680388631</v>
      </c>
      <c r="AU106" s="2" t="n">
        <v>3309.45402446193</v>
      </c>
    </row>
    <row r="107" customFormat="false" ht="15" hidden="false" customHeight="false" outlineLevel="0" collapsed="false">
      <c r="A107" s="6" t="n">
        <v>7449.92997032808</v>
      </c>
      <c r="B107" s="7" t="n">
        <v>696.374455484197</v>
      </c>
      <c r="C107" s="7" t="n">
        <v>676.442833294813</v>
      </c>
      <c r="D107" s="7" t="n">
        <v>613.164755053607</v>
      </c>
      <c r="E107" s="7" t="n">
        <v>930.684196350969</v>
      </c>
      <c r="F107" s="7" t="n">
        <v>2040</v>
      </c>
      <c r="G107" s="4" t="n">
        <v>33776.8501941439</v>
      </c>
      <c r="H107" s="7" t="n">
        <v>3157.25594141154</v>
      </c>
      <c r="I107" s="7" t="n">
        <v>2779.99580643877</v>
      </c>
      <c r="J107" s="2" t="n">
        <v>4219.5806945041</v>
      </c>
      <c r="K107" s="7" t="n">
        <v>3066.88899574917</v>
      </c>
      <c r="R107" s="8" t="n">
        <v>2040</v>
      </c>
      <c r="S107" s="9" t="n">
        <v>8976.3171474327</v>
      </c>
      <c r="T107" s="8" t="n">
        <v>767.79765547395</v>
      </c>
      <c r="U107" s="8" t="n">
        <v>723.560177313669</v>
      </c>
      <c r="V107" s="8" t="n">
        <v>677.261871207739</v>
      </c>
      <c r="W107" s="8" t="n">
        <v>1041.380633668</v>
      </c>
      <c r="X107" s="8" t="n">
        <v>2040</v>
      </c>
      <c r="Y107" s="3" t="n">
        <v>40697.2576643706</v>
      </c>
      <c r="Z107" s="3" t="n">
        <v>3481.07787477852</v>
      </c>
      <c r="AA107" s="3" t="n">
        <v>3070.60238916339</v>
      </c>
      <c r="AB107" s="3" t="n">
        <v>4721.46151689767</v>
      </c>
      <c r="AC107" s="3" t="n">
        <v>3280.51187231438</v>
      </c>
      <c r="AJ107" s="7" t="n">
        <v>2040</v>
      </c>
      <c r="AK107" s="6" t="n">
        <v>10788.9721043652</v>
      </c>
      <c r="AL107" s="7" t="n">
        <v>797.648892915668</v>
      </c>
      <c r="AM107" s="7" t="n">
        <v>737.214850125226</v>
      </c>
      <c r="AN107" s="7" t="n">
        <v>686.853307415849</v>
      </c>
      <c r="AO107" s="7" t="n">
        <v>1261.47940029405</v>
      </c>
      <c r="AP107" s="7" t="n">
        <v>2040</v>
      </c>
      <c r="AQ107" s="2" t="n">
        <v>48915.5597394014</v>
      </c>
      <c r="AR107" s="2" t="n">
        <v>3616.41884834398</v>
      </c>
      <c r="AS107" s="2" t="n">
        <v>3114.08850315887</v>
      </c>
      <c r="AT107" s="2" t="n">
        <v>5719.35587266388</v>
      </c>
      <c r="AU107" s="2" t="n">
        <v>3342.42008351139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50" zoomScaleNormal="50" zoomScalePageLayoutView="100" workbookViewId="0">
      <selection pane="topLeft" activeCell="AE110" activeCellId="0" sqref="AE110"/>
    </sheetView>
  </sheetViews>
  <sheetFormatPr defaultRowHeight="15"/>
  <cols>
    <col collapsed="false" hidden="false" max="2" min="1" style="1" width="10.830985915493"/>
    <col collapsed="false" hidden="false" max="3" min="3" style="1" width="13"/>
    <col collapsed="false" hidden="false" max="7" min="4" style="1" width="10.830985915493"/>
    <col collapsed="false" hidden="false" max="8" min="8" style="1" width="13"/>
    <col collapsed="false" hidden="false" max="9" min="9" style="1" width="11.8356807511737"/>
    <col collapsed="false" hidden="false" max="10" min="10" style="1" width="13"/>
    <col collapsed="false" hidden="false" max="1025" min="11" style="1" width="10.830985915493"/>
  </cols>
  <sheetData>
    <row r="1" customFormat="false" ht="15" hidden="false" customHeight="false" outlineLevel="0" collapsed="false">
      <c r="A1" s="0"/>
      <c r="B1" s="1" t="s">
        <v>0</v>
      </c>
      <c r="C1" s="1" t="s">
        <v>1</v>
      </c>
      <c r="D1" s="0"/>
      <c r="E1" s="0"/>
      <c r="F1" s="0"/>
      <c r="G1" s="0"/>
      <c r="H1" s="1" t="s">
        <v>2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1" t="s">
        <v>1</v>
      </c>
      <c r="V1" s="0"/>
      <c r="W1" s="1" t="s">
        <v>3</v>
      </c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1" t="s">
        <v>1</v>
      </c>
      <c r="AN1" s="0"/>
      <c r="AO1" s="1" t="s">
        <v>4</v>
      </c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</row>
    <row r="2" customFormat="false" ht="52" hidden="false" customHeight="false" outlineLevel="0" collapsed="false">
      <c r="A2" s="1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" t="s">
        <v>5</v>
      </c>
      <c r="H2" s="10" t="s">
        <v>6</v>
      </c>
      <c r="I2" s="10" t="s">
        <v>8</v>
      </c>
      <c r="J2" s="10" t="s">
        <v>9</v>
      </c>
      <c r="K2" s="10" t="s">
        <v>7</v>
      </c>
      <c r="L2" s="10"/>
      <c r="M2" s="1" t="s">
        <v>5</v>
      </c>
      <c r="N2" s="10" t="s">
        <v>6</v>
      </c>
      <c r="O2" s="10" t="s">
        <v>8</v>
      </c>
      <c r="P2" s="10" t="s">
        <v>9</v>
      </c>
      <c r="Q2" s="10" t="s">
        <v>7</v>
      </c>
      <c r="R2" s="10" t="s">
        <v>10</v>
      </c>
      <c r="S2" s="1" t="s">
        <v>5</v>
      </c>
      <c r="T2" s="10" t="s">
        <v>6</v>
      </c>
      <c r="U2" s="10" t="s">
        <v>7</v>
      </c>
      <c r="V2" s="10" t="s">
        <v>8</v>
      </c>
      <c r="W2" s="10" t="s">
        <v>9</v>
      </c>
      <c r="X2" s="10" t="s">
        <v>10</v>
      </c>
      <c r="Y2" s="1" t="s">
        <v>5</v>
      </c>
      <c r="Z2" s="10" t="s">
        <v>6</v>
      </c>
      <c r="AA2" s="10" t="s">
        <v>8</v>
      </c>
      <c r="AB2" s="10" t="s">
        <v>9</v>
      </c>
      <c r="AC2" s="10" t="s">
        <v>7</v>
      </c>
      <c r="AD2" s="10"/>
      <c r="AE2" s="1" t="s">
        <v>5</v>
      </c>
      <c r="AF2" s="10" t="s">
        <v>11</v>
      </c>
      <c r="AG2" s="10" t="s">
        <v>12</v>
      </c>
      <c r="AH2" s="10" t="s">
        <v>13</v>
      </c>
      <c r="AI2" s="10" t="s">
        <v>14</v>
      </c>
      <c r="AJ2" s="10" t="s">
        <v>10</v>
      </c>
      <c r="AK2" s="1" t="s">
        <v>5</v>
      </c>
      <c r="AL2" s="10" t="s">
        <v>6</v>
      </c>
      <c r="AM2" s="10" t="s">
        <v>7</v>
      </c>
      <c r="AN2" s="10" t="s">
        <v>8</v>
      </c>
      <c r="AO2" s="10" t="s">
        <v>9</v>
      </c>
      <c r="AP2" s="10" t="s">
        <v>10</v>
      </c>
      <c r="AQ2" s="1" t="s">
        <v>5</v>
      </c>
      <c r="AR2" s="10" t="s">
        <v>6</v>
      </c>
      <c r="AS2" s="10" t="s">
        <v>8</v>
      </c>
      <c r="AT2" s="10" t="s">
        <v>9</v>
      </c>
      <c r="AU2" s="10" t="s">
        <v>7</v>
      </c>
      <c r="AV2" s="10"/>
      <c r="AW2" s="1" t="s">
        <v>5</v>
      </c>
      <c r="AX2" s="10" t="s">
        <v>6</v>
      </c>
      <c r="AY2" s="10" t="s">
        <v>8</v>
      </c>
      <c r="AZ2" s="10" t="s">
        <v>9</v>
      </c>
      <c r="BA2" s="10" t="s">
        <v>7</v>
      </c>
    </row>
    <row r="3" customFormat="false" ht="15" hidden="false" customHeight="false" outlineLevel="0" collapsed="false">
      <c r="A3" s="1" t="n">
        <f aca="false">[4]'retirement benefit values'!b4</f>
        <v>6695.92</v>
      </c>
      <c r="B3" s="10"/>
      <c r="C3" s="10"/>
      <c r="D3" s="10"/>
      <c r="E3" s="10"/>
      <c r="F3" s="10"/>
      <c r="G3" s="10" t="n">
        <f aca="false">A3*[4]'inflation indexes'!i96</f>
        <v>6695.92</v>
      </c>
      <c r="H3" s="10"/>
      <c r="I3" s="10"/>
      <c r="J3" s="0"/>
      <c r="K3" s="10"/>
      <c r="L3" s="0"/>
      <c r="M3" s="0"/>
      <c r="N3" s="0"/>
      <c r="O3" s="0"/>
      <c r="P3" s="0"/>
      <c r="Q3" s="0"/>
      <c r="R3" s="10"/>
      <c r="S3" s="1" t="n">
        <f aca="false">[4]'retirement benefit values'!p4</f>
        <v>6695.92</v>
      </c>
      <c r="T3" s="10"/>
      <c r="U3" s="10"/>
      <c r="V3" s="10"/>
      <c r="W3" s="10"/>
      <c r="X3" s="10"/>
      <c r="Y3" s="1" t="n">
        <f aca="false">S3*[4]'inflation indexes'!i96</f>
        <v>6695.92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10"/>
      <c r="AK3" s="1" t="n">
        <f aca="false">[4]'retirement benefit values'!aj4</f>
        <v>6695.92</v>
      </c>
      <c r="AL3" s="10"/>
      <c r="AM3" s="10"/>
      <c r="AN3" s="10"/>
      <c r="AO3" s="10"/>
      <c r="AP3" s="10"/>
      <c r="AQ3" s="1" t="n">
        <f aca="false">AK3*[4]'inflation indexes'!i96</f>
        <v>6695.92</v>
      </c>
      <c r="AR3" s="0"/>
      <c r="AS3" s="0"/>
      <c r="AT3" s="0"/>
      <c r="AU3" s="0"/>
      <c r="AV3" s="0"/>
      <c r="AW3" s="0"/>
      <c r="AX3" s="0"/>
      <c r="AY3" s="0"/>
      <c r="AZ3" s="0"/>
      <c r="BA3" s="0"/>
    </row>
    <row r="4" customFormat="false" ht="15" hidden="false" customHeight="false" outlineLevel="0" collapsed="false">
      <c r="A4" s="11" t="n">
        <f aca="false">[4]'retirement benefit values'!b5</f>
        <v>6368.9065332604</v>
      </c>
      <c r="B4" s="12" t="n">
        <v>471.195668332</v>
      </c>
      <c r="C4" s="12" t="n">
        <v>486.9826680117</v>
      </c>
      <c r="D4" s="12" t="n">
        <v>384.4991375649</v>
      </c>
      <c r="E4" s="12" t="n">
        <v>680.1332126914</v>
      </c>
      <c r="F4" s="12" t="n">
        <v>2015</v>
      </c>
      <c r="G4" s="10" t="n">
        <f aca="false">A4*[4]'inflation indexes'!i97</f>
        <v>6248.35552128482</v>
      </c>
      <c r="H4" s="12" t="n">
        <f aca="false">B4*[4]'inflation indexes'!i97</f>
        <v>462.276850893043</v>
      </c>
      <c r="I4" s="12" t="n">
        <f aca="false">D4*[4]'inflation indexes'!i97</f>
        <v>377.221316812606</v>
      </c>
      <c r="J4" s="1" t="n">
        <f aca="false">E4*[4]'inflation indexes'!i97</f>
        <v>667.259613959818</v>
      </c>
      <c r="K4" s="12" t="n">
        <f aca="false">C4*[4]'inflation indexes'!i97</f>
        <v>477.765033377435</v>
      </c>
      <c r="L4" s="1" t="n">
        <v>2015</v>
      </c>
      <c r="M4" s="1" t="n">
        <f aca="false">AVERAGE(G4:G7)</f>
        <v>6417.63821809933</v>
      </c>
      <c r="N4" s="1" t="n">
        <f aca="false">AVERAGE(H4:H7)</f>
        <v>450.921524738574</v>
      </c>
      <c r="O4" s="1" t="n">
        <f aca="false">AVERAGE(I4:I7)</f>
        <v>324.944233560672</v>
      </c>
      <c r="P4" s="1" t="n">
        <f aca="false">AVERAGE(J4:J7)</f>
        <v>734.758324116925</v>
      </c>
      <c r="Q4" s="1" t="n">
        <f aca="false">AVERAGE(K4:K7)</f>
        <v>471.788389008872</v>
      </c>
      <c r="R4" s="12" t="n">
        <v>2015</v>
      </c>
      <c r="S4" s="13" t="n">
        <f aca="false">[4]'retirement benefit values'!p5</f>
        <v>6368.9065332604</v>
      </c>
      <c r="T4" s="12" t="n">
        <v>471.195668332</v>
      </c>
      <c r="U4" s="12" t="n">
        <v>486.9826680117</v>
      </c>
      <c r="V4" s="12" t="n">
        <v>384.4991375649</v>
      </c>
      <c r="W4" s="12" t="n">
        <v>680.1332126914</v>
      </c>
      <c r="X4" s="12" t="n">
        <v>2015</v>
      </c>
      <c r="Y4" s="1" t="n">
        <f aca="false">S4*[4]'inflation indexes'!i97</f>
        <v>6248.35552128482</v>
      </c>
      <c r="Z4" s="1" t="n">
        <f aca="false">T4*[4]'inflation indexes'!i97</f>
        <v>462.276850893043</v>
      </c>
      <c r="AA4" s="1" t="n">
        <f aca="false">V4*[4]'inflation indexes'!i97</f>
        <v>377.221316812606</v>
      </c>
      <c r="AB4" s="1" t="n">
        <f aca="false">W4*[4]'inflation indexes'!i97</f>
        <v>667.259613959818</v>
      </c>
      <c r="AC4" s="1" t="n">
        <f aca="false">U4*[4]'inflation indexes'!i97</f>
        <v>477.765033377435</v>
      </c>
      <c r="AD4" s="1" t="n">
        <v>2015</v>
      </c>
      <c r="AE4" s="1" t="n">
        <f aca="false">AVERAGE(Y4:Y7)</f>
        <v>6417.63821809933</v>
      </c>
      <c r="AF4" s="1" t="n">
        <f aca="false">AVERAGE(Z4:Z7)</f>
        <v>450.921524738574</v>
      </c>
      <c r="AG4" s="1" t="n">
        <f aca="false">AVERAGE(AA4:AA7)</f>
        <v>324.944233560672</v>
      </c>
      <c r="AH4" s="1" t="n">
        <f aca="false">AVERAGE(AB4:AB7)</f>
        <v>734.758324116925</v>
      </c>
      <c r="AI4" s="1" t="n">
        <f aca="false">AVERAGE(AC4:AC7)</f>
        <v>471.788389008872</v>
      </c>
      <c r="AJ4" s="12" t="n">
        <v>2015</v>
      </c>
      <c r="AK4" s="11" t="n">
        <f aca="false">[4]'retirement benefit values'!aj5</f>
        <v>6368.9065332604</v>
      </c>
      <c r="AL4" s="12" t="n">
        <v>471.195668332</v>
      </c>
      <c r="AM4" s="12" t="n">
        <v>486.9826680117</v>
      </c>
      <c r="AN4" s="12" t="n">
        <v>384.4991375649</v>
      </c>
      <c r="AO4" s="12" t="n">
        <v>680.1332126914</v>
      </c>
      <c r="AP4" s="12" t="n">
        <v>2015</v>
      </c>
      <c r="AQ4" s="1" t="n">
        <f aca="false">AK4*[4]'inflation indexes'!i97</f>
        <v>6248.35552128482</v>
      </c>
      <c r="AR4" s="1" t="n">
        <f aca="false">AL4*[4]'inflation indexes'!i97</f>
        <v>462.276850893043</v>
      </c>
      <c r="AS4" s="1" t="n">
        <f aca="false">AN4*[4]'inflation indexes'!i97</f>
        <v>377.221316812606</v>
      </c>
      <c r="AT4" s="1" t="n">
        <f aca="false">AO4*[4]'inflation indexes'!i97</f>
        <v>667.259613959818</v>
      </c>
      <c r="AU4" s="1" t="n">
        <f aca="false">AM4*[4]'inflation indexes'!i97</f>
        <v>477.765033377435</v>
      </c>
      <c r="AV4" s="1" t="n">
        <v>2015</v>
      </c>
      <c r="AW4" s="1" t="n">
        <f aca="false">AVERAGE(AQ4:AQ7)</f>
        <v>6417.63821809933</v>
      </c>
      <c r="AX4" s="1" t="n">
        <f aca="false">AVERAGE(AR4:AR7)</f>
        <v>450.921524738574</v>
      </c>
      <c r="AY4" s="1" t="n">
        <f aca="false">AVERAGE(AS4:AS7)</f>
        <v>324.944233560672</v>
      </c>
      <c r="AZ4" s="1" t="n">
        <f aca="false">AVERAGE(AT4:AT7)</f>
        <v>734.758324116925</v>
      </c>
      <c r="BA4" s="1" t="n">
        <f aca="false">AVERAGE(AU4:AU7)</f>
        <v>471.788389008872</v>
      </c>
    </row>
    <row r="5" customFormat="false" ht="15" hidden="false" customHeight="false" outlineLevel="0" collapsed="false">
      <c r="A5" s="14" t="n">
        <f aca="false">[4]'retirement benefit values'!b6</f>
        <v>6691.6267211456</v>
      </c>
      <c r="B5" s="12" t="n">
        <v>404.0433007799</v>
      </c>
      <c r="C5" s="12" t="n">
        <v>431.5174320563</v>
      </c>
      <c r="D5" s="12" t="n">
        <v>244.5144041989</v>
      </c>
      <c r="E5" s="12" t="n">
        <v>778.5671102443</v>
      </c>
      <c r="F5" s="12" t="n">
        <v>2015</v>
      </c>
      <c r="G5" s="10" t="n">
        <f aca="false">A5*[4]'inflation indexes'!i98</f>
        <v>6398.73286468949</v>
      </c>
      <c r="H5" s="12" t="n">
        <f aca="false">B5*[4]'inflation indexes'!i98</f>
        <v>386.358243697036</v>
      </c>
      <c r="I5" s="12" t="n">
        <f aca="false">D5*[4]'inflation indexes'!i98</f>
        <v>233.811959219629</v>
      </c>
      <c r="J5" s="1" t="n">
        <f aca="false">E5*[4]'inflation indexes'!i98</f>
        <v>744.489070190341</v>
      </c>
      <c r="K5" s="12" t="n">
        <f aca="false">C5*[4]'inflation indexes'!i98</f>
        <v>412.629826684707</v>
      </c>
      <c r="L5" s="1" t="n">
        <f aca="false">L4+1</f>
        <v>2016</v>
      </c>
      <c r="M5" s="1" t="n">
        <f aca="false">AVERAGE(G8:G11)</f>
        <v>5983.611423093</v>
      </c>
      <c r="N5" s="1" t="n">
        <f aca="false">AVERAGE(H8:H11)</f>
        <v>479.281535133215</v>
      </c>
      <c r="O5" s="1" t="n">
        <f aca="false">AVERAGE(I8:I11)</f>
        <v>367.075171920782</v>
      </c>
      <c r="P5" s="1" t="n">
        <f aca="false">AVERAGE(J8:J11)</f>
        <v>691.009624226524</v>
      </c>
      <c r="Q5" s="1" t="n">
        <f aca="false">AVERAGE(K8:K11)</f>
        <v>494.879822229764</v>
      </c>
      <c r="R5" s="12" t="n">
        <v>2015</v>
      </c>
      <c r="S5" s="9" t="n">
        <f aca="false">[4]'retirement benefit values'!p6</f>
        <v>6691.6267211456</v>
      </c>
      <c r="T5" s="12" t="n">
        <v>404.0433007799</v>
      </c>
      <c r="U5" s="12" t="n">
        <v>431.5174320563</v>
      </c>
      <c r="V5" s="12" t="n">
        <v>244.5144041989</v>
      </c>
      <c r="W5" s="12" t="n">
        <v>778.5671102443</v>
      </c>
      <c r="X5" s="12" t="n">
        <v>2015</v>
      </c>
      <c r="Y5" s="1" t="n">
        <f aca="false">S5*[4]'inflation indexes'!i98</f>
        <v>6398.73286468949</v>
      </c>
      <c r="Z5" s="1" t="n">
        <f aca="false">T5*[4]'inflation indexes'!i98</f>
        <v>386.358243697036</v>
      </c>
      <c r="AA5" s="1" t="n">
        <f aca="false">V5*[4]'inflation indexes'!i98</f>
        <v>233.811959219629</v>
      </c>
      <c r="AB5" s="1" t="n">
        <f aca="false">W5*[4]'inflation indexes'!i98</f>
        <v>744.489070190341</v>
      </c>
      <c r="AC5" s="1" t="n">
        <f aca="false">U5*[4]'inflation indexes'!i98</f>
        <v>412.629826684707</v>
      </c>
      <c r="AD5" s="1" t="n">
        <f aca="false">AD4+1</f>
        <v>2016</v>
      </c>
      <c r="AE5" s="1" t="n">
        <f aca="false">AVERAGE(Y8:Y11)</f>
        <v>5983.611423093</v>
      </c>
      <c r="AF5" s="1" t="n">
        <f aca="false">AVERAGE(Z8:Z11)</f>
        <v>479.281535133215</v>
      </c>
      <c r="AG5" s="1" t="n">
        <f aca="false">AVERAGE(AA8:AA11)</f>
        <v>367.075171920782</v>
      </c>
      <c r="AH5" s="1" t="n">
        <f aca="false">AVERAGE(AB8:AB11)</f>
        <v>691.009624226524</v>
      </c>
      <c r="AI5" s="1" t="n">
        <f aca="false">AVERAGE(AC8:AC11)</f>
        <v>494.879822229764</v>
      </c>
      <c r="AJ5" s="12" t="n">
        <v>2015</v>
      </c>
      <c r="AK5" s="14" t="n">
        <f aca="false">[4]'retirement benefit values'!aj6</f>
        <v>6691.6267211456</v>
      </c>
      <c r="AL5" s="12" t="n">
        <v>404.0433007799</v>
      </c>
      <c r="AM5" s="12" t="n">
        <v>431.5174320563</v>
      </c>
      <c r="AN5" s="12" t="n">
        <v>244.5144041989</v>
      </c>
      <c r="AO5" s="12" t="n">
        <v>778.5671102443</v>
      </c>
      <c r="AP5" s="12" t="n">
        <v>2015</v>
      </c>
      <c r="AQ5" s="1" t="n">
        <f aca="false">AK5*[4]'inflation indexes'!i98</f>
        <v>6398.73286468949</v>
      </c>
      <c r="AR5" s="1" t="n">
        <f aca="false">AL5*[4]'inflation indexes'!i98</f>
        <v>386.358243697036</v>
      </c>
      <c r="AS5" s="1" t="n">
        <f aca="false">AN5*[4]'inflation indexes'!i98</f>
        <v>233.811959219629</v>
      </c>
      <c r="AT5" s="1" t="n">
        <f aca="false">AO5*[4]'inflation indexes'!i98</f>
        <v>744.489070190341</v>
      </c>
      <c r="AU5" s="1" t="n">
        <f aca="false">AM5*[4]'inflation indexes'!i98</f>
        <v>412.629826684707</v>
      </c>
      <c r="AV5" s="1" t="n">
        <f aca="false">AV4+1</f>
        <v>2016</v>
      </c>
      <c r="AW5" s="1" t="n">
        <f aca="false">AVERAGE(AQ8:AQ11)</f>
        <v>5983.611423093</v>
      </c>
      <c r="AX5" s="1" t="n">
        <f aca="false">AVERAGE(AR8:AR11)</f>
        <v>479.281535133215</v>
      </c>
      <c r="AY5" s="1" t="n">
        <f aca="false">AVERAGE(AS8:AS11)</f>
        <v>367.075171920782</v>
      </c>
      <c r="AZ5" s="1" t="n">
        <f aca="false">AVERAGE(AT8:AT11)</f>
        <v>691.009624226524</v>
      </c>
      <c r="BA5" s="1" t="n">
        <f aca="false">AVERAGE(AU8:AU11)</f>
        <v>494.879822229764</v>
      </c>
    </row>
    <row r="6" customFormat="false" ht="15" hidden="false" customHeight="false" outlineLevel="0" collapsed="false">
      <c r="A6" s="14" t="n">
        <f aca="false">[4]'retirement benefit values'!b7</f>
        <v>6984.1911310188</v>
      </c>
      <c r="B6" s="12" t="n">
        <v>517.6940682948</v>
      </c>
      <c r="C6" s="12" t="n">
        <v>541.8794483793</v>
      </c>
      <c r="D6" s="12" t="n">
        <v>376.5867960417</v>
      </c>
      <c r="E6" s="12" t="n">
        <v>823.1785852337</v>
      </c>
      <c r="F6" s="12" t="n">
        <v>2015</v>
      </c>
      <c r="G6" s="10" t="n">
        <f aca="false">A6*[4]'inflation indexes'!i99</f>
        <v>6562.16934766773</v>
      </c>
      <c r="H6" s="12" t="n">
        <f aca="false">B6*[4]'inflation indexes'!i99</f>
        <v>486.412253431269</v>
      </c>
      <c r="I6" s="12" t="n">
        <f aca="false">D6*[4]'inflation indexes'!i99</f>
        <v>353.831429203851</v>
      </c>
      <c r="J6" s="1" t="n">
        <f aca="false">E6*[4]'inflation indexes'!i99</f>
        <v>773.437779456802</v>
      </c>
      <c r="K6" s="12" t="n">
        <f aca="false">C6*[4]'inflation indexes'!i99</f>
        <v>509.136224879778</v>
      </c>
      <c r="L6" s="1" t="n">
        <f aca="false">L5+1</f>
        <v>2017</v>
      </c>
      <c r="M6" s="1" t="n">
        <f aca="false">AVERAGE(G12:G15)</f>
        <v>6164.55033529941</v>
      </c>
      <c r="N6" s="1" t="n">
        <f aca="false">AVERAGE(H12:H15)</f>
        <v>533.911175145222</v>
      </c>
      <c r="O6" s="1" t="n">
        <f aca="false">AVERAGE(I12:I15)</f>
        <v>471.898233073207</v>
      </c>
      <c r="P6" s="1" t="n">
        <f aca="false">AVERAGE(J12:J15)</f>
        <v>723.361890659698</v>
      </c>
      <c r="Q6" s="1" t="n">
        <f aca="false">AVERAGE(K12:K15)</f>
        <v>545.065807682957</v>
      </c>
      <c r="R6" s="12" t="n">
        <v>2015</v>
      </c>
      <c r="S6" s="9" t="n">
        <f aca="false">[4]'retirement benefit values'!p7</f>
        <v>6984.1911310188</v>
      </c>
      <c r="T6" s="12" t="n">
        <v>517.6940682948</v>
      </c>
      <c r="U6" s="12" t="n">
        <v>541.8794483793</v>
      </c>
      <c r="V6" s="12" t="n">
        <v>376.5867960417</v>
      </c>
      <c r="W6" s="12" t="n">
        <v>823.1785852337</v>
      </c>
      <c r="X6" s="12" t="n">
        <v>2015</v>
      </c>
      <c r="Y6" s="1" t="n">
        <f aca="false">S6*[4]'inflation indexes'!i99</f>
        <v>6562.16934766773</v>
      </c>
      <c r="Z6" s="1" t="n">
        <f aca="false">T6*[4]'inflation indexes'!i99</f>
        <v>486.412253431269</v>
      </c>
      <c r="AA6" s="1" t="n">
        <f aca="false">V6*[4]'inflation indexes'!i99</f>
        <v>353.831429203851</v>
      </c>
      <c r="AB6" s="1" t="n">
        <f aca="false">W6*[4]'inflation indexes'!i99</f>
        <v>773.437779456802</v>
      </c>
      <c r="AC6" s="1" t="n">
        <f aca="false">U6*[4]'inflation indexes'!i99</f>
        <v>509.136224879778</v>
      </c>
      <c r="AD6" s="1" t="n">
        <f aca="false">AD5+1</f>
        <v>2017</v>
      </c>
      <c r="AE6" s="1" t="n">
        <f aca="false">AVERAGE(Y12:Y15)</f>
        <v>6164.55033529941</v>
      </c>
      <c r="AF6" s="1" t="n">
        <f aca="false">AVERAGE(Z12:Z15)</f>
        <v>533.911175145222</v>
      </c>
      <c r="AG6" s="1" t="n">
        <f aca="false">AVERAGE(AA12:AA15)</f>
        <v>471.898233073207</v>
      </c>
      <c r="AH6" s="1" t="n">
        <f aca="false">AVERAGE(AB12:AB15)</f>
        <v>723.361890659698</v>
      </c>
      <c r="AI6" s="1" t="n">
        <f aca="false">AVERAGE(AC12:AC15)</f>
        <v>545.065807682957</v>
      </c>
      <c r="AJ6" s="12" t="n">
        <v>2015</v>
      </c>
      <c r="AK6" s="14" t="n">
        <f aca="false">[4]'retirement benefit values'!aj7</f>
        <v>6984.1911310188</v>
      </c>
      <c r="AL6" s="12" t="n">
        <v>517.6940682948</v>
      </c>
      <c r="AM6" s="12" t="n">
        <v>541.8794483793</v>
      </c>
      <c r="AN6" s="12" t="n">
        <v>376.5867960417</v>
      </c>
      <c r="AO6" s="12" t="n">
        <v>823.1785852337</v>
      </c>
      <c r="AP6" s="12" t="n">
        <v>2015</v>
      </c>
      <c r="AQ6" s="1" t="n">
        <f aca="false">AK6*[4]'inflation indexes'!i99</f>
        <v>6562.16934766773</v>
      </c>
      <c r="AR6" s="1" t="n">
        <f aca="false">AL6*[4]'inflation indexes'!i99</f>
        <v>486.412253431269</v>
      </c>
      <c r="AS6" s="1" t="n">
        <f aca="false">AN6*[4]'inflation indexes'!i99</f>
        <v>353.831429203851</v>
      </c>
      <c r="AT6" s="1" t="n">
        <f aca="false">AO6*[4]'inflation indexes'!i99</f>
        <v>773.437779456802</v>
      </c>
      <c r="AU6" s="1" t="n">
        <f aca="false">AM6*[4]'inflation indexes'!i99</f>
        <v>509.136224879778</v>
      </c>
      <c r="AV6" s="1" t="n">
        <f aca="false">AV5+1</f>
        <v>2017</v>
      </c>
      <c r="AW6" s="1" t="n">
        <f aca="false">AVERAGE(AQ12:AQ15)</f>
        <v>6164.55033529941</v>
      </c>
      <c r="AX6" s="1" t="n">
        <f aca="false">AVERAGE(AR12:AR15)</f>
        <v>533.911175145222</v>
      </c>
      <c r="AY6" s="1" t="n">
        <f aca="false">AVERAGE(AS12:AS15)</f>
        <v>471.898233073207</v>
      </c>
      <c r="AZ6" s="1" t="n">
        <f aca="false">AVERAGE(AT12:AT15)</f>
        <v>723.361890659698</v>
      </c>
      <c r="BA6" s="1" t="n">
        <f aca="false">AVERAGE(AU12:AU15)</f>
        <v>545.065807682957</v>
      </c>
    </row>
    <row r="7" customFormat="false" ht="15" hidden="false" customHeight="false" outlineLevel="0" collapsed="false">
      <c r="A7" s="14" t="n">
        <f aca="false">[4]'retirement benefit values'!b8</f>
        <v>6967.8308273951</v>
      </c>
      <c r="B7" s="12" t="n">
        <v>505.3778639636</v>
      </c>
      <c r="C7" s="12" t="n">
        <v>525.8498200828</v>
      </c>
      <c r="D7" s="12" t="n">
        <v>361.1678005152</v>
      </c>
      <c r="E7" s="12" t="n">
        <v>812.9449418949</v>
      </c>
      <c r="F7" s="12" t="n">
        <v>2015</v>
      </c>
      <c r="G7" s="10" t="n">
        <f aca="false">A7*[4]'inflation indexes'!i100</f>
        <v>6461.29513875529</v>
      </c>
      <c r="H7" s="12" t="n">
        <f aca="false">B7*[4]'inflation indexes'!i100</f>
        <v>468.63875093295</v>
      </c>
      <c r="I7" s="12" t="n">
        <f aca="false">D7*[4]'inflation indexes'!i100</f>
        <v>334.912229006601</v>
      </c>
      <c r="J7" s="1" t="n">
        <f aca="false">E7*[4]'inflation indexes'!i100</f>
        <v>753.846832860739</v>
      </c>
      <c r="K7" s="12" t="n">
        <f aca="false">C7*[4]'inflation indexes'!i100</f>
        <v>487.622471093568</v>
      </c>
      <c r="L7" s="1" t="n">
        <f aca="false">L6+1</f>
        <v>2018</v>
      </c>
      <c r="M7" s="1" t="n">
        <f aca="false">AVERAGE(G16:G19)</f>
        <v>6166.48290789412</v>
      </c>
      <c r="N7" s="1" t="n">
        <f aca="false">AVERAGE(H16:H19)</f>
        <v>494.298384203906</v>
      </c>
      <c r="O7" s="1" t="n">
        <f aca="false">AVERAGE(I16:I19)</f>
        <v>432.573823742024</v>
      </c>
      <c r="P7" s="1" t="n">
        <f aca="false">AVERAGE(J16:J19)</f>
        <v>668.165951066362</v>
      </c>
      <c r="Q7" s="1" t="n">
        <f aca="false">AVERAGE(K16:K19)</f>
        <v>502.427760145741</v>
      </c>
      <c r="R7" s="12" t="n">
        <v>2015</v>
      </c>
      <c r="S7" s="9" t="n">
        <f aca="false">[4]'retirement benefit values'!p8</f>
        <v>6967.8308273951</v>
      </c>
      <c r="T7" s="12" t="n">
        <v>505.3778639636</v>
      </c>
      <c r="U7" s="12" t="n">
        <v>525.8498200828</v>
      </c>
      <c r="V7" s="12" t="n">
        <v>361.1678005152</v>
      </c>
      <c r="W7" s="12" t="n">
        <v>812.9449418949</v>
      </c>
      <c r="X7" s="12" t="n">
        <v>2015</v>
      </c>
      <c r="Y7" s="1" t="n">
        <f aca="false">S7*[4]'inflation indexes'!i100</f>
        <v>6461.29513875529</v>
      </c>
      <c r="Z7" s="1" t="n">
        <f aca="false">T7*[4]'inflation indexes'!i100</f>
        <v>468.63875093295</v>
      </c>
      <c r="AA7" s="1" t="n">
        <f aca="false">V7*[4]'inflation indexes'!i100</f>
        <v>334.912229006601</v>
      </c>
      <c r="AB7" s="1" t="n">
        <f aca="false">W7*[4]'inflation indexes'!i100</f>
        <v>753.846832860739</v>
      </c>
      <c r="AC7" s="1" t="n">
        <f aca="false">U7*[4]'inflation indexes'!i100</f>
        <v>487.622471093568</v>
      </c>
      <c r="AD7" s="1" t="n">
        <f aca="false">AD6+1</f>
        <v>2018</v>
      </c>
      <c r="AE7" s="1" t="n">
        <f aca="false">AVERAGE(Y16:Y19)</f>
        <v>6169.37758696237</v>
      </c>
      <c r="AF7" s="1" t="n">
        <f aca="false">AVERAGE(Z16:Z19)</f>
        <v>494.209679375821</v>
      </c>
      <c r="AG7" s="1" t="n">
        <f aca="false">AVERAGE(AA16:AA19)</f>
        <v>432.444047528382</v>
      </c>
      <c r="AH7" s="1" t="n">
        <f aca="false">AVERAGE(AB16:AB19)</f>
        <v>668.165951066362</v>
      </c>
      <c r="AI7" s="1" t="n">
        <f aca="false">AVERAGE(AC16:AC19)</f>
        <v>502.353825138209</v>
      </c>
      <c r="AJ7" s="12" t="n">
        <v>2015</v>
      </c>
      <c r="AK7" s="14" t="n">
        <f aca="false">[4]'retirement benefit values'!aj8</f>
        <v>6967.8308273951</v>
      </c>
      <c r="AL7" s="12" t="n">
        <v>505.3778639636</v>
      </c>
      <c r="AM7" s="12" t="n">
        <v>525.8498200828</v>
      </c>
      <c r="AN7" s="12" t="n">
        <v>361.1678005152</v>
      </c>
      <c r="AO7" s="12" t="n">
        <v>812.9449418949</v>
      </c>
      <c r="AP7" s="12" t="n">
        <v>2015</v>
      </c>
      <c r="AQ7" s="1" t="n">
        <f aca="false">AK7*[4]'inflation indexes'!i100</f>
        <v>6461.29513875529</v>
      </c>
      <c r="AR7" s="1" t="n">
        <f aca="false">AL7*[4]'inflation indexes'!i100</f>
        <v>468.63875093295</v>
      </c>
      <c r="AS7" s="1" t="n">
        <f aca="false">AN7*[4]'inflation indexes'!i100</f>
        <v>334.912229006601</v>
      </c>
      <c r="AT7" s="1" t="n">
        <f aca="false">AO7*[4]'inflation indexes'!i100</f>
        <v>753.846832860739</v>
      </c>
      <c r="AU7" s="1" t="n">
        <f aca="false">AM7*[4]'inflation indexes'!i100</f>
        <v>487.622471093568</v>
      </c>
      <c r="AV7" s="1" t="n">
        <f aca="false">AV6+1</f>
        <v>2018</v>
      </c>
      <c r="AW7" s="1" t="n">
        <f aca="false">AVERAGE(AQ16:AQ19)</f>
        <v>6172.25614949862</v>
      </c>
      <c r="AX7" s="1" t="n">
        <f aca="false">AVERAGE(AR16:AR19)</f>
        <v>494.037232123814</v>
      </c>
      <c r="AY7" s="1" t="n">
        <f aca="false">AVERAGE(AS16:AS19)</f>
        <v>432.223041059169</v>
      </c>
      <c r="AZ7" s="1" t="n">
        <f aca="false">AVERAGE(AT16:AT19)</f>
        <v>668.165951066362</v>
      </c>
      <c r="BA7" s="1" t="n">
        <f aca="false">AVERAGE(AU16:AU19)</f>
        <v>502.224016967494</v>
      </c>
    </row>
    <row r="8" customFormat="false" ht="15" hidden="false" customHeight="false" outlineLevel="0" collapsed="false">
      <c r="A8" s="11" t="n">
        <f aca="false">[4]'retirement benefit values'!b9</f>
        <v>6546.8359095505</v>
      </c>
      <c r="B8" s="12" t="n">
        <v>571.6642059147</v>
      </c>
      <c r="C8" s="12" t="n">
        <v>594.4529614108</v>
      </c>
      <c r="D8" s="12" t="n">
        <v>420.6142182158</v>
      </c>
      <c r="E8" s="12" t="n">
        <v>857.5128072996</v>
      </c>
      <c r="F8" s="12" t="n">
        <f aca="false">F4+1</f>
        <v>2016</v>
      </c>
      <c r="G8" s="10" t="n">
        <f aca="false">A8*[4]'inflation indexes'!i101</f>
        <v>6070.82398978779</v>
      </c>
      <c r="H8" s="12" t="n">
        <f aca="false">B8*[4]'inflation indexes'!i101</f>
        <v>530.09924539383</v>
      </c>
      <c r="I8" s="12" t="n">
        <f aca="false">D8*[4]'inflation indexes'!i101</f>
        <v>390.031905743248</v>
      </c>
      <c r="J8" s="1" t="n">
        <f aca="false">E8*[4]'inflation indexes'!i101</f>
        <v>795.164166939096</v>
      </c>
      <c r="K8" s="12" t="n">
        <f aca="false">C8*[4]'inflation indexes'!i101</f>
        <v>551.2310601322</v>
      </c>
      <c r="L8" s="1" t="n">
        <f aca="false">L7+1</f>
        <v>2019</v>
      </c>
      <c r="M8" s="1" t="n">
        <f aca="false">AVERAGE(G20:G23)</f>
        <v>6203.06749871376</v>
      </c>
      <c r="N8" s="1" t="n">
        <f aca="false">AVERAGE(H20:H23)</f>
        <v>468.011340962095</v>
      </c>
      <c r="O8" s="1" t="n">
        <f aca="false">AVERAGE(I20:I23)</f>
        <v>400.062909823659</v>
      </c>
      <c r="P8" s="1" t="n">
        <f aca="false">AVERAGE(J20:J23)</f>
        <v>636.857483836155</v>
      </c>
      <c r="Q8" s="1" t="n">
        <f aca="false">AVERAGE(K20:K23)</f>
        <v>472.080486696257</v>
      </c>
      <c r="R8" s="12" t="n">
        <f aca="false">R4+1</f>
        <v>2016</v>
      </c>
      <c r="S8" s="13" t="n">
        <f aca="false">[4]'retirement benefit values'!p9</f>
        <v>6546.8359095505</v>
      </c>
      <c r="T8" s="12" t="n">
        <v>571.6642059147</v>
      </c>
      <c r="U8" s="12" t="n">
        <v>594.4529614108</v>
      </c>
      <c r="V8" s="12" t="n">
        <v>420.6142182158</v>
      </c>
      <c r="W8" s="12" t="n">
        <v>857.5128072996</v>
      </c>
      <c r="X8" s="12" t="n">
        <f aca="false">X4+1</f>
        <v>2016</v>
      </c>
      <c r="Y8" s="1" t="n">
        <f aca="false">S8*[4]'inflation indexes'!i101</f>
        <v>6070.82398978779</v>
      </c>
      <c r="Z8" s="1" t="n">
        <f aca="false">T8*[4]'inflation indexes'!i101</f>
        <v>530.09924539383</v>
      </c>
      <c r="AA8" s="1" t="n">
        <f aca="false">V8*[4]'inflation indexes'!i101</f>
        <v>390.031905743248</v>
      </c>
      <c r="AB8" s="1" t="n">
        <f aca="false">W8*[4]'inflation indexes'!i101</f>
        <v>795.164166939096</v>
      </c>
      <c r="AC8" s="1" t="n">
        <f aca="false">U8*[4]'inflation indexes'!i101</f>
        <v>551.2310601322</v>
      </c>
      <c r="AD8" s="1" t="n">
        <f aca="false">AD7+1</f>
        <v>2019</v>
      </c>
      <c r="AE8" s="1" t="n">
        <f aca="false">AVERAGE(Y20:Y23)</f>
        <v>6249.28849892661</v>
      </c>
      <c r="AF8" s="1" t="n">
        <f aca="false">AVERAGE(Z20:Z23)</f>
        <v>467.646506623378</v>
      </c>
      <c r="AG8" s="1" t="n">
        <f aca="false">AVERAGE(AA20:AA23)</f>
        <v>399.452616684731</v>
      </c>
      <c r="AH8" s="1" t="n">
        <f aca="false">AVERAGE(AB20:AB23)</f>
        <v>637.851099122023</v>
      </c>
      <c r="AI8" s="1" t="n">
        <f aca="false">AVERAGE(AC20:AC23)</f>
        <v>471.900482751841</v>
      </c>
      <c r="AJ8" s="12" t="n">
        <f aca="false">AJ4+1</f>
        <v>2016</v>
      </c>
      <c r="AK8" s="11" t="n">
        <f aca="false">[4]'retirement benefit values'!aj9</f>
        <v>6546.8359095505</v>
      </c>
      <c r="AL8" s="12" t="n">
        <v>571.6642059147</v>
      </c>
      <c r="AM8" s="12" t="n">
        <v>594.4529614108</v>
      </c>
      <c r="AN8" s="12" t="n">
        <v>420.6142182158</v>
      </c>
      <c r="AO8" s="12" t="n">
        <v>857.5128072996</v>
      </c>
      <c r="AP8" s="12" t="n">
        <f aca="false">AP4+1</f>
        <v>2016</v>
      </c>
      <c r="AQ8" s="1" t="n">
        <f aca="false">AK8*[4]'inflation indexes'!i101</f>
        <v>6070.82398978779</v>
      </c>
      <c r="AR8" s="1" t="n">
        <f aca="false">AL8*[4]'inflation indexes'!i101</f>
        <v>530.09924539383</v>
      </c>
      <c r="AS8" s="1" t="n">
        <f aca="false">AN8*[4]'inflation indexes'!i101</f>
        <v>390.031905743248</v>
      </c>
      <c r="AT8" s="1" t="n">
        <f aca="false">AO8*[4]'inflation indexes'!i101</f>
        <v>795.164166939096</v>
      </c>
      <c r="AU8" s="1" t="n">
        <f aca="false">AM8*[4]'inflation indexes'!i101</f>
        <v>551.2310601322</v>
      </c>
      <c r="AV8" s="1" t="n">
        <f aca="false">AV7+1</f>
        <v>2019</v>
      </c>
      <c r="AW8" s="1" t="n">
        <f aca="false">AVERAGE(AQ20:AQ23)</f>
        <v>6292.1005518045</v>
      </c>
      <c r="AX8" s="1" t="n">
        <f aca="false">AVERAGE(AR20:AR23)</f>
        <v>468.193519308143</v>
      </c>
      <c r="AY8" s="1" t="n">
        <f aca="false">AVERAGE(AS20:AS23)</f>
        <v>400.210613863656</v>
      </c>
      <c r="AZ8" s="1" t="n">
        <f aca="false">AVERAGE(AT20:AT23)</f>
        <v>638.768712393704</v>
      </c>
      <c r="BA8" s="1" t="n">
        <f aca="false">AVERAGE(AU20:AU23)</f>
        <v>472.451989324421</v>
      </c>
    </row>
    <row r="9" customFormat="false" ht="15" hidden="false" customHeight="false" outlineLevel="0" collapsed="false">
      <c r="A9" s="14" t="n">
        <f aca="false">[4]'retirement benefit values'!b10</f>
        <v>6356.2046503346</v>
      </c>
      <c r="B9" s="12" t="n">
        <v>476.8789745274</v>
      </c>
      <c r="C9" s="12" t="n">
        <v>495.2285193145</v>
      </c>
      <c r="D9" s="12" t="n">
        <v>344.1294074139</v>
      </c>
      <c r="E9" s="12" t="n">
        <v>704.9686302005</v>
      </c>
      <c r="F9" s="12" t="n">
        <f aca="false">F5+1</f>
        <v>2016</v>
      </c>
      <c r="G9" s="10" t="n">
        <f aca="false">A9*[4]'inflation indexes'!i102</f>
        <v>5894.39501418657</v>
      </c>
      <c r="H9" s="12" t="n">
        <f aca="false">B9*[4]'inflation indexes'!i102</f>
        <v>442.231363597888</v>
      </c>
      <c r="I9" s="12" t="n">
        <f aca="false">D9*[4]'inflation indexes'!i102</f>
        <v>319.126707663305</v>
      </c>
      <c r="J9" s="1" t="n">
        <f aca="false">E9*[4]'inflation indexes'!i102</f>
        <v>653.749180148411</v>
      </c>
      <c r="K9" s="12" t="n">
        <f aca="false">C9*[4]'inflation indexes'!i102</f>
        <v>459.247723399957</v>
      </c>
      <c r="L9" s="1" t="n">
        <f aca="false">L8+1</f>
        <v>2020</v>
      </c>
      <c r="M9" s="1" t="n">
        <f aca="false">AVERAGE(G24:G27)</f>
        <v>6139.31505032642</v>
      </c>
      <c r="N9" s="1" t="n">
        <f aca="false">AVERAGE(H24:H27)</f>
        <v>465.037901374213</v>
      </c>
      <c r="O9" s="1" t="n">
        <f aca="false">AVERAGE(I24:I27)</f>
        <v>399.754498082006</v>
      </c>
      <c r="P9" s="1" t="n">
        <f aca="false">AVERAGE(J24:J27)</f>
        <v>624.584759376164</v>
      </c>
      <c r="Q9" s="1" t="n">
        <f aca="false">AVERAGE(K24:K27)</f>
        <v>469.334436066275</v>
      </c>
      <c r="R9" s="12" t="n">
        <f aca="false">R5+1</f>
        <v>2016</v>
      </c>
      <c r="S9" s="9" t="n">
        <f aca="false">[4]'retirement benefit values'!p10</f>
        <v>6356.2046503346</v>
      </c>
      <c r="T9" s="12" t="n">
        <v>476.8789745274</v>
      </c>
      <c r="U9" s="12" t="n">
        <v>495.2285193145</v>
      </c>
      <c r="V9" s="12" t="n">
        <v>344.1294074139</v>
      </c>
      <c r="W9" s="12" t="n">
        <v>704.9686302005</v>
      </c>
      <c r="X9" s="12" t="n">
        <f aca="false">X5+1</f>
        <v>2016</v>
      </c>
      <c r="Y9" s="1" t="n">
        <f aca="false">S9*[4]'inflation indexes'!i102</f>
        <v>5894.39501418657</v>
      </c>
      <c r="Z9" s="1" t="n">
        <f aca="false">T9*[4]'inflation indexes'!i102</f>
        <v>442.231363597888</v>
      </c>
      <c r="AA9" s="1" t="n">
        <f aca="false">V9*[4]'inflation indexes'!i102</f>
        <v>319.126707663305</v>
      </c>
      <c r="AB9" s="1" t="n">
        <f aca="false">W9*[4]'inflation indexes'!i102</f>
        <v>653.749180148411</v>
      </c>
      <c r="AC9" s="1" t="n">
        <f aca="false">U9*[4]'inflation indexes'!i102</f>
        <v>459.247723399957</v>
      </c>
      <c r="AD9" s="1" t="n">
        <f aca="false">AD8+1</f>
        <v>2020</v>
      </c>
      <c r="AE9" s="1" t="n">
        <f aca="false">AVERAGE(Y24:Y27)</f>
        <v>6242.36536312099</v>
      </c>
      <c r="AF9" s="1" t="n">
        <f aca="false">AVERAGE(Z24:Z27)</f>
        <v>466.65684130963</v>
      </c>
      <c r="AG9" s="1" t="n">
        <f aca="false">AVERAGE(AA24:AA27)</f>
        <v>401.345337807937</v>
      </c>
      <c r="AH9" s="1" t="n">
        <f aca="false">AVERAGE(AB24:AB27)</f>
        <v>629.309774036766</v>
      </c>
      <c r="AI9" s="1" t="n">
        <f aca="false">AVERAGE(AC24:AC27)</f>
        <v>470.901873901174</v>
      </c>
      <c r="AJ9" s="12" t="n">
        <f aca="false">AJ5+1</f>
        <v>2016</v>
      </c>
      <c r="AK9" s="14" t="n">
        <f aca="false">[4]'retirement benefit values'!aj10</f>
        <v>6356.2046503346</v>
      </c>
      <c r="AL9" s="12" t="n">
        <v>476.8789745274</v>
      </c>
      <c r="AM9" s="12" t="n">
        <v>495.2285193145</v>
      </c>
      <c r="AN9" s="12" t="n">
        <v>344.1294074139</v>
      </c>
      <c r="AO9" s="12" t="n">
        <v>704.9686302005</v>
      </c>
      <c r="AP9" s="12" t="n">
        <f aca="false">AP5+1</f>
        <v>2016</v>
      </c>
      <c r="AQ9" s="1" t="n">
        <f aca="false">AK9*[4]'inflation indexes'!i102</f>
        <v>5894.39501418657</v>
      </c>
      <c r="AR9" s="1" t="n">
        <f aca="false">AL9*[4]'inflation indexes'!i102</f>
        <v>442.231363597888</v>
      </c>
      <c r="AS9" s="1" t="n">
        <f aca="false">AN9*[4]'inflation indexes'!i102</f>
        <v>319.126707663305</v>
      </c>
      <c r="AT9" s="1" t="n">
        <f aca="false">AO9*[4]'inflation indexes'!i102</f>
        <v>653.749180148411</v>
      </c>
      <c r="AU9" s="1" t="n">
        <f aca="false">AM9*[4]'inflation indexes'!i102</f>
        <v>459.247723399957</v>
      </c>
      <c r="AV9" s="1" t="n">
        <f aca="false">AV8+1</f>
        <v>2020</v>
      </c>
      <c r="AW9" s="1" t="n">
        <f aca="false">AVERAGE(AQ24:AQ27)</f>
        <v>6347.46379061119</v>
      </c>
      <c r="AX9" s="1" t="n">
        <f aca="false">AVERAGE(AR24:AR27)</f>
        <v>468.145091695045</v>
      </c>
      <c r="AY9" s="1" t="n">
        <f aca="false">AVERAGE(AS24:AS27)</f>
        <v>402.8382611057</v>
      </c>
      <c r="AZ9" s="1" t="n">
        <f aca="false">AVERAGE(AT24:AT27)</f>
        <v>636.267742671484</v>
      </c>
      <c r="BA9" s="1" t="n">
        <f aca="false">AVERAGE(AU24:AU27)</f>
        <v>472.862543677026</v>
      </c>
    </row>
    <row r="10" customFormat="false" ht="15" hidden="false" customHeight="false" outlineLevel="0" collapsed="false">
      <c r="A10" s="14" t="n">
        <f aca="false">[4]'retirement benefit values'!b11</f>
        <v>6421.7509021331</v>
      </c>
      <c r="B10" s="12" t="n">
        <v>467.1824709866</v>
      </c>
      <c r="C10" s="12" t="n">
        <v>482.8064855209</v>
      </c>
      <c r="D10" s="12" t="n">
        <v>318.4315926747</v>
      </c>
      <c r="E10" s="12" t="n">
        <v>682.5269822401</v>
      </c>
      <c r="F10" s="12" t="n">
        <f aca="false">F6+1</f>
        <v>2016</v>
      </c>
      <c r="G10" s="10" t="n">
        <f aca="false">A10*[4]'inflation indexes'!i103</f>
        <v>5954.93724126656</v>
      </c>
      <c r="H10" s="12" t="n">
        <f aca="false">B10*[4]'inflation indexes'!i103</f>
        <v>433.221770408586</v>
      </c>
      <c r="I10" s="12" t="n">
        <f aca="false">D10*[4]'inflation indexes'!i103</f>
        <v>295.283977674146</v>
      </c>
      <c r="J10" s="1" t="n">
        <f aca="false">E10*[4]'inflation indexes'!i103</f>
        <v>632.912332890518</v>
      </c>
      <c r="K10" s="12" t="n">
        <f aca="false">C10*[4]'inflation indexes'!i103</f>
        <v>447.710034968566</v>
      </c>
      <c r="L10" s="1" t="n">
        <f aca="false">L9+1</f>
        <v>2021</v>
      </c>
      <c r="M10" s="1" t="n">
        <f aca="false">AVERAGE(G28:G31)</f>
        <v>6118.07853413851</v>
      </c>
      <c r="N10" s="1" t="n">
        <f aca="false">AVERAGE(H28:H31)</f>
        <v>464.009557824818</v>
      </c>
      <c r="O10" s="1" t="n">
        <f aca="false">AVERAGE(I28:I31)</f>
        <v>391.983544034281</v>
      </c>
      <c r="P10" s="1" t="n">
        <f aca="false">AVERAGE(J28:J31)</f>
        <v>638.819132682432</v>
      </c>
      <c r="Q10" s="1" t="n">
        <f aca="false">AVERAGE(K28:K31)</f>
        <v>465.566852465533</v>
      </c>
      <c r="R10" s="12" t="n">
        <f aca="false">R6+1</f>
        <v>2016</v>
      </c>
      <c r="S10" s="9" t="n">
        <f aca="false">[4]'retirement benefit values'!p11</f>
        <v>6421.7509021331</v>
      </c>
      <c r="T10" s="12" t="n">
        <v>467.1824709866</v>
      </c>
      <c r="U10" s="12" t="n">
        <v>482.8064855209</v>
      </c>
      <c r="V10" s="12" t="n">
        <v>318.4315926747</v>
      </c>
      <c r="W10" s="12" t="n">
        <v>682.5269822401</v>
      </c>
      <c r="X10" s="12" t="n">
        <f aca="false">X6+1</f>
        <v>2016</v>
      </c>
      <c r="Y10" s="1" t="n">
        <f aca="false">S10*[4]'inflation indexes'!i103</f>
        <v>5954.93724126656</v>
      </c>
      <c r="Z10" s="1" t="n">
        <f aca="false">T10*[4]'inflation indexes'!i103</f>
        <v>433.221770408586</v>
      </c>
      <c r="AA10" s="1" t="n">
        <f aca="false">V10*[4]'inflation indexes'!i103</f>
        <v>295.283977674146</v>
      </c>
      <c r="AB10" s="1" t="n">
        <f aca="false">W10*[4]'inflation indexes'!i103</f>
        <v>632.912332890518</v>
      </c>
      <c r="AC10" s="1" t="n">
        <f aca="false">U10*[4]'inflation indexes'!i103</f>
        <v>447.710034968566</v>
      </c>
      <c r="AD10" s="1" t="n">
        <f aca="false">AD9+1</f>
        <v>2021</v>
      </c>
      <c r="AE10" s="1" t="n">
        <f aca="false">AVERAGE(Y28:Y31)</f>
        <v>6291.60212390965</v>
      </c>
      <c r="AF10" s="1" t="n">
        <f aca="false">AVERAGE(Z28:Z31)</f>
        <v>468.482842760202</v>
      </c>
      <c r="AG10" s="1" t="n">
        <f aca="false">AVERAGE(AA28:AA31)</f>
        <v>395.690468414786</v>
      </c>
      <c r="AH10" s="1" t="n">
        <f aca="false">AVERAGE(AB28:AB31)</f>
        <v>664.13766466099</v>
      </c>
      <c r="AI10" s="1" t="n">
        <f aca="false">AVERAGE(AC28:AC31)</f>
        <v>469.584861279681</v>
      </c>
      <c r="AJ10" s="12" t="n">
        <f aca="false">AJ6+1</f>
        <v>2016</v>
      </c>
      <c r="AK10" s="14" t="n">
        <f aca="false">[4]'retirement benefit values'!aj11</f>
        <v>6421.7509021331</v>
      </c>
      <c r="AL10" s="12" t="n">
        <v>467.1824709866</v>
      </c>
      <c r="AM10" s="12" t="n">
        <v>482.8064855209</v>
      </c>
      <c r="AN10" s="12" t="n">
        <v>318.4315926747</v>
      </c>
      <c r="AO10" s="12" t="n">
        <v>682.5269822401</v>
      </c>
      <c r="AP10" s="12" t="n">
        <f aca="false">AP6+1</f>
        <v>2016</v>
      </c>
      <c r="AQ10" s="1" t="n">
        <f aca="false">AK10*[4]'inflation indexes'!i103</f>
        <v>5954.93724126656</v>
      </c>
      <c r="AR10" s="1" t="n">
        <f aca="false">AL10*[4]'inflation indexes'!i103</f>
        <v>433.221770408586</v>
      </c>
      <c r="AS10" s="1" t="n">
        <f aca="false">AN10*[4]'inflation indexes'!i103</f>
        <v>295.283977674146</v>
      </c>
      <c r="AT10" s="1" t="n">
        <f aca="false">AO10*[4]'inflation indexes'!i103</f>
        <v>632.912332890518</v>
      </c>
      <c r="AU10" s="1" t="n">
        <f aca="false">AM10*[4]'inflation indexes'!i103</f>
        <v>447.710034968566</v>
      </c>
      <c r="AV10" s="1" t="n">
        <f aca="false">AV9+1</f>
        <v>2021</v>
      </c>
      <c r="AW10" s="1" t="n">
        <f aca="false">AVERAGE(AQ28:AQ31)</f>
        <v>6464.09323920289</v>
      </c>
      <c r="AX10" s="1" t="n">
        <f aca="false">AVERAGE(AR28:AR31)</f>
        <v>473.787650956379</v>
      </c>
      <c r="AY10" s="1" t="n">
        <f aca="false">AVERAGE(AS28:AS31)</f>
        <v>402.018425505819</v>
      </c>
      <c r="AZ10" s="1" t="n">
        <f aca="false">AVERAGE(AT28:AT31)</f>
        <v>670.540274799211</v>
      </c>
      <c r="BA10" s="1" t="n">
        <f aca="false">AVERAGE(AU28:AU31)</f>
        <v>475.433442608338</v>
      </c>
    </row>
    <row r="11" customFormat="false" ht="15" hidden="false" customHeight="false" outlineLevel="0" collapsed="false">
      <c r="A11" s="14" t="n">
        <f aca="false">[4]'retirement benefit values'!b12</f>
        <v>6485.7556979743</v>
      </c>
      <c r="B11" s="12" t="n">
        <v>551.6765472241</v>
      </c>
      <c r="C11" s="12" t="n">
        <v>562.1980948483</v>
      </c>
      <c r="D11" s="12" t="n">
        <v>500.2204033472</v>
      </c>
      <c r="E11" s="12" t="n">
        <v>735.692171705</v>
      </c>
      <c r="F11" s="12" t="n">
        <f aca="false">F7+1</f>
        <v>2016</v>
      </c>
      <c r="G11" s="10" t="n">
        <f aca="false">A11*[4]'inflation indexes'!i104</f>
        <v>6014.28944713108</v>
      </c>
      <c r="H11" s="12" t="n">
        <f aca="false">B11*[4]'inflation indexes'!i104</f>
        <v>511.573761132555</v>
      </c>
      <c r="I11" s="12" t="n">
        <f aca="false">D11*[4]'inflation indexes'!i104</f>
        <v>463.858096602429</v>
      </c>
      <c r="J11" s="1" t="n">
        <f aca="false">E11*[4]'inflation indexes'!i104</f>
        <v>682.21281692807</v>
      </c>
      <c r="K11" s="12" t="n">
        <f aca="false">C11*[4]'inflation indexes'!i104</f>
        <v>521.330470418334</v>
      </c>
      <c r="L11" s="1" t="n">
        <f aca="false">L10+1</f>
        <v>2022</v>
      </c>
      <c r="M11" s="1" t="n">
        <f aca="false">AVERAGE(G32:G35)</f>
        <v>6103.29886900254</v>
      </c>
      <c r="N11" s="1" t="n">
        <f aca="false">AVERAGE(H32:H35)</f>
        <v>461.302791684167</v>
      </c>
      <c r="O11" s="1" t="n">
        <f aca="false">AVERAGE(I32:I35)</f>
        <v>383.855742493485</v>
      </c>
      <c r="P11" s="1" t="n">
        <f aca="false">AVERAGE(J32:J35)</f>
        <v>636.416061032192</v>
      </c>
      <c r="Q11" s="1" t="n">
        <f aca="false">AVERAGE(K32:K35)</f>
        <v>457.662923030033</v>
      </c>
      <c r="R11" s="12" t="n">
        <f aca="false">R7+1</f>
        <v>2016</v>
      </c>
      <c r="S11" s="9" t="n">
        <f aca="false">[4]'retirement benefit values'!p12</f>
        <v>6485.7556979743</v>
      </c>
      <c r="T11" s="12" t="n">
        <v>551.6765472241</v>
      </c>
      <c r="U11" s="12" t="n">
        <v>562.1980948483</v>
      </c>
      <c r="V11" s="12" t="n">
        <v>500.2204033472</v>
      </c>
      <c r="W11" s="12" t="n">
        <v>735.692171705</v>
      </c>
      <c r="X11" s="12" t="n">
        <f aca="false">X7+1</f>
        <v>2016</v>
      </c>
      <c r="Y11" s="1" t="n">
        <f aca="false">S11*[4]'inflation indexes'!i104</f>
        <v>6014.28944713108</v>
      </c>
      <c r="Z11" s="1" t="n">
        <f aca="false">T11*[4]'inflation indexes'!i104</f>
        <v>511.573761132555</v>
      </c>
      <c r="AA11" s="1" t="n">
        <f aca="false">V11*[4]'inflation indexes'!i104</f>
        <v>463.858096602429</v>
      </c>
      <c r="AB11" s="1" t="n">
        <f aca="false">W11*[4]'inflation indexes'!i104</f>
        <v>682.21281692807</v>
      </c>
      <c r="AC11" s="1" t="n">
        <f aca="false">U11*[4]'inflation indexes'!i104</f>
        <v>521.330470418334</v>
      </c>
      <c r="AD11" s="1" t="n">
        <f aca="false">AD10+1</f>
        <v>2022</v>
      </c>
      <c r="AE11" s="1" t="n">
        <f aca="false">AVERAGE(Y32:Y35)</f>
        <v>6345.73483231751</v>
      </c>
      <c r="AF11" s="1" t="n">
        <f aca="false">AVERAGE(Z32:Z35)</f>
        <v>468.867906910945</v>
      </c>
      <c r="AG11" s="1" t="n">
        <f aca="false">AVERAGE(AA32:AA35)</f>
        <v>395.01133626354</v>
      </c>
      <c r="AH11" s="1" t="n">
        <f aca="false">AVERAGE(AB32:AB35)</f>
        <v>660.191268651721</v>
      </c>
      <c r="AI11" s="1" t="n">
        <f aca="false">AVERAGE(AC32:AC35)</f>
        <v>470.490612531999</v>
      </c>
      <c r="AJ11" s="12" t="n">
        <f aca="false">AJ7+1</f>
        <v>2016</v>
      </c>
      <c r="AK11" s="14" t="n">
        <f aca="false">[4]'retirement benefit values'!aj12</f>
        <v>6485.7556979743</v>
      </c>
      <c r="AL11" s="12" t="n">
        <v>551.6765472241</v>
      </c>
      <c r="AM11" s="12" t="n">
        <v>562.1980948483</v>
      </c>
      <c r="AN11" s="12" t="n">
        <v>500.2204033472</v>
      </c>
      <c r="AO11" s="12" t="n">
        <v>735.692171705</v>
      </c>
      <c r="AP11" s="12" t="n">
        <f aca="false">AP7+1</f>
        <v>2016</v>
      </c>
      <c r="AQ11" s="1" t="n">
        <f aca="false">AK11*[4]'inflation indexes'!i104</f>
        <v>6014.28944713108</v>
      </c>
      <c r="AR11" s="1" t="n">
        <f aca="false">AL11*[4]'inflation indexes'!i104</f>
        <v>511.573761132555</v>
      </c>
      <c r="AS11" s="1" t="n">
        <f aca="false">AN11*[4]'inflation indexes'!i104</f>
        <v>463.858096602429</v>
      </c>
      <c r="AT11" s="1" t="n">
        <f aca="false">AO11*[4]'inflation indexes'!i104</f>
        <v>682.21281692807</v>
      </c>
      <c r="AU11" s="1" t="n">
        <f aca="false">AM11*[4]'inflation indexes'!i104</f>
        <v>521.330470418334</v>
      </c>
      <c r="AV11" s="1" t="n">
        <f aca="false">AV10+1</f>
        <v>2022</v>
      </c>
      <c r="AW11" s="1" t="n">
        <f aca="false">AVERAGE(AQ32:AQ35)</f>
        <v>6573.49015504555</v>
      </c>
      <c r="AX11" s="1" t="n">
        <f aca="false">AVERAGE(AR32:AR35)</f>
        <v>478.221536881373</v>
      </c>
      <c r="AY11" s="1" t="n">
        <f aca="false">AVERAGE(AS32:AS35)</f>
        <v>404.775912519838</v>
      </c>
      <c r="AZ11" s="1" t="n">
        <f aca="false">AVERAGE(AT32:AT35)</f>
        <v>673.646023514012</v>
      </c>
      <c r="BA11" s="1" t="n">
        <f aca="false">AVERAGE(AU32:AU35)</f>
        <v>477.315770872671</v>
      </c>
    </row>
    <row r="12" customFormat="false" ht="15" hidden="false" customHeight="false" outlineLevel="0" collapsed="false">
      <c r="A12" s="11" t="n">
        <f aca="false">[4]'retirement benefit values'!b13</f>
        <v>6584.0500436289</v>
      </c>
      <c r="B12" s="12" t="n">
        <v>648.1833407809</v>
      </c>
      <c r="C12" s="12" t="n">
        <v>661.7662715798</v>
      </c>
      <c r="D12" s="12" t="n">
        <v>579.5961242793</v>
      </c>
      <c r="E12" s="12" t="n">
        <v>853.0840517967</v>
      </c>
      <c r="F12" s="12" t="n">
        <f aca="false">F8+1</f>
        <v>2017</v>
      </c>
      <c r="G12" s="10" t="n">
        <f aca="false">A12*[4]'inflation indexes'!i105</f>
        <v>6105.02566905231</v>
      </c>
      <c r="H12" s="12" t="n">
        <f aca="false">B12*[4]'inflation indexes'!i105</f>
        <v>601.024583272824</v>
      </c>
      <c r="I12" s="12" t="n">
        <f aca="false">D12*[4]'inflation indexes'!i105</f>
        <v>537.427448600936</v>
      </c>
      <c r="J12" s="1" t="n">
        <f aca="false">E12*[4]'inflation indexes'!i105</f>
        <v>791.01768661641</v>
      </c>
      <c r="K12" s="12" t="n">
        <f aca="false">C12*[4]'inflation indexes'!i105</f>
        <v>613.619284199875</v>
      </c>
      <c r="L12" s="1" t="n">
        <f aca="false">L11+1</f>
        <v>2023</v>
      </c>
      <c r="M12" s="1" t="n">
        <f aca="false">AVERAGE(G36:G39)</f>
        <v>6083.45020767002</v>
      </c>
      <c r="N12" s="1" t="n">
        <f aca="false">AVERAGE(H36:H39)</f>
        <v>461.664616489065</v>
      </c>
      <c r="O12" s="1" t="n">
        <f aca="false">AVERAGE(I36:I39)</f>
        <v>385.087449519261</v>
      </c>
      <c r="P12" s="1" t="n">
        <f aca="false">AVERAGE(J36:J39)</f>
        <v>650.264381958547</v>
      </c>
      <c r="Q12" s="1" t="n">
        <f aca="false">AVERAGE(K36:K39)</f>
        <v>460.342627249869</v>
      </c>
      <c r="R12" s="12" t="n">
        <f aca="false">R8+1</f>
        <v>2017</v>
      </c>
      <c r="S12" s="13" t="n">
        <f aca="false">[4]'retirement benefit values'!p13</f>
        <v>6584.0500436289</v>
      </c>
      <c r="T12" s="12" t="n">
        <v>648.1833407809</v>
      </c>
      <c r="U12" s="12" t="n">
        <v>661.7662715798</v>
      </c>
      <c r="V12" s="12" t="n">
        <v>579.5961242793</v>
      </c>
      <c r="W12" s="12" t="n">
        <v>853.0840517967</v>
      </c>
      <c r="X12" s="12" t="n">
        <f aca="false">X8+1</f>
        <v>2017</v>
      </c>
      <c r="Y12" s="1" t="n">
        <f aca="false">S12*[4]'inflation indexes'!i105</f>
        <v>6105.02566905231</v>
      </c>
      <c r="Z12" s="1" t="n">
        <f aca="false">T12*[4]'inflation indexes'!i105</f>
        <v>601.024583272824</v>
      </c>
      <c r="AA12" s="1" t="n">
        <f aca="false">V12*[4]'inflation indexes'!i105</f>
        <v>537.427448600936</v>
      </c>
      <c r="AB12" s="1" t="n">
        <f aca="false">W12*[4]'inflation indexes'!i105</f>
        <v>791.01768661641</v>
      </c>
      <c r="AC12" s="1" t="n">
        <f aca="false">U12*[4]'inflation indexes'!i105</f>
        <v>613.619284199875</v>
      </c>
      <c r="AD12" s="1" t="n">
        <f aca="false">AD11+1</f>
        <v>2023</v>
      </c>
      <c r="AE12" s="1" t="n">
        <f aca="false">AVERAGE(Y36:Y39)</f>
        <v>6415.19247009387</v>
      </c>
      <c r="AF12" s="1" t="n">
        <f aca="false">AVERAGE(Z36:Z39)</f>
        <v>470.687735532102</v>
      </c>
      <c r="AG12" s="1" t="n">
        <f aca="false">AVERAGE(AA36:AA39)</f>
        <v>393.906433666286</v>
      </c>
      <c r="AH12" s="1" t="n">
        <f aca="false">AVERAGE(AB36:AB39)</f>
        <v>674.561795732923</v>
      </c>
      <c r="AI12" s="1" t="n">
        <f aca="false">AVERAGE(AC36:AC39)</f>
        <v>471.16158982069</v>
      </c>
      <c r="AJ12" s="12" t="n">
        <f aca="false">AJ8+1</f>
        <v>2017</v>
      </c>
      <c r="AK12" s="11" t="n">
        <f aca="false">[4]'retirement benefit values'!aj13</f>
        <v>6584.0500436289</v>
      </c>
      <c r="AL12" s="12" t="n">
        <v>648.1833407809</v>
      </c>
      <c r="AM12" s="12" t="n">
        <v>661.7662715798</v>
      </c>
      <c r="AN12" s="12" t="n">
        <v>579.5961242793</v>
      </c>
      <c r="AO12" s="12" t="n">
        <v>853.0840517967</v>
      </c>
      <c r="AP12" s="12" t="n">
        <f aca="false">AP8+1</f>
        <v>2017</v>
      </c>
      <c r="AQ12" s="1" t="n">
        <f aca="false">AK12*[4]'inflation indexes'!i105</f>
        <v>6105.02566905231</v>
      </c>
      <c r="AR12" s="1" t="n">
        <f aca="false">AL12*[4]'inflation indexes'!i105</f>
        <v>601.024583272824</v>
      </c>
      <c r="AS12" s="1" t="n">
        <f aca="false">AN12*[4]'inflation indexes'!i105</f>
        <v>537.427448600936</v>
      </c>
      <c r="AT12" s="1" t="n">
        <f aca="false">AO12*[4]'inflation indexes'!i105</f>
        <v>791.01768661641</v>
      </c>
      <c r="AU12" s="1" t="n">
        <f aca="false">AM12*[4]'inflation indexes'!i105</f>
        <v>613.619284199875</v>
      </c>
      <c r="AV12" s="1" t="n">
        <f aca="false">AV11+1</f>
        <v>2023</v>
      </c>
      <c r="AW12" s="1" t="n">
        <f aca="false">AVERAGE(AQ36:AQ39)</f>
        <v>6681.85420365535</v>
      </c>
      <c r="AX12" s="1" t="n">
        <f aca="false">AVERAGE(AR36:AR39)</f>
        <v>480.618727483305</v>
      </c>
      <c r="AY12" s="1" t="n">
        <f aca="false">AVERAGE(AS36:AS39)</f>
        <v>407.025469268715</v>
      </c>
      <c r="AZ12" s="1" t="n">
        <f aca="false">AVERAGE(AT36:AT39)</f>
        <v>681.663898148141</v>
      </c>
      <c r="BA12" s="1" t="n">
        <f aca="false">AVERAGE(AU36:AU39)</f>
        <v>479.876047665838</v>
      </c>
    </row>
    <row r="13" customFormat="false" ht="15" hidden="false" customHeight="false" outlineLevel="0" collapsed="false">
      <c r="A13" s="14" t="n">
        <f aca="false">[4]'retirement benefit values'!b14</f>
        <v>6551.3566988075</v>
      </c>
      <c r="B13" s="12" t="n">
        <v>546.8330681725</v>
      </c>
      <c r="C13" s="12" t="n">
        <v>558.3202726293</v>
      </c>
      <c r="D13" s="12" t="n">
        <v>483.3641726099</v>
      </c>
      <c r="E13" s="12" t="n">
        <v>738.2203706381</v>
      </c>
      <c r="F13" s="12" t="n">
        <f aca="false">F9+1</f>
        <v>2017</v>
      </c>
      <c r="G13" s="10" t="n">
        <f aca="false">A13*[4]'inflation indexes'!i106</f>
        <v>6074.99712852789</v>
      </c>
      <c r="H13" s="12" t="n">
        <f aca="false">B13*[4]'inflation indexes'!i106</f>
        <v>507.071965648996</v>
      </c>
      <c r="I13" s="12" t="n">
        <f aca="false">D13*[4]'inflation indexes'!i106</f>
        <v>448.217994476305</v>
      </c>
      <c r="J13" s="1" t="n">
        <f aca="false">E13*[4]'inflation indexes'!i106</f>
        <v>684.54319281128</v>
      </c>
      <c r="K13" s="12" t="n">
        <f aca="false">C13*[4]'inflation indexes'!i106</f>
        <v>517.723917190968</v>
      </c>
      <c r="L13" s="1" t="n">
        <f aca="false">L12+1</f>
        <v>2024</v>
      </c>
      <c r="M13" s="1" t="n">
        <f aca="false">AVERAGE(G40:G43)</f>
        <v>6038.25666151764</v>
      </c>
      <c r="N13" s="1" t="n">
        <f aca="false">AVERAGE(H40:H43)</f>
        <v>464.318538089749</v>
      </c>
      <c r="O13" s="1" t="n">
        <f aca="false">AVERAGE(I40:I43)</f>
        <v>391.322173459561</v>
      </c>
      <c r="P13" s="1" t="n">
        <f aca="false">AVERAGE(J40:J43)</f>
        <v>636.616864729627</v>
      </c>
      <c r="Q13" s="1" t="n">
        <f aca="false">AVERAGE(K40:K43)</f>
        <v>464.868560524528</v>
      </c>
      <c r="R13" s="12" t="n">
        <f aca="false">R9+1</f>
        <v>2017</v>
      </c>
      <c r="S13" s="9" t="n">
        <f aca="false">[4]'retirement benefit values'!p14</f>
        <v>6551.3566988075</v>
      </c>
      <c r="T13" s="12" t="n">
        <v>546.8330681725</v>
      </c>
      <c r="U13" s="12" t="n">
        <v>558.3202726293</v>
      </c>
      <c r="V13" s="12" t="n">
        <v>483.3641726099</v>
      </c>
      <c r="W13" s="12" t="n">
        <v>738.2203706381</v>
      </c>
      <c r="X13" s="12" t="n">
        <f aca="false">X9+1</f>
        <v>2017</v>
      </c>
      <c r="Y13" s="1" t="n">
        <f aca="false">S13*[4]'inflation indexes'!i106</f>
        <v>6074.99712852789</v>
      </c>
      <c r="Z13" s="1" t="n">
        <f aca="false">T13*[4]'inflation indexes'!i106</f>
        <v>507.071965648996</v>
      </c>
      <c r="AA13" s="1" t="n">
        <f aca="false">V13*[4]'inflation indexes'!i106</f>
        <v>448.217994476305</v>
      </c>
      <c r="AB13" s="1" t="n">
        <f aca="false">W13*[4]'inflation indexes'!i106</f>
        <v>684.54319281128</v>
      </c>
      <c r="AC13" s="1" t="n">
        <f aca="false">U13*[4]'inflation indexes'!i106</f>
        <v>517.723917190968</v>
      </c>
      <c r="AD13" s="1" t="n">
        <f aca="false">AD12+1</f>
        <v>2024</v>
      </c>
      <c r="AE13" s="1" t="n">
        <f aca="false">AVERAGE(Y40:Y43)</f>
        <v>6413.70057580104</v>
      </c>
      <c r="AF13" s="1" t="n">
        <f aca="false">AVERAGE(Z40:Z43)</f>
        <v>469.204436929088</v>
      </c>
      <c r="AG13" s="1" t="n">
        <f aca="false">AVERAGE(AA40:AA43)</f>
        <v>397.531564396798</v>
      </c>
      <c r="AH13" s="1" t="n">
        <f aca="false">AVERAGE(AB40:AB43)</f>
        <v>658.274102203712</v>
      </c>
      <c r="AI13" s="1" t="n">
        <f aca="false">AVERAGE(AC40:AC43)</f>
        <v>472.054583052306</v>
      </c>
      <c r="AJ13" s="12" t="n">
        <f aca="false">AJ9+1</f>
        <v>2017</v>
      </c>
      <c r="AK13" s="14" t="n">
        <f aca="false">[4]'retirement benefit values'!aj14</f>
        <v>6551.3566988075</v>
      </c>
      <c r="AL13" s="12" t="n">
        <v>546.8330681725</v>
      </c>
      <c r="AM13" s="12" t="n">
        <v>558.3202726293</v>
      </c>
      <c r="AN13" s="12" t="n">
        <v>483.3641726099</v>
      </c>
      <c r="AO13" s="12" t="n">
        <v>738.2203706381</v>
      </c>
      <c r="AP13" s="12" t="n">
        <f aca="false">AP9+1</f>
        <v>2017</v>
      </c>
      <c r="AQ13" s="1" t="n">
        <f aca="false">AK13*[4]'inflation indexes'!i106</f>
        <v>6074.99712852789</v>
      </c>
      <c r="AR13" s="1" t="n">
        <f aca="false">AL13*[4]'inflation indexes'!i106</f>
        <v>507.071965648996</v>
      </c>
      <c r="AS13" s="1" t="n">
        <f aca="false">AN13*[4]'inflation indexes'!i106</f>
        <v>448.217994476305</v>
      </c>
      <c r="AT13" s="1" t="n">
        <f aca="false">AO13*[4]'inflation indexes'!i106</f>
        <v>684.54319281128</v>
      </c>
      <c r="AU13" s="1" t="n">
        <f aca="false">AM13*[4]'inflation indexes'!i106</f>
        <v>517.723917190968</v>
      </c>
      <c r="AV13" s="1" t="n">
        <f aca="false">AV12+1</f>
        <v>2024</v>
      </c>
      <c r="AW13" s="1" t="n">
        <f aca="false">AVERAGE(AQ40:AQ43)</f>
        <v>6793.25519905674</v>
      </c>
      <c r="AX13" s="1" t="n">
        <f aca="false">AVERAGE(AR40:AR43)</f>
        <v>483.019130299583</v>
      </c>
      <c r="AY13" s="1" t="n">
        <f aca="false">AVERAGE(AS40:AS43)</f>
        <v>405.316032469358</v>
      </c>
      <c r="AZ13" s="1" t="n">
        <f aca="false">AVERAGE(AT40:AT43)</f>
        <v>692.697915710251</v>
      </c>
      <c r="BA13" s="1" t="n">
        <f aca="false">AVERAGE(AU40:AU43)</f>
        <v>478.78509617175</v>
      </c>
    </row>
    <row r="14" customFormat="false" ht="15" hidden="false" customHeight="false" outlineLevel="0" collapsed="false">
      <c r="A14" s="14" t="n">
        <f aca="false">[4]'retirement benefit values'!b15</f>
        <v>6734.1800242166</v>
      </c>
      <c r="B14" s="12" t="n">
        <v>516.7622611788</v>
      </c>
      <c r="C14" s="12" t="n">
        <v>528.8469798466</v>
      </c>
      <c r="D14" s="12" t="n">
        <v>442.02572112</v>
      </c>
      <c r="E14" s="12" t="n">
        <v>742.5567311276</v>
      </c>
      <c r="F14" s="12" t="n">
        <f aca="false">F10+1</f>
        <v>2017</v>
      </c>
      <c r="G14" s="10" t="n">
        <f aca="false">A14*[4]'inflation indexes'!i107</f>
        <v>6244.99490564717</v>
      </c>
      <c r="H14" s="12" t="n">
        <f aca="false">B14*[4]'inflation indexes'!i107</f>
        <v>479.223554595683</v>
      </c>
      <c r="I14" s="12" t="n">
        <f aca="false">D14*[4]'inflation indexes'!i107</f>
        <v>409.91603530536</v>
      </c>
      <c r="J14" s="1" t="n">
        <f aca="false">E14*[4]'inflation indexes'!i107</f>
        <v>688.615835390492</v>
      </c>
      <c r="K14" s="12" t="n">
        <f aca="false">C14*[4]'inflation indexes'!i107</f>
        <v>490.430413670611</v>
      </c>
      <c r="L14" s="1" t="n">
        <f aca="false">L13+1</f>
        <v>2025</v>
      </c>
      <c r="M14" s="1" t="n">
        <f aca="false">AVERAGE(G44:G47)</f>
        <v>6021.46262109317</v>
      </c>
      <c r="N14" s="1" t="n">
        <f aca="false">AVERAGE(H44:H47)</f>
        <v>465.213604852486</v>
      </c>
      <c r="O14" s="1" t="n">
        <f aca="false">AVERAGE(I44:I47)</f>
        <v>388.275848730203</v>
      </c>
      <c r="P14" s="1" t="n">
        <f aca="false">AVERAGE(J44:J47)</f>
        <v>638.735937391738</v>
      </c>
      <c r="Q14" s="1" t="n">
        <f aca="false">AVERAGE(K44:K47)</f>
        <v>465.433373092175</v>
      </c>
      <c r="R14" s="12" t="n">
        <f aca="false">R10+1</f>
        <v>2017</v>
      </c>
      <c r="S14" s="9" t="n">
        <f aca="false">[4]'retirement benefit values'!p15</f>
        <v>6734.1800242166</v>
      </c>
      <c r="T14" s="12" t="n">
        <v>516.7622611788</v>
      </c>
      <c r="U14" s="12" t="n">
        <v>528.8469798466</v>
      </c>
      <c r="V14" s="12" t="n">
        <v>442.02572112</v>
      </c>
      <c r="W14" s="12" t="n">
        <v>742.5567311276</v>
      </c>
      <c r="X14" s="12" t="n">
        <f aca="false">X10+1</f>
        <v>2017</v>
      </c>
      <c r="Y14" s="1" t="n">
        <f aca="false">S14*[4]'inflation indexes'!i107</f>
        <v>6244.99490564717</v>
      </c>
      <c r="Z14" s="1" t="n">
        <f aca="false">T14*[4]'inflation indexes'!i107</f>
        <v>479.223554595683</v>
      </c>
      <c r="AA14" s="1" t="n">
        <f aca="false">V14*[4]'inflation indexes'!i107</f>
        <v>409.91603530536</v>
      </c>
      <c r="AB14" s="1" t="n">
        <f aca="false">W14*[4]'inflation indexes'!i107</f>
        <v>688.615835390492</v>
      </c>
      <c r="AC14" s="1" t="n">
        <f aca="false">U14*[4]'inflation indexes'!i107</f>
        <v>490.430413670611</v>
      </c>
      <c r="AD14" s="1" t="n">
        <f aca="false">AD13+1</f>
        <v>2025</v>
      </c>
      <c r="AE14" s="1" t="n">
        <f aca="false">AVERAGE(Y44:Y47)</f>
        <v>6473.04150175223</v>
      </c>
      <c r="AF14" s="1" t="n">
        <f aca="false">AVERAGE(Z44:Z47)</f>
        <v>469.818116446829</v>
      </c>
      <c r="AG14" s="1" t="n">
        <f aca="false">AVERAGE(AA44:AA47)</f>
        <v>388.22449947924</v>
      </c>
      <c r="AH14" s="1" t="n">
        <f aca="false">AVERAGE(AB44:AB47)</f>
        <v>670.864773874147</v>
      </c>
      <c r="AI14" s="1" t="n">
        <f aca="false">AVERAGE(AC44:AC47)</f>
        <v>468.394730214469</v>
      </c>
      <c r="AJ14" s="12" t="n">
        <f aca="false">AJ10+1</f>
        <v>2017</v>
      </c>
      <c r="AK14" s="14" t="n">
        <f aca="false">[4]'retirement benefit values'!aj15</f>
        <v>6734.1800242166</v>
      </c>
      <c r="AL14" s="12" t="n">
        <v>516.7622611788</v>
      </c>
      <c r="AM14" s="12" t="n">
        <v>528.8469798466</v>
      </c>
      <c r="AN14" s="12" t="n">
        <v>442.02572112</v>
      </c>
      <c r="AO14" s="12" t="n">
        <v>742.5567311276</v>
      </c>
      <c r="AP14" s="12" t="n">
        <f aca="false">AP10+1</f>
        <v>2017</v>
      </c>
      <c r="AQ14" s="1" t="n">
        <f aca="false">AK14*[4]'inflation indexes'!i107</f>
        <v>6244.99490564717</v>
      </c>
      <c r="AR14" s="1" t="n">
        <f aca="false">AL14*[4]'inflation indexes'!i107</f>
        <v>479.223554595683</v>
      </c>
      <c r="AS14" s="1" t="n">
        <f aca="false">AN14*[4]'inflation indexes'!i107</f>
        <v>409.91603530536</v>
      </c>
      <c r="AT14" s="1" t="n">
        <f aca="false">AO14*[4]'inflation indexes'!i107</f>
        <v>688.615835390492</v>
      </c>
      <c r="AU14" s="1" t="n">
        <f aca="false">AM14*[4]'inflation indexes'!i107</f>
        <v>490.430413670611</v>
      </c>
      <c r="AV14" s="1" t="n">
        <f aca="false">AV13+1</f>
        <v>2025</v>
      </c>
      <c r="AW14" s="1" t="n">
        <f aca="false">AVERAGE(AQ44:AQ47)</f>
        <v>6919.96152298802</v>
      </c>
      <c r="AX14" s="1" t="n">
        <f aca="false">AVERAGE(AR44:AR47)</f>
        <v>493.056230718357</v>
      </c>
      <c r="AY14" s="1" t="n">
        <f aca="false">AVERAGE(AS44:AS47)</f>
        <v>408.025939653668</v>
      </c>
      <c r="AZ14" s="1" t="n">
        <f aca="false">AVERAGE(AT44:AT47)</f>
        <v>704.080710523451</v>
      </c>
      <c r="BA14" s="1" t="n">
        <f aca="false">AVERAGE(AU44:AU47)</f>
        <v>483.390101077981</v>
      </c>
    </row>
    <row r="15" customFormat="false" ht="15" hidden="false" customHeight="false" outlineLevel="0" collapsed="false">
      <c r="A15" s="14" t="n">
        <f aca="false">[4]'retirement benefit values'!b16</f>
        <v>6721.2591396848</v>
      </c>
      <c r="B15" s="12" t="n">
        <v>591.2599280849</v>
      </c>
      <c r="C15" s="12" t="n">
        <v>602.2208957357</v>
      </c>
      <c r="D15" s="12" t="n">
        <v>530.5588762797</v>
      </c>
      <c r="E15" s="12" t="n">
        <v>786.3747702476</v>
      </c>
      <c r="F15" s="12" t="n">
        <f aca="false">F11+1</f>
        <v>2017</v>
      </c>
      <c r="G15" s="10" t="n">
        <f aca="false">A15*[4]'inflation indexes'!i108</f>
        <v>6233.18363797025</v>
      </c>
      <c r="H15" s="12" t="n">
        <f aca="false">B15*[4]'inflation indexes'!i108</f>
        <v>548.324597063386</v>
      </c>
      <c r="I15" s="12" t="n">
        <f aca="false">D15*[4]'inflation indexes'!i108</f>
        <v>492.031453910227</v>
      </c>
      <c r="J15" s="1" t="n">
        <f aca="false">E15*[4]'inflation indexes'!i108</f>
        <v>729.27084782061</v>
      </c>
      <c r="K15" s="12" t="n">
        <f aca="false">C15*[4]'inflation indexes'!i108</f>
        <v>558.489615670374</v>
      </c>
      <c r="L15" s="1" t="n">
        <f aca="false">L14+1</f>
        <v>2026</v>
      </c>
      <c r="M15" s="1" t="n">
        <f aca="false">AVERAGE(G48:G51)</f>
        <v>5998.02714542514</v>
      </c>
      <c r="N15" s="1" t="n">
        <f aca="false">AVERAGE(H48:H51)</f>
        <v>459.352427122137</v>
      </c>
      <c r="O15" s="1" t="n">
        <f aca="false">AVERAGE(I48:I51)</f>
        <v>382.909033701278</v>
      </c>
      <c r="P15" s="1" t="n">
        <f aca="false">AVERAGE(J48:J51)</f>
        <v>640.77330853765</v>
      </c>
      <c r="Q15" s="1" t="n">
        <f aca="false">AVERAGE(K48:K51)</f>
        <v>458.935298648513</v>
      </c>
      <c r="R15" s="12" t="n">
        <f aca="false">R11+1</f>
        <v>2017</v>
      </c>
      <c r="S15" s="9" t="n">
        <f aca="false">[4]'retirement benefit values'!p16</f>
        <v>6721.2591396848</v>
      </c>
      <c r="T15" s="12" t="n">
        <v>591.2599280849</v>
      </c>
      <c r="U15" s="12" t="n">
        <v>602.2208957357</v>
      </c>
      <c r="V15" s="12" t="n">
        <v>530.5588762797</v>
      </c>
      <c r="W15" s="12" t="n">
        <v>786.3747702476</v>
      </c>
      <c r="X15" s="12" t="n">
        <f aca="false">X11+1</f>
        <v>2017</v>
      </c>
      <c r="Y15" s="1" t="n">
        <f aca="false">S15*[4]'inflation indexes'!i108</f>
        <v>6233.18363797025</v>
      </c>
      <c r="Z15" s="1" t="n">
        <f aca="false">T15*[4]'inflation indexes'!i108</f>
        <v>548.324597063386</v>
      </c>
      <c r="AA15" s="1" t="n">
        <f aca="false">V15*[4]'inflation indexes'!i108</f>
        <v>492.031453910227</v>
      </c>
      <c r="AB15" s="1" t="n">
        <f aca="false">W15*[4]'inflation indexes'!i108</f>
        <v>729.27084782061</v>
      </c>
      <c r="AC15" s="1" t="n">
        <f aca="false">U15*[4]'inflation indexes'!i108</f>
        <v>558.489615670374</v>
      </c>
      <c r="AD15" s="1" t="n">
        <f aca="false">AD14+1</f>
        <v>2026</v>
      </c>
      <c r="AE15" s="1" t="n">
        <f aca="false">AVERAGE(Y48:Y51)</f>
        <v>6512.20949315842</v>
      </c>
      <c r="AF15" s="1" t="n">
        <f aca="false">AVERAGE(Z48:Z51)</f>
        <v>474.086123881001</v>
      </c>
      <c r="AG15" s="1" t="n">
        <f aca="false">AVERAGE(AA48:AA51)</f>
        <v>391.506934186717</v>
      </c>
      <c r="AH15" s="1" t="n">
        <f aca="false">AVERAGE(AB48:AB51)</f>
        <v>664.369766921518</v>
      </c>
      <c r="AI15" s="1" t="n">
        <f aca="false">AVERAGE(AC48:AC51)</f>
        <v>471.738230498485</v>
      </c>
      <c r="AJ15" s="12" t="n">
        <f aca="false">AJ11+1</f>
        <v>2017</v>
      </c>
      <c r="AK15" s="14" t="n">
        <f aca="false">[4]'retirement benefit values'!aj16</f>
        <v>6721.2591396848</v>
      </c>
      <c r="AL15" s="12" t="n">
        <v>591.2599280849</v>
      </c>
      <c r="AM15" s="12" t="n">
        <v>602.2208957357</v>
      </c>
      <c r="AN15" s="12" t="n">
        <v>530.5588762797</v>
      </c>
      <c r="AO15" s="12" t="n">
        <v>786.3747702476</v>
      </c>
      <c r="AP15" s="12" t="n">
        <f aca="false">AP11+1</f>
        <v>2017</v>
      </c>
      <c r="AQ15" s="1" t="n">
        <f aca="false">AK15*[4]'inflation indexes'!i108</f>
        <v>6233.18363797025</v>
      </c>
      <c r="AR15" s="1" t="n">
        <f aca="false">AL15*[4]'inflation indexes'!i108</f>
        <v>548.324597063386</v>
      </c>
      <c r="AS15" s="1" t="n">
        <f aca="false">AN15*[4]'inflation indexes'!i108</f>
        <v>492.031453910227</v>
      </c>
      <c r="AT15" s="1" t="n">
        <f aca="false">AO15*[4]'inflation indexes'!i108</f>
        <v>729.27084782061</v>
      </c>
      <c r="AU15" s="1" t="n">
        <f aca="false">AM15*[4]'inflation indexes'!i108</f>
        <v>558.489615670374</v>
      </c>
      <c r="AV15" s="1" t="n">
        <f aca="false">AV14+1</f>
        <v>2026</v>
      </c>
      <c r="AW15" s="1" t="n">
        <f aca="false">AVERAGE(AQ48:AQ51)</f>
        <v>7036.51647644106</v>
      </c>
      <c r="AX15" s="1" t="n">
        <f aca="false">AVERAGE(AR48:AR51)</f>
        <v>499.011005540195</v>
      </c>
      <c r="AY15" s="1" t="n">
        <f aca="false">AVERAGE(AS48:AS51)</f>
        <v>410.267400336486</v>
      </c>
      <c r="AZ15" s="1" t="n">
        <f aca="false">AVERAGE(AT48:AT51)</f>
        <v>717.521017172358</v>
      </c>
      <c r="BA15" s="1" t="n">
        <f aca="false">AVERAGE(AU48:AU51)</f>
        <v>487.650654636391</v>
      </c>
    </row>
    <row r="16" customFormat="false" ht="15" hidden="false" customHeight="false" outlineLevel="0" collapsed="false">
      <c r="A16" s="11" t="n">
        <f aca="false">[4]'retirement benefit values'!b17</f>
        <v>6646.2195162112</v>
      </c>
      <c r="B16" s="12" t="n">
        <v>681.2435217605</v>
      </c>
      <c r="C16" s="12" t="n">
        <v>682.3553106043</v>
      </c>
      <c r="D16" s="12" t="n">
        <v>603.4373507</v>
      </c>
      <c r="E16" s="12" t="n">
        <v>873.2725794838</v>
      </c>
      <c r="F16" s="12" t="n">
        <f aca="false">F12+1</f>
        <v>2018</v>
      </c>
      <c r="G16" s="10" t="n">
        <f aca="false">A16*[4]'inflation indexes'!i109</f>
        <v>6163.59310864331</v>
      </c>
      <c r="H16" s="12" t="n">
        <f aca="false">B16*[4]'inflation indexes'!i109</f>
        <v>631.773877734418</v>
      </c>
      <c r="I16" s="12" t="n">
        <f aca="false">D16*[4]'inflation indexes'!i109</f>
        <v>559.617732637392</v>
      </c>
      <c r="J16" s="1" t="n">
        <f aca="false">E16*[4]'inflation indexes'!i109</f>
        <v>809.858422482848</v>
      </c>
      <c r="K16" s="12" t="n">
        <f aca="false">C16*[4]'inflation indexes'!i109</f>
        <v>632.804932161555</v>
      </c>
      <c r="L16" s="1" t="n">
        <f aca="false">L15+1</f>
        <v>2027</v>
      </c>
      <c r="M16" s="1" t="n">
        <f aca="false">AVERAGE(G52:G55)</f>
        <v>6009.09461922172</v>
      </c>
      <c r="N16" s="1" t="n">
        <f aca="false">AVERAGE(H52:H55)</f>
        <v>458.180395800601</v>
      </c>
      <c r="O16" s="1" t="n">
        <f aca="false">AVERAGE(I52:I55)</f>
        <v>372.858865383737</v>
      </c>
      <c r="P16" s="1" t="n">
        <f aca="false">AVERAGE(J52:J55)</f>
        <v>649.399420944916</v>
      </c>
      <c r="Q16" s="1" t="n">
        <f aca="false">AVERAGE(K52:K55)</f>
        <v>451.636382570962</v>
      </c>
      <c r="R16" s="12" t="n">
        <f aca="false">R12+1</f>
        <v>2018</v>
      </c>
      <c r="S16" s="13" t="n">
        <f aca="false">[4]'retirement benefit values'!p17</f>
        <v>6646.2195162113</v>
      </c>
      <c r="T16" s="12" t="n">
        <v>681.2435217605</v>
      </c>
      <c r="U16" s="12" t="n">
        <v>682.3553106043</v>
      </c>
      <c r="V16" s="12" t="n">
        <v>603.4373507</v>
      </c>
      <c r="W16" s="12" t="n">
        <v>873.2725794838</v>
      </c>
      <c r="X16" s="12" t="n">
        <f aca="false">X12+1</f>
        <v>2018</v>
      </c>
      <c r="Y16" s="1" t="n">
        <f aca="false">S16*[4]'inflation indexes'!i109</f>
        <v>6163.59310864341</v>
      </c>
      <c r="Z16" s="1" t="n">
        <f aca="false">T16*[4]'inflation indexes'!i109</f>
        <v>631.773877734418</v>
      </c>
      <c r="AA16" s="1" t="n">
        <f aca="false">V16*[4]'inflation indexes'!i109</f>
        <v>559.617732637392</v>
      </c>
      <c r="AB16" s="1" t="n">
        <f aca="false">W16*[4]'inflation indexes'!i109</f>
        <v>809.858422482848</v>
      </c>
      <c r="AC16" s="1" t="n">
        <f aca="false">U16*[4]'inflation indexes'!i109</f>
        <v>632.804932161555</v>
      </c>
      <c r="AD16" s="1" t="n">
        <f aca="false">AD15+1</f>
        <v>2027</v>
      </c>
      <c r="AE16" s="1" t="n">
        <f aca="false">AVERAGE(Y52:Y55)</f>
        <v>6572.55890831041</v>
      </c>
      <c r="AF16" s="1" t="n">
        <f aca="false">AVERAGE(Z52:Z55)</f>
        <v>480.068890645007</v>
      </c>
      <c r="AG16" s="1" t="n">
        <f aca="false">AVERAGE(AA52:AA55)</f>
        <v>398.175817923687</v>
      </c>
      <c r="AH16" s="1" t="n">
        <f aca="false">AVERAGE(AB52:AB55)</f>
        <v>685.594059262789</v>
      </c>
      <c r="AI16" s="1" t="n">
        <f aca="false">AVERAGE(AC52:AC55)</f>
        <v>475.140507662956</v>
      </c>
      <c r="AJ16" s="12" t="n">
        <f aca="false">AJ12+1</f>
        <v>2018</v>
      </c>
      <c r="AK16" s="11" t="n">
        <f aca="false">[4]'retirement benefit values'!aj17</f>
        <v>6646.2195162113</v>
      </c>
      <c r="AL16" s="12" t="n">
        <v>681.2435217605</v>
      </c>
      <c r="AM16" s="12" t="n">
        <v>682.3553106043</v>
      </c>
      <c r="AN16" s="12" t="n">
        <v>603.4373507</v>
      </c>
      <c r="AO16" s="12" t="n">
        <v>873.2725794838</v>
      </c>
      <c r="AP16" s="12" t="n">
        <f aca="false">AP12+1</f>
        <v>2018</v>
      </c>
      <c r="AQ16" s="1" t="n">
        <f aca="false">AK16*[4]'inflation indexes'!i109</f>
        <v>6163.59310864341</v>
      </c>
      <c r="AR16" s="1" t="n">
        <f aca="false">AL16*[4]'inflation indexes'!i109</f>
        <v>631.773877734418</v>
      </c>
      <c r="AS16" s="1" t="n">
        <f aca="false">AN16*[4]'inflation indexes'!i109</f>
        <v>559.617732637392</v>
      </c>
      <c r="AT16" s="1" t="n">
        <f aca="false">AO16*[4]'inflation indexes'!i109</f>
        <v>809.858422482848</v>
      </c>
      <c r="AU16" s="1" t="n">
        <f aca="false">AM16*[4]'inflation indexes'!i109</f>
        <v>632.804932161555</v>
      </c>
      <c r="AV16" s="1" t="n">
        <f aca="false">AV15+1</f>
        <v>2027</v>
      </c>
      <c r="AW16" s="1" t="n">
        <f aca="false">AVERAGE(AQ52:AQ55)</f>
        <v>7154.1475674145</v>
      </c>
      <c r="AX16" s="1" t="n">
        <f aca="false">AVERAGE(AR52:AR55)</f>
        <v>497.746148501406</v>
      </c>
      <c r="AY16" s="1" t="n">
        <f aca="false">AVERAGE(AS52:AS55)</f>
        <v>403.772967727857</v>
      </c>
      <c r="AZ16" s="1" t="n">
        <f aca="false">AVERAGE(AT52:AT55)</f>
        <v>735.057670488776</v>
      </c>
      <c r="BA16" s="1" t="n">
        <f aca="false">AVERAGE(AU52:AU55)</f>
        <v>487.784429134837</v>
      </c>
    </row>
    <row r="17" customFormat="false" ht="15" hidden="false" customHeight="false" outlineLevel="0" collapsed="false">
      <c r="A17" s="14" t="n">
        <f aca="false">[4]'retirement benefit values'!b18</f>
        <v>6604.9089002573</v>
      </c>
      <c r="B17" s="12" t="n">
        <v>489.709928072</v>
      </c>
      <c r="C17" s="12" t="n">
        <v>500.0720950301</v>
      </c>
      <c r="D17" s="12" t="n">
        <v>430.2990926307</v>
      </c>
      <c r="E17" s="12" t="n">
        <v>666.3161200624</v>
      </c>
      <c r="F17" s="12" t="n">
        <f aca="false">F13+1</f>
        <v>2018</v>
      </c>
      <c r="G17" s="10" t="n">
        <f aca="false">A17*[4]'inflation indexes'!i110</f>
        <v>6125.28233254177</v>
      </c>
      <c r="H17" s="12" t="n">
        <f aca="false">B17*[4]'inflation indexes'!i110</f>
        <v>454.148818066646</v>
      </c>
      <c r="I17" s="12" t="n">
        <f aca="false">D17*[4]'inflation indexes'!i110</f>
        <v>399.052200356148</v>
      </c>
      <c r="J17" s="1" t="n">
        <f aca="false">E17*[4]'inflation indexes'!i110</f>
        <v>617.93045441505</v>
      </c>
      <c r="K17" s="12" t="n">
        <f aca="false">C17*[4]'inflation indexes'!i110</f>
        <v>463.758518844324</v>
      </c>
      <c r="L17" s="1" t="n">
        <f aca="false">L16+1</f>
        <v>2028</v>
      </c>
      <c r="M17" s="1" t="n">
        <f aca="false">AVERAGE(G56:G59)</f>
        <v>5984.8023801576</v>
      </c>
      <c r="N17" s="1" t="n">
        <f aca="false">AVERAGE(H56:H59)</f>
        <v>455.735874892409</v>
      </c>
      <c r="O17" s="1" t="n">
        <f aca="false">AVERAGE(I56:I59)</f>
        <v>370.086305937103</v>
      </c>
      <c r="P17" s="1" t="n">
        <f aca="false">AVERAGE(J56:J59)</f>
        <v>646.055243028795</v>
      </c>
      <c r="Q17" s="1" t="n">
        <f aca="false">AVERAGE(K56:K59)</f>
        <v>447.433522233637</v>
      </c>
      <c r="R17" s="12" t="n">
        <f aca="false">R13+1</f>
        <v>2018</v>
      </c>
      <c r="S17" s="9" t="n">
        <f aca="false">[4]'retirement benefit values'!p18</f>
        <v>6604.9089002572</v>
      </c>
      <c r="T17" s="12" t="n">
        <v>489.709928072</v>
      </c>
      <c r="U17" s="12" t="n">
        <v>500.0720950301</v>
      </c>
      <c r="V17" s="12" t="n">
        <v>430.2990926307</v>
      </c>
      <c r="W17" s="12" t="n">
        <v>666.3161200624</v>
      </c>
      <c r="X17" s="12" t="n">
        <f aca="false">X13+1</f>
        <v>2018</v>
      </c>
      <c r="Y17" s="1" t="n">
        <f aca="false">S17*[4]'inflation indexes'!i110</f>
        <v>6125.28233254168</v>
      </c>
      <c r="Z17" s="1" t="n">
        <f aca="false">T17*[4]'inflation indexes'!i110</f>
        <v>454.148818066646</v>
      </c>
      <c r="AA17" s="1" t="n">
        <f aca="false">V17*[4]'inflation indexes'!i110</f>
        <v>399.052200356148</v>
      </c>
      <c r="AB17" s="1" t="n">
        <f aca="false">W17*[4]'inflation indexes'!i110</f>
        <v>617.93045441505</v>
      </c>
      <c r="AC17" s="1" t="n">
        <f aca="false">U17*[4]'inflation indexes'!i110</f>
        <v>463.758518844324</v>
      </c>
      <c r="AD17" s="1" t="n">
        <f aca="false">AD16+1</f>
        <v>2028</v>
      </c>
      <c r="AE17" s="1" t="n">
        <f aca="false">AVERAGE(Y56:Y59)</f>
        <v>6631.29603727985</v>
      </c>
      <c r="AF17" s="1" t="n">
        <f aca="false">AVERAGE(Z56:Z59)</f>
        <v>481.006284106804</v>
      </c>
      <c r="AG17" s="1" t="n">
        <f aca="false">AVERAGE(AA56:AA59)</f>
        <v>403.926672776903</v>
      </c>
      <c r="AH17" s="1" t="n">
        <f aca="false">AVERAGE(AB56:AB59)</f>
        <v>681.387803146695</v>
      </c>
      <c r="AI17" s="1" t="n">
        <f aca="false">AVERAGE(AC56:AC59)</f>
        <v>481.051585410138</v>
      </c>
      <c r="AJ17" s="12" t="n">
        <f aca="false">AJ13+1</f>
        <v>2018</v>
      </c>
      <c r="AK17" s="14" t="n">
        <f aca="false">[4]'retirement benefit values'!aj18</f>
        <v>6604.9089002572</v>
      </c>
      <c r="AL17" s="12" t="n">
        <v>489.709928072</v>
      </c>
      <c r="AM17" s="12" t="n">
        <v>500.0720950301</v>
      </c>
      <c r="AN17" s="12" t="n">
        <v>430.2990926307</v>
      </c>
      <c r="AO17" s="12" t="n">
        <v>666.3161200624</v>
      </c>
      <c r="AP17" s="12" t="n">
        <f aca="false">AP13+1</f>
        <v>2018</v>
      </c>
      <c r="AQ17" s="1" t="n">
        <f aca="false">AK17*[4]'inflation indexes'!i110</f>
        <v>6125.28233254168</v>
      </c>
      <c r="AR17" s="1" t="n">
        <f aca="false">AL17*[4]'inflation indexes'!i110</f>
        <v>454.148818066646</v>
      </c>
      <c r="AS17" s="1" t="n">
        <f aca="false">AN17*[4]'inflation indexes'!i110</f>
        <v>399.052200356148</v>
      </c>
      <c r="AT17" s="1" t="n">
        <f aca="false">AO17*[4]'inflation indexes'!i110</f>
        <v>617.93045441505</v>
      </c>
      <c r="AU17" s="1" t="n">
        <f aca="false">AM17*[4]'inflation indexes'!i110</f>
        <v>463.758518844324</v>
      </c>
      <c r="AV17" s="1" t="n">
        <f aca="false">AV16+1</f>
        <v>2028</v>
      </c>
      <c r="AW17" s="1" t="n">
        <f aca="false">AVERAGE(AQ56:AQ59)</f>
        <v>7315.79990275355</v>
      </c>
      <c r="AX17" s="1" t="n">
        <f aca="false">AVERAGE(AR56:AR59)</f>
        <v>503.437719885511</v>
      </c>
      <c r="AY17" s="1" t="n">
        <f aca="false">AVERAGE(AS56:AS59)</f>
        <v>412.472568402867</v>
      </c>
      <c r="AZ17" s="1" t="n">
        <f aca="false">AVERAGE(AT56:AT59)</f>
        <v>735.910342115831</v>
      </c>
      <c r="BA17" s="1" t="n">
        <f aca="false">AVERAGE(AU56:AU59)</f>
        <v>493.787419905496</v>
      </c>
    </row>
    <row r="18" customFormat="false" ht="15" hidden="false" customHeight="false" outlineLevel="0" collapsed="false">
      <c r="A18" s="14" t="n">
        <f aca="false">[4]'retirement benefit values'!b19</f>
        <v>6668.6554362916</v>
      </c>
      <c r="B18" s="12" t="n">
        <v>482.2043459692</v>
      </c>
      <c r="C18" s="12" t="n">
        <v>492.9109923683</v>
      </c>
      <c r="D18" s="12" t="n">
        <v>414.9222859494</v>
      </c>
      <c r="E18" s="12" t="n">
        <v>679.5424720727</v>
      </c>
      <c r="F18" s="12" t="n">
        <f aca="false">F14+1</f>
        <v>2018</v>
      </c>
      <c r="G18" s="10" t="n">
        <f aca="false">A18*[4]'inflation indexes'!i111</f>
        <v>6184.39980665507</v>
      </c>
      <c r="H18" s="12" t="n">
        <f aca="false">B18*[4]'inflation indexes'!i111</f>
        <v>447.188266430887</v>
      </c>
      <c r="I18" s="12" t="n">
        <f aca="false">D18*[4]'inflation indexes'!i111</f>
        <v>384.79200635223</v>
      </c>
      <c r="J18" s="1" t="n">
        <f aca="false">E18*[4]'inflation indexes'!i111</f>
        <v>630.196352630468</v>
      </c>
      <c r="K18" s="12" t="n">
        <f aca="false">C18*[4]'inflation indexes'!i111</f>
        <v>457.117431695623</v>
      </c>
      <c r="L18" s="1" t="n">
        <f aca="false">L17+1</f>
        <v>2029</v>
      </c>
      <c r="M18" s="1" t="n">
        <f aca="false">AVERAGE(G60:G63)</f>
        <v>5968.51960239985</v>
      </c>
      <c r="N18" s="1" t="n">
        <f aca="false">AVERAGE(H60:H63)</f>
        <v>453.178058827621</v>
      </c>
      <c r="O18" s="1" t="n">
        <f aca="false">AVERAGE(I60:I63)</f>
        <v>362.456752086317</v>
      </c>
      <c r="P18" s="1" t="n">
        <f aca="false">AVERAGE(J60:J63)</f>
        <v>640.861542549662</v>
      </c>
      <c r="Q18" s="1" t="n">
        <f aca="false">AVERAGE(K60:K63)</f>
        <v>444.333270354553</v>
      </c>
      <c r="R18" s="12" t="n">
        <f aca="false">R14+1</f>
        <v>2018</v>
      </c>
      <c r="S18" s="9" t="n">
        <f aca="false">[4]'retirement benefit values'!p19</f>
        <v>6668.6554362916</v>
      </c>
      <c r="T18" s="12" t="n">
        <v>482.2043459692</v>
      </c>
      <c r="U18" s="12" t="n">
        <v>492.9109923683</v>
      </c>
      <c r="V18" s="12" t="n">
        <v>414.9222859494</v>
      </c>
      <c r="W18" s="12" t="n">
        <v>679.5424720727</v>
      </c>
      <c r="X18" s="12" t="n">
        <f aca="false">X14+1</f>
        <v>2018</v>
      </c>
      <c r="Y18" s="1" t="n">
        <f aca="false">S18*[4]'inflation indexes'!i111</f>
        <v>6184.39980665507</v>
      </c>
      <c r="Z18" s="1" t="n">
        <f aca="false">T18*[4]'inflation indexes'!i111</f>
        <v>447.188266430887</v>
      </c>
      <c r="AA18" s="1" t="n">
        <f aca="false">V18*[4]'inflation indexes'!i111</f>
        <v>384.79200635223</v>
      </c>
      <c r="AB18" s="1" t="n">
        <f aca="false">W18*[4]'inflation indexes'!i111</f>
        <v>630.196352630468</v>
      </c>
      <c r="AC18" s="1" t="n">
        <f aca="false">U18*[4]'inflation indexes'!i111</f>
        <v>457.117431695623</v>
      </c>
      <c r="AD18" s="1" t="n">
        <f aca="false">AD17+1</f>
        <v>2029</v>
      </c>
      <c r="AE18" s="1" t="n">
        <f aca="false">AVERAGE(Y60:Y63)</f>
        <v>6689.42383787873</v>
      </c>
      <c r="AF18" s="1" t="n">
        <f aca="false">AVERAGE(Z60:Z63)</f>
        <v>489.753763707528</v>
      </c>
      <c r="AG18" s="1" t="n">
        <f aca="false">AVERAGE(AA60:AA63)</f>
        <v>401.641626621224</v>
      </c>
      <c r="AH18" s="1" t="n">
        <f aca="false">AVERAGE(AB60:AB63)</f>
        <v>698.40786376313</v>
      </c>
      <c r="AI18" s="1" t="n">
        <f aca="false">AVERAGE(AC60:AC63)</f>
        <v>479.240777872626</v>
      </c>
      <c r="AJ18" s="12" t="n">
        <f aca="false">AJ14+1</f>
        <v>2018</v>
      </c>
      <c r="AK18" s="14" t="n">
        <f aca="false">[4]'retirement benefit values'!aj19</f>
        <v>6668.6554362916</v>
      </c>
      <c r="AL18" s="12" t="n">
        <v>482.2043459692</v>
      </c>
      <c r="AM18" s="12" t="n">
        <v>492.9109923683</v>
      </c>
      <c r="AN18" s="12" t="n">
        <v>414.9222859494</v>
      </c>
      <c r="AO18" s="12" t="n">
        <v>679.5424720727</v>
      </c>
      <c r="AP18" s="12" t="n">
        <f aca="false">AP14+1</f>
        <v>2018</v>
      </c>
      <c r="AQ18" s="1" t="n">
        <f aca="false">AK18*[4]'inflation indexes'!i111</f>
        <v>6184.39980665507</v>
      </c>
      <c r="AR18" s="1" t="n">
        <f aca="false">AL18*[4]'inflation indexes'!i111</f>
        <v>447.188266430887</v>
      </c>
      <c r="AS18" s="1" t="n">
        <f aca="false">AN18*[4]'inflation indexes'!i111</f>
        <v>384.79200635223</v>
      </c>
      <c r="AT18" s="1" t="n">
        <f aca="false">AO18*[4]'inflation indexes'!i111</f>
        <v>630.196352630468</v>
      </c>
      <c r="AU18" s="1" t="n">
        <f aca="false">AM18*[4]'inflation indexes'!i111</f>
        <v>457.117431695623</v>
      </c>
      <c r="AV18" s="1" t="n">
        <f aca="false">AV17+1</f>
        <v>2029</v>
      </c>
      <c r="AW18" s="1" t="n">
        <f aca="false">AVERAGE(AQ60:AQ63)</f>
        <v>7432.76283877648</v>
      </c>
      <c r="AX18" s="1" t="n">
        <f aca="false">AVERAGE(AR60:AR63)</f>
        <v>509.766648998948</v>
      </c>
      <c r="AY18" s="1" t="n">
        <f aca="false">AVERAGE(AS60:AS63)</f>
        <v>423.849824476349</v>
      </c>
      <c r="AZ18" s="1" t="n">
        <f aca="false">AVERAGE(AT60:AT63)</f>
        <v>752.791699400887</v>
      </c>
      <c r="BA18" s="1" t="n">
        <f aca="false">AVERAGE(AU60:AU63)</f>
        <v>500.639865884431</v>
      </c>
    </row>
    <row r="19" customFormat="false" ht="15" hidden="false" customHeight="false" outlineLevel="0" collapsed="false">
      <c r="A19" s="14" t="n">
        <f aca="false">[4]'retirement benefit values'!b20</f>
        <v>6677.558526221</v>
      </c>
      <c r="B19" s="12" t="n">
        <v>478.8554698506</v>
      </c>
      <c r="C19" s="12" t="n">
        <v>491.7385820038</v>
      </c>
      <c r="D19" s="12" t="n">
        <v>417.1234785199</v>
      </c>
      <c r="E19" s="12" t="n">
        <v>662.8096092011</v>
      </c>
      <c r="F19" s="12" t="n">
        <f aca="false">F15+1</f>
        <v>2018</v>
      </c>
      <c r="G19" s="10" t="n">
        <f aca="false">A19*[4]'inflation indexes'!i112</f>
        <v>6192.65638373631</v>
      </c>
      <c r="H19" s="12" t="n">
        <f aca="false">B19*[4]'inflation indexes'!i112</f>
        <v>444.082574583672</v>
      </c>
      <c r="I19" s="12" t="n">
        <f aca="false">D19*[4]'inflation indexes'!i112</f>
        <v>386.833355622328</v>
      </c>
      <c r="J19" s="1" t="n">
        <f aca="false">E19*[4]'inflation indexes'!i112</f>
        <v>614.67857473708</v>
      </c>
      <c r="K19" s="12" t="n">
        <f aca="false">C19*[4]'inflation indexes'!i112</f>
        <v>456.030157881463</v>
      </c>
      <c r="L19" s="1" t="n">
        <f aca="false">L18+1</f>
        <v>2030</v>
      </c>
      <c r="M19" s="1" t="n">
        <f aca="false">AVERAGE(G64:G67)</f>
        <v>5978.45853689952</v>
      </c>
      <c r="N19" s="1" t="n">
        <f aca="false">AVERAGE(H64:H67)</f>
        <v>456.080153334965</v>
      </c>
      <c r="O19" s="1" t="n">
        <f aca="false">AVERAGE(I64:I67)</f>
        <v>364.098654056017</v>
      </c>
      <c r="P19" s="1" t="n">
        <f aca="false">AVERAGE(J64:J67)</f>
        <v>632.443186254696</v>
      </c>
      <c r="Q19" s="1" t="n">
        <f aca="false">AVERAGE(K64:K67)</f>
        <v>442.131257242349</v>
      </c>
      <c r="R19" s="12" t="n">
        <f aca="false">R15+1</f>
        <v>2018</v>
      </c>
      <c r="S19" s="9" t="n">
        <f aca="false">[4]'retirement benefit values'!p20</f>
        <v>6690.04388804</v>
      </c>
      <c r="T19" s="12" t="n">
        <v>478.4728672036</v>
      </c>
      <c r="U19" s="12" t="n">
        <v>491.4196847104</v>
      </c>
      <c r="V19" s="12" t="n">
        <v>416.5637263178</v>
      </c>
      <c r="W19" s="12" t="n">
        <v>662.8096092011</v>
      </c>
      <c r="X19" s="12" t="n">
        <f aca="false">X15+1</f>
        <v>2018</v>
      </c>
      <c r="Y19" s="1" t="n">
        <f aca="false">S19*[4]'inflation indexes'!i112</f>
        <v>6204.23510000934</v>
      </c>
      <c r="Z19" s="1" t="n">
        <f aca="false">T19*[4]'inflation indexes'!i112</f>
        <v>443.727755271332</v>
      </c>
      <c r="AA19" s="1" t="n">
        <f aca="false">V19*[4]'inflation indexes'!i112</f>
        <v>386.314250767757</v>
      </c>
      <c r="AB19" s="1" t="n">
        <f aca="false">W19*[4]'inflation indexes'!i112</f>
        <v>614.67857473708</v>
      </c>
      <c r="AC19" s="1" t="n">
        <f aca="false">U19*[4]'inflation indexes'!i112</f>
        <v>455.734417851335</v>
      </c>
      <c r="AD19" s="1" t="n">
        <f aca="false">AD18+1</f>
        <v>2030</v>
      </c>
      <c r="AE19" s="1" t="n">
        <f aca="false">AVERAGE(Y64:Y67)</f>
        <v>6716.67430141591</v>
      </c>
      <c r="AF19" s="1" t="n">
        <f aca="false">AVERAGE(Z64:Z67)</f>
        <v>486.17686361626</v>
      </c>
      <c r="AG19" s="1" t="n">
        <f aca="false">AVERAGE(AA64:AA67)</f>
        <v>395.047069252137</v>
      </c>
      <c r="AH19" s="1" t="n">
        <f aca="false">AVERAGE(AB64:AB67)</f>
        <v>708.09443454718</v>
      </c>
      <c r="AI19" s="1" t="n">
        <f aca="false">AVERAGE(AC64:AC67)</f>
        <v>475.350670915393</v>
      </c>
      <c r="AJ19" s="12" t="n">
        <f aca="false">AJ15+1</f>
        <v>2018</v>
      </c>
      <c r="AK19" s="14" t="n">
        <f aca="false">[4]'retirement benefit values'!aj20</f>
        <v>6702.4597358546</v>
      </c>
      <c r="AL19" s="12" t="n">
        <v>477.7290658062</v>
      </c>
      <c r="AM19" s="12" t="n">
        <v>490.8597946707</v>
      </c>
      <c r="AN19" s="12" t="n">
        <v>415.6104787669</v>
      </c>
      <c r="AO19" s="12" t="n">
        <v>662.8096092011</v>
      </c>
      <c r="AP19" s="12" t="n">
        <f aca="false">AP15+1</f>
        <v>2018</v>
      </c>
      <c r="AQ19" s="1" t="n">
        <f aca="false">AK19*[4]'inflation indexes'!i112</f>
        <v>6215.74935015432</v>
      </c>
      <c r="AR19" s="1" t="n">
        <f aca="false">AL19*[4]'inflation indexes'!i112</f>
        <v>443.037966263306</v>
      </c>
      <c r="AS19" s="1" t="n">
        <f aca="false">AN19*[4]'inflation indexes'!i112</f>
        <v>385.430224890906</v>
      </c>
      <c r="AT19" s="1" t="n">
        <f aca="false">AO19*[4]'inflation indexes'!i112</f>
        <v>614.67857473708</v>
      </c>
      <c r="AU19" s="1" t="n">
        <f aca="false">AM19*[4]'inflation indexes'!i112</f>
        <v>455.215185168473</v>
      </c>
      <c r="AV19" s="1" t="n">
        <f aca="false">AV18+1</f>
        <v>2030</v>
      </c>
      <c r="AW19" s="1" t="n">
        <f aca="false">AVERAGE(AQ64:AQ67)</f>
        <v>7563.82109404858</v>
      </c>
      <c r="AX19" s="1" t="n">
        <f aca="false">AVERAGE(AR64:AR67)</f>
        <v>508.270325877354</v>
      </c>
      <c r="AY19" s="1" t="n">
        <f aca="false">AVERAGE(AS64:AS67)</f>
        <v>432.379477541245</v>
      </c>
      <c r="AZ19" s="1" t="n">
        <f aca="false">AVERAGE(AT64:AT67)</f>
        <v>759.479848417491</v>
      </c>
      <c r="BA19" s="1" t="n">
        <f aca="false">AVERAGE(AU64:AU67)</f>
        <v>499.081236269981</v>
      </c>
    </row>
    <row r="20" customFormat="false" ht="15" hidden="false" customHeight="false" outlineLevel="0" collapsed="false">
      <c r="A20" s="11" t="n">
        <f aca="false">[4]'retirement benefit values'!b21</f>
        <v>6687.2842362844</v>
      </c>
      <c r="B20" s="12" t="n">
        <v>602.8303568987</v>
      </c>
      <c r="C20" s="12" t="n">
        <v>596.8310386353</v>
      </c>
      <c r="D20" s="12" t="n">
        <v>522.0248090024</v>
      </c>
      <c r="E20" s="12" t="n">
        <v>765.2610888071</v>
      </c>
      <c r="F20" s="12" t="n">
        <f aca="false">F16+1</f>
        <v>2019</v>
      </c>
      <c r="G20" s="10" t="n">
        <f aca="false">A20*[4]'inflation indexes'!i113</f>
        <v>6201.67584500707</v>
      </c>
      <c r="H20" s="12" t="n">
        <f aca="false">B20*[4]'inflation indexes'!i113</f>
        <v>559.054816711796</v>
      </c>
      <c r="I20" s="12" t="n">
        <f aca="false">D20*[4]'inflation indexes'!i113</f>
        <v>484.117099572158</v>
      </c>
      <c r="J20" s="1" t="n">
        <f aca="false">E20*[4]'inflation indexes'!i113</f>
        <v>709.690367851887</v>
      </c>
      <c r="K20" s="12" t="n">
        <f aca="false">C20*[4]'inflation indexes'!i113</f>
        <v>553.491149033554</v>
      </c>
      <c r="L20" s="1" t="n">
        <f aca="false">L19+1</f>
        <v>2031</v>
      </c>
      <c r="M20" s="1" t="n">
        <f aca="false">AVERAGE(G68:G71)</f>
        <v>5954.15151075263</v>
      </c>
      <c r="N20" s="1" t="n">
        <f aca="false">AVERAGE(H68:H71)</f>
        <v>457.295510957812</v>
      </c>
      <c r="O20" s="1" t="n">
        <f aca="false">AVERAGE(I68:I71)</f>
        <v>362.427802051298</v>
      </c>
      <c r="P20" s="1" t="n">
        <f aca="false">AVERAGE(J68:J71)</f>
        <v>656.313497623696</v>
      </c>
      <c r="Q20" s="1" t="n">
        <f aca="false">AVERAGE(K68:K71)</f>
        <v>444.021994729501</v>
      </c>
      <c r="R20" s="12" t="n">
        <f aca="false">R16+1</f>
        <v>2019</v>
      </c>
      <c r="S20" s="13" t="n">
        <f aca="false">[4]'retirement benefit values'!p21</f>
        <v>6711.8743113201</v>
      </c>
      <c r="T20" s="12" t="n">
        <v>601.6265706991</v>
      </c>
      <c r="U20" s="12" t="n">
        <v>595.8408742985</v>
      </c>
      <c r="V20" s="12" t="n">
        <v>520.3747509331</v>
      </c>
      <c r="W20" s="12" t="n">
        <v>765.2610888071</v>
      </c>
      <c r="X20" s="12" t="n">
        <f aca="false">X16+1</f>
        <v>2019</v>
      </c>
      <c r="Y20" s="1" t="n">
        <f aca="false">S20*[4]'inflation indexes'!i113</f>
        <v>6224.48027038926</v>
      </c>
      <c r="Z20" s="1" t="n">
        <f aca="false">T20*[4]'inflation indexes'!i113</f>
        <v>557.938445471569</v>
      </c>
      <c r="AA20" s="1" t="n">
        <f aca="false">V20*[4]'inflation indexes'!i113</f>
        <v>482.586863244574</v>
      </c>
      <c r="AB20" s="1" t="n">
        <f aca="false">W20*[4]'inflation indexes'!i113</f>
        <v>709.690367851887</v>
      </c>
      <c r="AC20" s="1" t="n">
        <f aca="false">U20*[4]'inflation indexes'!i113</f>
        <v>552.572887145297</v>
      </c>
      <c r="AD20" s="1" t="n">
        <f aca="false">AD19+1</f>
        <v>2031</v>
      </c>
      <c r="AE20" s="1" t="n">
        <f aca="false">AVERAGE(Y68:Y71)</f>
        <v>6751.94570663057</v>
      </c>
      <c r="AF20" s="1" t="n">
        <f aca="false">AVERAGE(Z68:Z71)</f>
        <v>493.823680235014</v>
      </c>
      <c r="AG20" s="1" t="n">
        <f aca="false">AVERAGE(AA68:AA71)</f>
        <v>407.053533002176</v>
      </c>
      <c r="AH20" s="1" t="n">
        <f aca="false">AVERAGE(AB68:AB71)</f>
        <v>705.90772537947</v>
      </c>
      <c r="AI20" s="1" t="n">
        <f aca="false">AVERAGE(AC68:AC71)</f>
        <v>482.219664199906</v>
      </c>
      <c r="AJ20" s="12" t="n">
        <f aca="false">AJ16+1</f>
        <v>2019</v>
      </c>
      <c r="AK20" s="11" t="n">
        <f aca="false">[4]'retirement benefit values'!aj21</f>
        <v>6736.3537108216</v>
      </c>
      <c r="AL20" s="12" t="n">
        <v>601.3580948438</v>
      </c>
      <c r="AM20" s="12" t="n">
        <v>595.696192157</v>
      </c>
      <c r="AN20" s="12" t="n">
        <v>519.8412783457</v>
      </c>
      <c r="AO20" s="12" t="n">
        <v>765.2610888071</v>
      </c>
      <c r="AP20" s="12" t="n">
        <f aca="false">AP16+1</f>
        <v>2019</v>
      </c>
      <c r="AQ20" s="1" t="n">
        <f aca="false">AK20*[4]'inflation indexes'!i113</f>
        <v>6247.18205712729</v>
      </c>
      <c r="AR20" s="1" t="n">
        <f aca="false">AL20*[4]'inflation indexes'!i113</f>
        <v>557.689465442016</v>
      </c>
      <c r="AS20" s="1" t="n">
        <f aca="false">AN20*[4]'inflation indexes'!i113</f>
        <v>482.092129666285</v>
      </c>
      <c r="AT20" s="1" t="n">
        <f aca="false">AO20*[4]'inflation indexes'!i113</f>
        <v>709.690367851887</v>
      </c>
      <c r="AU20" s="1" t="n">
        <f aca="false">AM20*[4]'inflation indexes'!i113</f>
        <v>552.438711340824</v>
      </c>
      <c r="AV20" s="1" t="n">
        <f aca="false">AV19+1</f>
        <v>2031</v>
      </c>
      <c r="AW20" s="1" t="n">
        <f aca="false">AVERAGE(AQ68:AQ71)</f>
        <v>7671.90167571047</v>
      </c>
      <c r="AX20" s="1" t="n">
        <f aca="false">AVERAGE(AR68:AR71)</f>
        <v>516.577762177365</v>
      </c>
      <c r="AY20" s="1" t="n">
        <f aca="false">AVERAGE(AS68:AS71)</f>
        <v>424.345686950283</v>
      </c>
      <c r="AZ20" s="1" t="n">
        <f aca="false">AVERAGE(AT68:AT71)</f>
        <v>787.19545788717</v>
      </c>
      <c r="BA20" s="1" t="n">
        <f aca="false">AVERAGE(AU68:AU71)</f>
        <v>500.963805136173</v>
      </c>
    </row>
    <row r="21" customFormat="false" ht="15" hidden="false" customHeight="false" outlineLevel="0" collapsed="false">
      <c r="A21" s="14" t="n">
        <f aca="false">[4]'retirement benefit values'!b22</f>
        <v>6674.4514108639</v>
      </c>
      <c r="B21" s="12" t="n">
        <v>475.3942952875</v>
      </c>
      <c r="C21" s="12" t="n">
        <v>482.8896056395</v>
      </c>
      <c r="D21" s="12" t="n">
        <v>411.0413350366</v>
      </c>
      <c r="E21" s="12" t="n">
        <v>649.8528899694</v>
      </c>
      <c r="F21" s="12" t="n">
        <f aca="false">F17+1</f>
        <v>2019</v>
      </c>
      <c r="G21" s="10" t="n">
        <f aca="false">A21*[4]'inflation indexes'!i114</f>
        <v>6189.77489678631</v>
      </c>
      <c r="H21" s="12" t="n">
        <f aca="false">B21*[4]'inflation indexes'!i114</f>
        <v>440.872739032363</v>
      </c>
      <c r="I21" s="12" t="n">
        <f aca="false">D21*[4]'inflation indexes'!i114</f>
        <v>381.192877216821</v>
      </c>
      <c r="J21" s="1" t="n">
        <f aca="false">E21*[4]'inflation indexes'!i114</f>
        <v>602.662729462584</v>
      </c>
      <c r="K21" s="12" t="n">
        <f aca="false">C21*[4]'inflation indexes'!i114</f>
        <v>447.823764817781</v>
      </c>
      <c r="L21" s="1" t="n">
        <f aca="false">L20+1</f>
        <v>2032</v>
      </c>
      <c r="M21" s="1" t="n">
        <f aca="false">AVERAGE(G72:G75)</f>
        <v>5926.90311275476</v>
      </c>
      <c r="N21" s="1" t="n">
        <f aca="false">AVERAGE(H72:H75)</f>
        <v>458.309587323498</v>
      </c>
      <c r="O21" s="1" t="n">
        <f aca="false">AVERAGE(I72:I75)</f>
        <v>372.123292012086</v>
      </c>
      <c r="P21" s="1" t="n">
        <f aca="false">AVERAGE(J72:J75)</f>
        <v>651.652199129878</v>
      </c>
      <c r="Q21" s="1" t="n">
        <f aca="false">AVERAGE(K72:K75)</f>
        <v>449.363219567463</v>
      </c>
      <c r="R21" s="12" t="n">
        <f aca="false">R17+1</f>
        <v>2019</v>
      </c>
      <c r="S21" s="9" t="n">
        <f aca="false">[4]'retirement benefit values'!p22</f>
        <v>6714.3330864744</v>
      </c>
      <c r="T21" s="12" t="n">
        <v>474.7576472603</v>
      </c>
      <c r="U21" s="12" t="n">
        <v>482.2574768004</v>
      </c>
      <c r="V21" s="12" t="n">
        <v>409.5887631546</v>
      </c>
      <c r="W21" s="12" t="n">
        <v>651.2269429807</v>
      </c>
      <c r="X21" s="12" t="n">
        <f aca="false">X17+1</f>
        <v>2019</v>
      </c>
      <c r="Y21" s="1" t="n">
        <f aca="false">S21*[4]'inflation indexes'!i114</f>
        <v>6226.76049745064</v>
      </c>
      <c r="Z21" s="1" t="n">
        <f aca="false">T21*[4]'inflation indexes'!i114</f>
        <v>440.282322272352</v>
      </c>
      <c r="AA21" s="1" t="n">
        <f aca="false">V21*[4]'inflation indexes'!i114</f>
        <v>379.845786284921</v>
      </c>
      <c r="AB21" s="1" t="n">
        <f aca="false">W21*[4]'inflation indexes'!i114</f>
        <v>603.93700330363</v>
      </c>
      <c r="AC21" s="1" t="n">
        <f aca="false">U21*[4]'inflation indexes'!i114</f>
        <v>447.237539077426</v>
      </c>
      <c r="AD21" s="1" t="n">
        <f aca="false">AD20+1</f>
        <v>2032</v>
      </c>
      <c r="AE21" s="1" t="n">
        <f aca="false">AVERAGE(Y72:Y75)</f>
        <v>6812.48178344589</v>
      </c>
      <c r="AF21" s="1" t="n">
        <f aca="false">AVERAGE(Z72:Z75)</f>
        <v>485.747829923115</v>
      </c>
      <c r="AG21" s="1" t="n">
        <f aca="false">AVERAGE(AA72:AA75)</f>
        <v>399.218492326966</v>
      </c>
      <c r="AH21" s="1" t="n">
        <f aca="false">AVERAGE(AB72:AB75)</f>
        <v>702.92543209574</v>
      </c>
      <c r="AI21" s="1" t="n">
        <f aca="false">AVERAGE(AC72:AC75)</f>
        <v>476.730060099811</v>
      </c>
      <c r="AJ21" s="12" t="n">
        <f aca="false">AJ17+1</f>
        <v>2019</v>
      </c>
      <c r="AK21" s="14" t="n">
        <f aca="false">[4]'retirement benefit values'!aj22</f>
        <v>6752.4359258719</v>
      </c>
      <c r="AL21" s="12" t="n">
        <v>475.0105012109</v>
      </c>
      <c r="AM21" s="12" t="n">
        <v>483.0523821224</v>
      </c>
      <c r="AN21" s="12" t="n">
        <v>410.2302239276</v>
      </c>
      <c r="AO21" s="12" t="n">
        <v>652.5545124305</v>
      </c>
      <c r="AP21" s="12" t="n">
        <f aca="false">AP17+1</f>
        <v>2019</v>
      </c>
      <c r="AQ21" s="1" t="n">
        <f aca="false">AK21*[4]'inflation indexes'!i114</f>
        <v>6262.09643508516</v>
      </c>
      <c r="AR21" s="1" t="n">
        <f aca="false">AL21*[4]'inflation indexes'!i114</f>
        <v>440.516814808088</v>
      </c>
      <c r="AS21" s="1" t="n">
        <f aca="false">AN21*[4]'inflation indexes'!i114</f>
        <v>380.440666305102</v>
      </c>
      <c r="AT21" s="1" t="n">
        <f aca="false">AO21*[4]'inflation indexes'!i114</f>
        <v>605.168169065169</v>
      </c>
      <c r="AU21" s="1" t="n">
        <f aca="false">AM21*[4]'inflation indexes'!i114</f>
        <v>447.974721012623</v>
      </c>
      <c r="AV21" s="1" t="n">
        <f aca="false">AV20+1</f>
        <v>2032</v>
      </c>
      <c r="AW21" s="1" t="n">
        <f aca="false">AVERAGE(AQ72:AQ75)</f>
        <v>7816.46196447408</v>
      </c>
      <c r="AX21" s="1" t="n">
        <f aca="false">AVERAGE(AR72:AR75)</f>
        <v>513.523616965447</v>
      </c>
      <c r="AY21" s="1" t="n">
        <f aca="false">AVERAGE(AS72:AS75)</f>
        <v>424.219295323956</v>
      </c>
      <c r="AZ21" s="1" t="n">
        <f aca="false">AVERAGE(AT72:AT75)</f>
        <v>770.860630290808</v>
      </c>
      <c r="BA21" s="1" t="n">
        <f aca="false">AVERAGE(AU72:AU75)</f>
        <v>496.049427757519</v>
      </c>
    </row>
    <row r="22" customFormat="false" ht="15" hidden="false" customHeight="false" outlineLevel="0" collapsed="false">
      <c r="A22" s="14" t="n">
        <f aca="false">[4]'retirement benefit values'!b23</f>
        <v>6712.9186434715</v>
      </c>
      <c r="B22" s="12" t="n">
        <v>470.2200797553</v>
      </c>
      <c r="C22" s="12" t="n">
        <v>477.7177631811</v>
      </c>
      <c r="D22" s="12" t="n">
        <v>396.4627971993</v>
      </c>
      <c r="E22" s="12" t="n">
        <v>674.3801931385</v>
      </c>
      <c r="F22" s="12" t="n">
        <f aca="false">F18+1</f>
        <v>2019</v>
      </c>
      <c r="G22" s="10" t="n">
        <f aca="false">A22*[4]'inflation indexes'!i115</f>
        <v>6225.44876660516</v>
      </c>
      <c r="H22" s="12" t="n">
        <f aca="false">B22*[4]'inflation indexes'!i115</f>
        <v>436.074257862863</v>
      </c>
      <c r="I22" s="12" t="n">
        <f aca="false">D22*[4]'inflation indexes'!i115</f>
        <v>367.672984422292</v>
      </c>
      <c r="J22" s="1" t="n">
        <f aca="false">E22*[4]'inflation indexes'!i115</f>
        <v>625.40894126283</v>
      </c>
      <c r="K22" s="12" t="n">
        <f aca="false">C22*[4]'inflation indexes'!i115</f>
        <v>443.027484397336</v>
      </c>
      <c r="L22" s="1" t="n">
        <f aca="false">L21+1</f>
        <v>2033</v>
      </c>
      <c r="M22" s="1" t="n">
        <f aca="false">AVERAGE(G76:G79)</f>
        <v>5907.82121992435</v>
      </c>
      <c r="N22" s="1" t="n">
        <f aca="false">AVERAGE(H76:H79)</f>
        <v>452.833251068192</v>
      </c>
      <c r="O22" s="1" t="n">
        <f aca="false">AVERAGE(I76:I79)</f>
        <v>370.539459680338</v>
      </c>
      <c r="P22" s="1" t="n">
        <f aca="false">AVERAGE(J76:J79)</f>
        <v>649.831708190821</v>
      </c>
      <c r="Q22" s="1" t="n">
        <f aca="false">AVERAGE(K76:K79)</f>
        <v>448.075395577405</v>
      </c>
      <c r="R22" s="12" t="n">
        <f aca="false">R18+1</f>
        <v>2019</v>
      </c>
      <c r="S22" s="9" t="n">
        <f aca="false">[4]'retirement benefit values'!p23</f>
        <v>6766.7378319199</v>
      </c>
      <c r="T22" s="12" t="n">
        <v>470.0088354567</v>
      </c>
      <c r="U22" s="12" t="n">
        <v>477.8159490349</v>
      </c>
      <c r="V22" s="12" t="n">
        <v>396.0292805361</v>
      </c>
      <c r="W22" s="12" t="n">
        <v>677.1275230581</v>
      </c>
      <c r="X22" s="12" t="n">
        <f aca="false">X18+1</f>
        <v>2019</v>
      </c>
      <c r="Y22" s="1" t="n">
        <f aca="false">S22*[4]'inflation indexes'!i115</f>
        <v>6275.359784173</v>
      </c>
      <c r="Z22" s="1" t="n">
        <f aca="false">T22*[4]'inflation indexes'!i115</f>
        <v>435.87835342427</v>
      </c>
      <c r="AA22" s="1" t="n">
        <f aca="false">V22*[4]'inflation indexes'!i115</f>
        <v>367.270948300665</v>
      </c>
      <c r="AB22" s="1" t="n">
        <f aca="false">W22*[4]'inflation indexes'!i115</f>
        <v>627.956769199947</v>
      </c>
      <c r="AC22" s="1" t="n">
        <f aca="false">U22*[4]'inflation indexes'!i115</f>
        <v>443.118540320236</v>
      </c>
      <c r="AD22" s="1" t="n">
        <f aca="false">AD21+1</f>
        <v>2033</v>
      </c>
      <c r="AE22" s="1" t="n">
        <f aca="false">AVERAGE(Y76:Y79)</f>
        <v>6882.38929548946</v>
      </c>
      <c r="AF22" s="1" t="n">
        <f aca="false">AVERAGE(Z76:Z79)</f>
        <v>478.463943587873</v>
      </c>
      <c r="AG22" s="1" t="n">
        <f aca="false">AVERAGE(AA76:AA79)</f>
        <v>395.80662446411</v>
      </c>
      <c r="AH22" s="1" t="n">
        <f aca="false">AVERAGE(AB76:AB79)</f>
        <v>709.073193248436</v>
      </c>
      <c r="AI22" s="1" t="n">
        <f aca="false">AVERAGE(AC76:AC79)</f>
        <v>468.580266019575</v>
      </c>
      <c r="AJ22" s="12" t="n">
        <f aca="false">AJ18+1</f>
        <v>2019</v>
      </c>
      <c r="AK22" s="14" t="n">
        <f aca="false">[4]'retirement benefit values'!aj23</f>
        <v>6820.3896095229</v>
      </c>
      <c r="AL22" s="12" t="n">
        <v>470.6568552437</v>
      </c>
      <c r="AM22" s="12" t="n">
        <v>478.3315518983</v>
      </c>
      <c r="AN22" s="12" t="n">
        <v>396.7980464529</v>
      </c>
      <c r="AO22" s="12" t="n">
        <v>678.5784801858</v>
      </c>
      <c r="AP22" s="12" t="n">
        <f aca="false">AP18+1</f>
        <v>2019</v>
      </c>
      <c r="AQ22" s="1" t="n">
        <f aca="false">AK22*[4]'inflation indexes'!i115</f>
        <v>6325.11554771552</v>
      </c>
      <c r="AR22" s="1" t="n">
        <f aca="false">AL22*[4]'inflation indexes'!i115</f>
        <v>436.479316164618</v>
      </c>
      <c r="AS22" s="1" t="n">
        <f aca="false">AN22*[4]'inflation indexes'!i115</f>
        <v>367.983888987531</v>
      </c>
      <c r="AT22" s="1" t="n">
        <f aca="false">AO22*[4]'inflation indexes'!i115</f>
        <v>629.302362635646</v>
      </c>
      <c r="AU22" s="1" t="n">
        <f aca="false">AM22*[4]'inflation indexes'!i115</f>
        <v>443.596701814586</v>
      </c>
      <c r="AV22" s="1" t="n">
        <f aca="false">AV21+1</f>
        <v>2033</v>
      </c>
      <c r="AW22" s="1" t="n">
        <f aca="false">AVERAGE(AQ76:AQ79)</f>
        <v>7959.69869328274</v>
      </c>
      <c r="AX22" s="1" t="n">
        <f aca="false">AVERAGE(AR76:AR79)</f>
        <v>524.90502215674</v>
      </c>
      <c r="AY22" s="1" t="n">
        <f aca="false">AVERAGE(AS76:AS79)</f>
        <v>427.88444859356</v>
      </c>
      <c r="AZ22" s="1" t="n">
        <f aca="false">AVERAGE(AT76:AT79)</f>
        <v>790.879634054089</v>
      </c>
      <c r="BA22" s="1" t="n">
        <f aca="false">AVERAGE(AU76:AU79)</f>
        <v>501.999474883763</v>
      </c>
    </row>
    <row r="23" customFormat="false" ht="15" hidden="false" customHeight="false" outlineLevel="0" collapsed="false">
      <c r="A23" s="14" t="n">
        <f aca="false">[4]'retirement benefit values'!b24</f>
        <v>6680.4851506996</v>
      </c>
      <c r="B23" s="12" t="n">
        <v>470.186967642</v>
      </c>
      <c r="C23" s="12" t="n">
        <v>478.7443765785</v>
      </c>
      <c r="D23" s="12" t="n">
        <v>396.0268325545</v>
      </c>
      <c r="E23" s="12" t="n">
        <v>657.4065812716</v>
      </c>
      <c r="F23" s="12" t="n">
        <f aca="false">F19+1</f>
        <v>2019</v>
      </c>
      <c r="G23" s="10" t="n">
        <f aca="false">A23*[4]'inflation indexes'!i116</f>
        <v>6195.3704864565</v>
      </c>
      <c r="H23" s="12" t="n">
        <f aca="false">B23*[4]'inflation indexes'!i116</f>
        <v>436.043550241357</v>
      </c>
      <c r="I23" s="12" t="n">
        <f aca="false">D23*[4]'inflation indexes'!i116</f>
        <v>367.268678083366</v>
      </c>
      <c r="J23" s="1" t="n">
        <f aca="false">E23*[4]'inflation indexes'!i116</f>
        <v>609.66789676732</v>
      </c>
      <c r="K23" s="12" t="n">
        <f aca="false">C23*[4]'inflation indexes'!i116</f>
        <v>443.979548536358</v>
      </c>
      <c r="L23" s="1" t="n">
        <f aca="false">L22+1</f>
        <v>2034</v>
      </c>
      <c r="M23" s="1" t="n">
        <f aca="false">AVERAGE(G80:G83)</f>
        <v>5890.13401577829</v>
      </c>
      <c r="N23" s="1" t="n">
        <f aca="false">AVERAGE(H80:H83)</f>
        <v>452.629846382166</v>
      </c>
      <c r="O23" s="1" t="n">
        <f aca="false">AVERAGE(I80:I83)</f>
        <v>364.886167116278</v>
      </c>
      <c r="P23" s="1" t="n">
        <f aca="false">AVERAGE(J80:J83)</f>
        <v>645.220305727339</v>
      </c>
      <c r="Q23" s="1" t="n">
        <f aca="false">AVERAGE(K80:K83)</f>
        <v>448.8151402483</v>
      </c>
      <c r="R23" s="12" t="n">
        <f aca="false">R19+1</f>
        <v>2019</v>
      </c>
      <c r="S23" s="9" t="n">
        <f aca="false">[4]'retirement benefit values'!p24</f>
        <v>6761.555141672</v>
      </c>
      <c r="T23" s="12" t="n">
        <v>470.6650386567</v>
      </c>
      <c r="U23" s="12" t="n">
        <v>479.4920888938</v>
      </c>
      <c r="V23" s="12" t="n">
        <v>396.9306560425</v>
      </c>
      <c r="W23" s="12" t="n">
        <v>657.5708707971</v>
      </c>
      <c r="X23" s="12" t="n">
        <f aca="false">X19+1</f>
        <v>2019</v>
      </c>
      <c r="Y23" s="1" t="n">
        <f aca="false">S23*[4]'inflation indexes'!i116</f>
        <v>6270.55344369353</v>
      </c>
      <c r="Z23" s="1" t="n">
        <f aca="false">T23*[4]'inflation indexes'!i116</f>
        <v>436.48690532532</v>
      </c>
      <c r="AA23" s="1" t="n">
        <f aca="false">V23*[4]'inflation indexes'!i116</f>
        <v>368.106868908764</v>
      </c>
      <c r="AB23" s="1" t="n">
        <f aca="false">W23*[4]'inflation indexes'!i116</f>
        <v>609.820256132629</v>
      </c>
      <c r="AC23" s="1" t="n">
        <f aca="false">U23*[4]'inflation indexes'!i116</f>
        <v>444.672964464404</v>
      </c>
      <c r="AD23" s="1" t="n">
        <f aca="false">AD22+1</f>
        <v>2034</v>
      </c>
      <c r="AE23" s="1" t="n">
        <f aca="false">AVERAGE(Y80:Y83)</f>
        <v>6915.72306361734</v>
      </c>
      <c r="AF23" s="1" t="n">
        <f aca="false">AVERAGE(Z80:Z83)</f>
        <v>479.303798785353</v>
      </c>
      <c r="AG23" s="1" t="n">
        <f aca="false">AVERAGE(AA80:AA83)</f>
        <v>401.673273833079</v>
      </c>
      <c r="AH23" s="1" t="n">
        <f aca="false">AVERAGE(AB80:AB83)</f>
        <v>705.93803687566</v>
      </c>
      <c r="AI23" s="1" t="n">
        <f aca="false">AVERAGE(AC80:AC83)</f>
        <v>472.392063925446</v>
      </c>
      <c r="AJ23" s="12" t="n">
        <f aca="false">AJ19+1</f>
        <v>2019</v>
      </c>
      <c r="AK23" s="14" t="n">
        <f aca="false">[4]'retirement benefit values'!aj24</f>
        <v>6829.978545834</v>
      </c>
      <c r="AL23" s="12" t="n">
        <v>472.3920219451</v>
      </c>
      <c r="AM23" s="12" t="n">
        <v>480.7050271073</v>
      </c>
      <c r="AN23" s="12" t="n">
        <v>399.3233037679</v>
      </c>
      <c r="AO23" s="12" t="n">
        <v>658.7502039466</v>
      </c>
      <c r="AP23" s="12" t="n">
        <f aca="false">AP19+1</f>
        <v>2019</v>
      </c>
      <c r="AQ23" s="1" t="n">
        <f aca="false">AK23*[4]'inflation indexes'!i116</f>
        <v>6334.00816729003</v>
      </c>
      <c r="AR23" s="1" t="n">
        <f aca="false">AL23*[4]'inflation indexes'!i116</f>
        <v>438.088480817848</v>
      </c>
      <c r="AS23" s="1" t="n">
        <f aca="false">AN23*[4]'inflation indexes'!i116</f>
        <v>370.325770495706</v>
      </c>
      <c r="AT23" s="1" t="n">
        <f aca="false">AO23*[4]'inflation indexes'!i116</f>
        <v>610.913950022113</v>
      </c>
      <c r="AU23" s="1" t="n">
        <f aca="false">AM23*[4]'inflation indexes'!i116</f>
        <v>445.79782312965</v>
      </c>
      <c r="AV23" s="1" t="n">
        <f aca="false">AV22+1</f>
        <v>2034</v>
      </c>
      <c r="AW23" s="1" t="n">
        <f aca="false">AVERAGE(AQ80:AQ83)</f>
        <v>8045.22943950263</v>
      </c>
      <c r="AX23" s="1" t="n">
        <f aca="false">AVERAGE(AR80:AR83)</f>
        <v>520.125033097339</v>
      </c>
      <c r="AY23" s="1" t="n">
        <f aca="false">AVERAGE(AS80:AS83)</f>
        <v>427.695365107496</v>
      </c>
      <c r="AZ23" s="1" t="n">
        <f aca="false">AVERAGE(AT80:AT83)</f>
        <v>804.971703464612</v>
      </c>
      <c r="BA23" s="1" t="n">
        <f aca="false">AVERAGE(AU80:AU83)</f>
        <v>496.853715259982</v>
      </c>
    </row>
    <row r="24" customFormat="false" ht="15" hidden="false" customHeight="false" outlineLevel="0" collapsed="false">
      <c r="A24" s="11" t="n">
        <f aca="false">[4]'retirement benefit values'!b25</f>
        <v>6656.014178707</v>
      </c>
      <c r="B24" s="12" t="n">
        <v>603.0696586097</v>
      </c>
      <c r="C24" s="12" t="n">
        <v>598.5965852488</v>
      </c>
      <c r="D24" s="12" t="n">
        <v>519.246960227</v>
      </c>
      <c r="E24" s="12" t="n">
        <v>763.7302613828</v>
      </c>
      <c r="F24" s="12" t="n">
        <f aca="false">F20+1</f>
        <v>2020</v>
      </c>
      <c r="G24" s="10" t="n">
        <f aca="false">A24*[4]'inflation indexes'!i117</f>
        <v>6172.67651524963</v>
      </c>
      <c r="H24" s="12" t="n">
        <f aca="false">B24*[4]'inflation indexes'!i117</f>
        <v>559.276741126602</v>
      </c>
      <c r="I24" s="12" t="n">
        <f aca="false">D24*[4]'inflation indexes'!i117</f>
        <v>481.54096895728</v>
      </c>
      <c r="J24" s="1" t="n">
        <f aca="false">E24*[4]'inflation indexes'!i117</f>
        <v>708.270704035499</v>
      </c>
      <c r="K24" s="12" t="n">
        <f aca="false">C24*[4]'inflation indexes'!i117</f>
        <v>555.128487510475</v>
      </c>
      <c r="L24" s="1" t="n">
        <f aca="false">L23+1</f>
        <v>2035</v>
      </c>
      <c r="M24" s="1" t="n">
        <f aca="false">AVERAGE(G84:G87)</f>
        <v>5867.71818868384</v>
      </c>
      <c r="N24" s="1" t="n">
        <f aca="false">AVERAGE(H84:H87)</f>
        <v>460.1107004147</v>
      </c>
      <c r="O24" s="1" t="n">
        <f aca="false">AVERAGE(I84:I87)</f>
        <v>379.21252785722</v>
      </c>
      <c r="P24" s="1" t="n">
        <f aca="false">AVERAGE(J84:J87)</f>
        <v>642.877205925088</v>
      </c>
      <c r="Q24" s="1" t="n">
        <f aca="false">AVERAGE(K84:K87)</f>
        <v>448.507574549963</v>
      </c>
      <c r="R24" s="12" t="n">
        <f aca="false">R20+1</f>
        <v>2020</v>
      </c>
      <c r="S24" s="13" t="n">
        <f aca="false">[4]'retirement benefit values'!p25</f>
        <v>6744.5068593302</v>
      </c>
      <c r="T24" s="12" t="n">
        <v>605.162947485</v>
      </c>
      <c r="U24" s="12" t="n">
        <v>600.9397847524</v>
      </c>
      <c r="V24" s="12" t="n">
        <v>521.0537685111</v>
      </c>
      <c r="W24" s="12" t="n">
        <v>769.4878081805</v>
      </c>
      <c r="X24" s="12" t="n">
        <f aca="false">X20+1</f>
        <v>2020</v>
      </c>
      <c r="Y24" s="1" t="n">
        <f aca="false">S24*[4]'inflation indexes'!i117</f>
        <v>6254.74315104523</v>
      </c>
      <c r="Z24" s="1" t="n">
        <f aca="false">T24*[4]'inflation indexes'!i117</f>
        <v>561.218022309796</v>
      </c>
      <c r="AA24" s="1" t="n">
        <f aca="false">V24*[4]'inflation indexes'!i117</f>
        <v>483.216572819198</v>
      </c>
      <c r="AB24" s="1" t="n">
        <f aca="false">W24*[4]'inflation indexes'!i117</f>
        <v>713.610156889627</v>
      </c>
      <c r="AC24" s="1" t="n">
        <f aca="false">U24*[4]'inflation indexes'!i117</f>
        <v>557.301531641403</v>
      </c>
      <c r="AD24" s="1" t="n">
        <f aca="false">AD23+1</f>
        <v>2035</v>
      </c>
      <c r="AE24" s="1" t="n">
        <f aca="false">AVERAGE(Y84:Y87)</f>
        <v>6970.28250673413</v>
      </c>
      <c r="AF24" s="1" t="n">
        <f aca="false">AVERAGE(Z84:Z87)</f>
        <v>474.195953443627</v>
      </c>
      <c r="AG24" s="1" t="n">
        <f aca="false">AVERAGE(AA84:AA87)</f>
        <v>388.722629170922</v>
      </c>
      <c r="AH24" s="1" t="n">
        <f aca="false">AVERAGE(AB84:AB87)</f>
        <v>705.590439678388</v>
      </c>
      <c r="AI24" s="1" t="n">
        <f aca="false">AVERAGE(AC84:AC87)</f>
        <v>464.235681364656</v>
      </c>
      <c r="AJ24" s="12" t="n">
        <f aca="false">AJ20+1</f>
        <v>2020</v>
      </c>
      <c r="AK24" s="11" t="n">
        <f aca="false">[4]'retirement benefit values'!aj25</f>
        <v>6835.3858220642</v>
      </c>
      <c r="AL24" s="12" t="n">
        <v>607.1472003764</v>
      </c>
      <c r="AM24" s="12" t="n">
        <v>602.5895423974</v>
      </c>
      <c r="AN24" s="12" t="n">
        <v>523.1935600225</v>
      </c>
      <c r="AO24" s="12" t="n">
        <v>776.1160516349</v>
      </c>
      <c r="AP24" s="12" t="n">
        <f aca="false">AP20+1</f>
        <v>2020</v>
      </c>
      <c r="AQ24" s="1" t="n">
        <f aca="false">AK24*[4]'inflation indexes'!i117</f>
        <v>6339.02278506299</v>
      </c>
      <c r="AR24" s="1" t="n">
        <f aca="false">AL24*[4]'inflation indexes'!i117</f>
        <v>563.058185340435</v>
      </c>
      <c r="AS24" s="1" t="n">
        <f aca="false">AN24*[4]'inflation indexes'!i117</f>
        <v>485.200979771365</v>
      </c>
      <c r="AT24" s="1" t="n">
        <f aca="false">AO24*[4]'inflation indexes'!i117</f>
        <v>719.757079298419</v>
      </c>
      <c r="AU24" s="1" t="n">
        <f aca="false">AM24*[4]'inflation indexes'!i117</f>
        <v>558.831489360502</v>
      </c>
      <c r="AV24" s="1" t="n">
        <f aca="false">AV23+1</f>
        <v>2035</v>
      </c>
      <c r="AW24" s="1" t="n">
        <f aca="false">AVERAGE(AQ84:AQ87)</f>
        <v>8203.2619593676</v>
      </c>
      <c r="AX24" s="1" t="n">
        <f aca="false">AVERAGE(AR84:AR87)</f>
        <v>515.732289179766</v>
      </c>
      <c r="AY24" s="1" t="n">
        <f aca="false">AVERAGE(AS84:AS87)</f>
        <v>418.216359476833</v>
      </c>
      <c r="AZ24" s="1" t="n">
        <f aca="false">AVERAGE(AT84:AT87)</f>
        <v>821.772891926604</v>
      </c>
      <c r="BA24" s="1" t="n">
        <f aca="false">AVERAGE(AU84:AU87)</f>
        <v>486.729214985915</v>
      </c>
    </row>
    <row r="25" customFormat="false" ht="15" hidden="false" customHeight="false" outlineLevel="0" collapsed="false">
      <c r="A25" s="14" t="n">
        <f aca="false">[4]'retirement benefit values'!b26</f>
        <v>6607.1735022933</v>
      </c>
      <c r="B25" s="12" t="n">
        <v>468.077088607</v>
      </c>
      <c r="C25" s="12" t="n">
        <v>477.5501200632</v>
      </c>
      <c r="D25" s="12" t="n">
        <v>403.4690634487</v>
      </c>
      <c r="E25" s="12" t="n">
        <v>641.5256432668</v>
      </c>
      <c r="F25" s="12" t="n">
        <f aca="false">F21+1</f>
        <v>2020</v>
      </c>
      <c r="G25" s="10" t="n">
        <f aca="false">A25*[4]'inflation indexes'!i118</f>
        <v>6127.38248669239</v>
      </c>
      <c r="H25" s="12" t="n">
        <f aca="false">B25*[4]'inflation indexes'!i118</f>
        <v>434.086883620811</v>
      </c>
      <c r="I25" s="12" t="n">
        <f aca="false">D25*[4]'inflation indexes'!i118</f>
        <v>374.170478865079</v>
      </c>
      <c r="J25" s="1" t="n">
        <f aca="false">E25*[4]'inflation indexes'!i118</f>
        <v>594.940179783789</v>
      </c>
      <c r="K25" s="12" t="n">
        <f aca="false">C25*[4]'inflation indexes'!i118</f>
        <v>442.872014966379</v>
      </c>
      <c r="L25" s="1" t="n">
        <f aca="false">L24+1</f>
        <v>2036</v>
      </c>
      <c r="M25" s="1" t="n">
        <f aca="false">AVERAGE(G88:G91)</f>
        <v>5848.13258704211</v>
      </c>
      <c r="N25" s="1" t="n">
        <f aca="false">AVERAGE(H88:H91)</f>
        <v>454.979874580934</v>
      </c>
      <c r="O25" s="1" t="n">
        <f aca="false">AVERAGE(I88:I91)</f>
        <v>373.369786035362</v>
      </c>
      <c r="P25" s="1" t="n">
        <f aca="false">AVERAGE(J88:J91)</f>
        <v>646.039369146068</v>
      </c>
      <c r="Q25" s="1" t="n">
        <f aca="false">AVERAGE(K88:K91)</f>
        <v>442.778763102141</v>
      </c>
      <c r="R25" s="12" t="n">
        <f aca="false">R21+1</f>
        <v>2020</v>
      </c>
      <c r="S25" s="9" t="n">
        <f aca="false">[4]'retirement benefit values'!p26</f>
        <v>6715.6772086572</v>
      </c>
      <c r="T25" s="12" t="n">
        <v>467.9094041366</v>
      </c>
      <c r="U25" s="12" t="n">
        <v>478.2855392754</v>
      </c>
      <c r="V25" s="12" t="n">
        <v>404.8406536962</v>
      </c>
      <c r="W25" s="12" t="n">
        <v>641.80030376</v>
      </c>
      <c r="X25" s="12" t="n">
        <f aca="false">X21+1</f>
        <v>2020</v>
      </c>
      <c r="Y25" s="1" t="n">
        <f aca="false">S25*[4]'inflation indexes'!i118</f>
        <v>6228.00701394063</v>
      </c>
      <c r="Z25" s="1" t="n">
        <f aca="false">T25*[4]'inflation indexes'!i118</f>
        <v>433.931375840235</v>
      </c>
      <c r="AA25" s="1" t="n">
        <f aca="false">V25*[4]'inflation indexes'!i118</f>
        <v>375.442468780061</v>
      </c>
      <c r="AB25" s="1" t="n">
        <f aca="false">W25*[4]'inflation indexes'!i118</f>
        <v>595.19489534336</v>
      </c>
      <c r="AC25" s="1" t="n">
        <f aca="false">U25*[4]'inflation indexes'!i118</f>
        <v>443.554030475681</v>
      </c>
      <c r="AD25" s="1" t="n">
        <f aca="false">AD24+1</f>
        <v>2036</v>
      </c>
      <c r="AE25" s="1" t="n">
        <f aca="false">AVERAGE(Y88:Y91)</f>
        <v>7000.86658549855</v>
      </c>
      <c r="AF25" s="1" t="n">
        <f aca="false">AVERAGE(Z88:Z91)</f>
        <v>477.253185981847</v>
      </c>
      <c r="AG25" s="1" t="n">
        <f aca="false">AVERAGE(AA88:AA91)</f>
        <v>383.368287860892</v>
      </c>
      <c r="AH25" s="1" t="n">
        <f aca="false">AVERAGE(AB88:AB91)</f>
        <v>729.801711748464</v>
      </c>
      <c r="AI25" s="1" t="n">
        <f aca="false">AVERAGE(AC88:AC91)</f>
        <v>460.712256960905</v>
      </c>
      <c r="AJ25" s="12" t="n">
        <f aca="false">AJ21+1</f>
        <v>2020</v>
      </c>
      <c r="AK25" s="14" t="n">
        <f aca="false">[4]'retirement benefit values'!aj26</f>
        <v>6817.7380123734</v>
      </c>
      <c r="AL25" s="12" t="n">
        <v>468.1266484633</v>
      </c>
      <c r="AM25" s="12" t="n">
        <v>478.7809830958</v>
      </c>
      <c r="AN25" s="12" t="n">
        <v>404.5011779554</v>
      </c>
      <c r="AO25" s="12" t="n">
        <v>648.9331127876</v>
      </c>
      <c r="AP25" s="12" t="n">
        <f aca="false">AP21+1</f>
        <v>2020</v>
      </c>
      <c r="AQ25" s="1" t="n">
        <f aca="false">AK25*[4]'inflation indexes'!i118</f>
        <v>6322.65650075241</v>
      </c>
      <c r="AR25" s="1" t="n">
        <f aca="false">AL25*[4]'inflation indexes'!i118</f>
        <v>434.132844604797</v>
      </c>
      <c r="AS25" s="1" t="n">
        <f aca="false">AN25*[4]'inflation indexes'!i118</f>
        <v>375.127644641098</v>
      </c>
      <c r="AT25" s="1" t="n">
        <f aca="false">AO25*[4]'inflation indexes'!i118</f>
        <v>601.809743447692</v>
      </c>
      <c r="AU25" s="1" t="n">
        <f aca="false">AM25*[4]'inflation indexes'!i118</f>
        <v>444.013496809841</v>
      </c>
      <c r="AV25" s="1" t="n">
        <f aca="false">AV24+1</f>
        <v>2036</v>
      </c>
      <c r="AW25" s="1" t="n">
        <f aca="false">AVERAGE(AQ88:AQ91)</f>
        <v>8363.65126543084</v>
      </c>
      <c r="AX25" s="1" t="n">
        <f aca="false">AVERAGE(AR88:AR91)</f>
        <v>521.631747530675</v>
      </c>
      <c r="AY25" s="1" t="n">
        <f aca="false">AVERAGE(AS88:AS91)</f>
        <v>435.341736907467</v>
      </c>
      <c r="AZ25" s="1" t="n">
        <f aca="false">AVERAGE(AT88:AT91)</f>
        <v>842.241483006452</v>
      </c>
      <c r="BA25" s="1" t="n">
        <f aca="false">AVERAGE(AU88:AU91)</f>
        <v>499.276360920978</v>
      </c>
    </row>
    <row r="26" customFormat="false" ht="15" hidden="false" customHeight="false" outlineLevel="0" collapsed="false">
      <c r="A26" s="14" t="n">
        <f aca="false">[4]'retirement benefit values'!b27</f>
        <v>6598.4085769675</v>
      </c>
      <c r="B26" s="12" t="n">
        <v>469.488682719</v>
      </c>
      <c r="C26" s="12" t="n">
        <v>477.0707157011</v>
      </c>
      <c r="D26" s="12" t="n">
        <v>405.6427017793</v>
      </c>
      <c r="E26" s="12" t="n">
        <v>641.1515028985</v>
      </c>
      <c r="F26" s="12" t="n">
        <f aca="false">F22+1</f>
        <v>2020</v>
      </c>
      <c r="G26" s="10" t="n">
        <f aca="false">A26*[4]'inflation indexes'!i119</f>
        <v>6119.25404115969</v>
      </c>
      <c r="H26" s="12" t="n">
        <f aca="false">B26*[4]'inflation indexes'!i119</f>
        <v>435.395972452394</v>
      </c>
      <c r="I26" s="12" t="n">
        <f aca="false">D26*[4]'inflation indexes'!i119</f>
        <v>376.186274792747</v>
      </c>
      <c r="J26" s="1" t="n">
        <f aca="false">E26*[4]'inflation indexes'!i119</f>
        <v>594.59320824755</v>
      </c>
      <c r="K26" s="12" t="n">
        <f aca="false">C26*[4]'inflation indexes'!i119</f>
        <v>442.42742335828</v>
      </c>
      <c r="L26" s="1" t="n">
        <f aca="false">L25+1</f>
        <v>2037</v>
      </c>
      <c r="M26" s="1" t="n">
        <f aca="false">AVERAGE(G92:G95)</f>
        <v>5818.44044535777</v>
      </c>
      <c r="N26" s="1" t="n">
        <f aca="false">AVERAGE(H92:H95)</f>
        <v>453.847656867605</v>
      </c>
      <c r="O26" s="1" t="n">
        <f aca="false">AVERAGE(I92:I95)</f>
        <v>367.217912631007</v>
      </c>
      <c r="P26" s="1" t="n">
        <f aca="false">AVERAGE(J92:J95)</f>
        <v>639.606687692622</v>
      </c>
      <c r="Q26" s="1" t="n">
        <f aca="false">AVERAGE(K92:K95)</f>
        <v>438.438212864989</v>
      </c>
      <c r="R26" s="12" t="n">
        <f aca="false">R22+1</f>
        <v>2020</v>
      </c>
      <c r="S26" s="9" t="n">
        <f aca="false">[4]'retirement benefit values'!p27</f>
        <v>6715.7589628156</v>
      </c>
      <c r="T26" s="12" t="n">
        <v>471.1242496827</v>
      </c>
      <c r="U26" s="12" t="n">
        <v>478.2542708444</v>
      </c>
      <c r="V26" s="12" t="n">
        <v>407.0606464619</v>
      </c>
      <c r="W26" s="12" t="n">
        <v>646.3179053365</v>
      </c>
      <c r="X26" s="12" t="n">
        <f aca="false">X22+1</f>
        <v>2020</v>
      </c>
      <c r="Y26" s="1" t="n">
        <f aca="false">S26*[4]'inflation indexes'!i119</f>
        <v>6228.08283138333</v>
      </c>
      <c r="Z26" s="1" t="n">
        <f aca="false">T26*[4]'inflation indexes'!i119</f>
        <v>436.912769970381</v>
      </c>
      <c r="AA26" s="1" t="n">
        <f aca="false">V26*[4]'inflation indexes'!i119</f>
        <v>377.501253037567</v>
      </c>
      <c r="AB26" s="1" t="n">
        <f aca="false">W26*[4]'inflation indexes'!i119</f>
        <v>599.384443683825</v>
      </c>
      <c r="AC26" s="1" t="n">
        <f aca="false">U26*[4]'inflation indexes'!i119</f>
        <v>443.525032654384</v>
      </c>
      <c r="AD26" s="1" t="n">
        <f aca="false">AD25+1</f>
        <v>2037</v>
      </c>
      <c r="AE26" s="1" t="n">
        <f aca="false">AVERAGE(Y92:Y95)</f>
        <v>7067.55248860504</v>
      </c>
      <c r="AF26" s="1" t="n">
        <f aca="false">AVERAGE(Z92:Z95)</f>
        <v>489.807366373713</v>
      </c>
      <c r="AG26" s="1" t="n">
        <f aca="false">AVERAGE(AA92:AA95)</f>
        <v>390.508732236725</v>
      </c>
      <c r="AH26" s="1" t="n">
        <f aca="false">AVERAGE(AB92:AB95)</f>
        <v>748.711165133024</v>
      </c>
      <c r="AI26" s="1" t="n">
        <f aca="false">AVERAGE(AC92:AC95)</f>
        <v>466.316303638814</v>
      </c>
      <c r="AJ26" s="12" t="n">
        <f aca="false">AJ22+1</f>
        <v>2020</v>
      </c>
      <c r="AK26" s="14" t="n">
        <f aca="false">[4]'retirement benefit values'!aj27</f>
        <v>6836.1416269344</v>
      </c>
      <c r="AL26" s="12" t="n">
        <v>473.274666128</v>
      </c>
      <c r="AM26" s="12" t="n">
        <v>480.9840931543</v>
      </c>
      <c r="AN26" s="12" t="n">
        <v>408.7033898842</v>
      </c>
      <c r="AO26" s="12" t="n">
        <v>653.3144013691</v>
      </c>
      <c r="AP26" s="12" t="n">
        <f aca="false">AP22+1</f>
        <v>2020</v>
      </c>
      <c r="AQ26" s="1" t="n">
        <f aca="false">AK26*[4]'inflation indexes'!i119</f>
        <v>6339.72370589145</v>
      </c>
      <c r="AR26" s="1" t="n">
        <f aca="false">AL26*[4]'inflation indexes'!i119</f>
        <v>438.907030309004</v>
      </c>
      <c r="AS26" s="1" t="n">
        <f aca="false">AN26*[4]'inflation indexes'!i119</f>
        <v>379.024705883543</v>
      </c>
      <c r="AT26" s="1" t="n">
        <f aca="false">AO26*[4]'inflation indexes'!i119</f>
        <v>605.872877390536</v>
      </c>
      <c r="AU26" s="1" t="n">
        <f aca="false">AM26*[4]'inflation indexes'!i119</f>
        <v>446.056624326323</v>
      </c>
      <c r="AV26" s="1" t="n">
        <f aca="false">AV25+1</f>
        <v>2037</v>
      </c>
      <c r="AW26" s="1" t="n">
        <f aca="false">AVERAGE(AQ92:AQ95)</f>
        <v>8468.94205629996</v>
      </c>
      <c r="AX26" s="1" t="n">
        <f aca="false">AVERAGE(AR92:AR95)</f>
        <v>520.97157345214</v>
      </c>
      <c r="AY26" s="1" t="n">
        <f aca="false">AVERAGE(AS92:AS95)</f>
        <v>433.244749567549</v>
      </c>
      <c r="AZ26" s="1" t="n">
        <f aca="false">AVERAGE(AT92:AT95)</f>
        <v>839.257417576503</v>
      </c>
      <c r="BA26" s="1" t="n">
        <f aca="false">AVERAGE(AU92:AU95)</f>
        <v>500.0089656614</v>
      </c>
    </row>
    <row r="27" customFormat="false" ht="15" hidden="false" customHeight="false" outlineLevel="0" collapsed="false">
      <c r="A27" s="14" t="n">
        <f aca="false">[4]'retirement benefit values'!b28</f>
        <v>6618.5654168381</v>
      </c>
      <c r="B27" s="12" t="n">
        <v>465.1711970832</v>
      </c>
      <c r="C27" s="12" t="n">
        <v>471.1210670285</v>
      </c>
      <c r="D27" s="12" t="n">
        <v>395.8668033977</v>
      </c>
      <c r="E27" s="12" t="n">
        <v>647.5584945636</v>
      </c>
      <c r="F27" s="12" t="n">
        <f aca="false">F23+1</f>
        <v>2020</v>
      </c>
      <c r="G27" s="10" t="n">
        <f aca="false">A27*[4]'inflation indexes'!i120</f>
        <v>6137.94715820397</v>
      </c>
      <c r="H27" s="12" t="n">
        <f aca="false">B27*[4]'inflation indexes'!i120</f>
        <v>431.392008297046</v>
      </c>
      <c r="I27" s="12" t="n">
        <f aca="false">D27*[4]'inflation indexes'!i120</f>
        <v>367.120269712919</v>
      </c>
      <c r="J27" s="1" t="n">
        <f aca="false">E27*[4]'inflation indexes'!i120</f>
        <v>600.534945437816</v>
      </c>
      <c r="K27" s="12" t="n">
        <f aca="false">C27*[4]'inflation indexes'!i120</f>
        <v>436.909818429968</v>
      </c>
      <c r="L27" s="1" t="n">
        <f aca="false">L26+1</f>
        <v>2038</v>
      </c>
      <c r="M27" s="1" t="n">
        <f aca="false">AVERAGE(G96:G99)</f>
        <v>5796.28593497703</v>
      </c>
      <c r="N27" s="1" t="n">
        <f aca="false">AVERAGE(H96:H99)</f>
        <v>454.784539681404</v>
      </c>
      <c r="O27" s="1" t="n">
        <f aca="false">AVERAGE(I96:I99)</f>
        <v>364.725922473296</v>
      </c>
      <c r="P27" s="1" t="n">
        <f aca="false">AVERAGE(J96:J99)</f>
        <v>651.206382192133</v>
      </c>
      <c r="Q27" s="1" t="n">
        <f aca="false">AVERAGE(K96:K99)</f>
        <v>438.681966933002</v>
      </c>
      <c r="R27" s="12" t="n">
        <f aca="false">R23+1</f>
        <v>2020</v>
      </c>
      <c r="S27" s="9" t="n">
        <f aca="false">[4]'retirement benefit values'!p28</f>
        <v>6748.6963945452</v>
      </c>
      <c r="T27" s="12" t="n">
        <v>468.5928553756</v>
      </c>
      <c r="U27" s="12" t="n">
        <v>473.6195834</v>
      </c>
      <c r="V27" s="12" t="n">
        <v>398.1320877097</v>
      </c>
      <c r="W27" s="12" t="n">
        <v>656.7398704036</v>
      </c>
      <c r="X27" s="12" t="n">
        <f aca="false">X23+1</f>
        <v>2020</v>
      </c>
      <c r="Y27" s="1" t="n">
        <f aca="false">S27*[4]'inflation indexes'!i120</f>
        <v>6258.62845611477</v>
      </c>
      <c r="Z27" s="1" t="n">
        <f aca="false">T27*[4]'inflation indexes'!i120</f>
        <v>434.565197118109</v>
      </c>
      <c r="AA27" s="1" t="n">
        <f aca="false">V27*[4]'inflation indexes'!i120</f>
        <v>369.221056594921</v>
      </c>
      <c r="AB27" s="1" t="n">
        <f aca="false">W27*[4]'inflation indexes'!i120</f>
        <v>609.049600230252</v>
      </c>
      <c r="AC27" s="1" t="n">
        <f aca="false">U27*[4]'inflation indexes'!i120</f>
        <v>439.226900833227</v>
      </c>
      <c r="AD27" s="1" t="n">
        <f aca="false">AD26+1</f>
        <v>2038</v>
      </c>
      <c r="AE27" s="1" t="n">
        <f aca="false">AVERAGE(Y96:Y99)</f>
        <v>7108.62734687922</v>
      </c>
      <c r="AF27" s="1" t="n">
        <f aca="false">AVERAGE(Z96:Z99)</f>
        <v>482.029836123642</v>
      </c>
      <c r="AG27" s="1" t="n">
        <f aca="false">AVERAGE(AA96:AA99)</f>
        <v>384.637041280012</v>
      </c>
      <c r="AH27" s="1" t="n">
        <f aca="false">AVERAGE(AB96:AB99)</f>
        <v>759.430036017168</v>
      </c>
      <c r="AI27" s="1" t="n">
        <f aca="false">AVERAGE(AC96:AC99)</f>
        <v>461.297131943345</v>
      </c>
      <c r="AJ27" s="12" t="n">
        <f aca="false">AJ23+1</f>
        <v>2020</v>
      </c>
      <c r="AK27" s="14" t="n">
        <f aca="false">[4]'retirement benefit values'!aj28</f>
        <v>6888.6856655088</v>
      </c>
      <c r="AL27" s="12" t="n">
        <v>470.6600797586</v>
      </c>
      <c r="AM27" s="12" t="n">
        <v>477.2013422185</v>
      </c>
      <c r="AN27" s="12" t="n">
        <v>401.1283218205</v>
      </c>
      <c r="AO27" s="12" t="n">
        <v>665.9935092715</v>
      </c>
      <c r="AP27" s="12" t="n">
        <f aca="false">AP23+1</f>
        <v>2020</v>
      </c>
      <c r="AQ27" s="1" t="n">
        <f aca="false">AK27*[4]'inflation indexes'!i120</f>
        <v>6388.4521707379</v>
      </c>
      <c r="AR27" s="1" t="n">
        <f aca="false">AL27*[4]'inflation indexes'!i120</f>
        <v>436.482306525946</v>
      </c>
      <c r="AS27" s="1" t="n">
        <f aca="false">AN27*[4]'inflation indexes'!i120</f>
        <v>371.999714126795</v>
      </c>
      <c r="AT27" s="1" t="n">
        <f aca="false">AO27*[4]'inflation indexes'!i120</f>
        <v>617.631270549287</v>
      </c>
      <c r="AU27" s="1" t="n">
        <f aca="false">AM27*[4]'inflation indexes'!i120</f>
        <v>442.548564211435</v>
      </c>
      <c r="AV27" s="1" t="n">
        <f aca="false">AV26+1</f>
        <v>2038</v>
      </c>
      <c r="AW27" s="1" t="n">
        <f aca="false">AVERAGE(AQ96:AQ99)</f>
        <v>8603.3468652015</v>
      </c>
      <c r="AX27" s="1" t="n">
        <f aca="false">AVERAGE(AR96:AR99)</f>
        <v>526.101548345913</v>
      </c>
      <c r="AY27" s="1" t="n">
        <f aca="false">AVERAGE(AS96:AS99)</f>
        <v>442.391734358093</v>
      </c>
      <c r="AZ27" s="1" t="n">
        <f aca="false">AVERAGE(AT96:AT99)</f>
        <v>840.460786014126</v>
      </c>
      <c r="BA27" s="1" t="n">
        <f aca="false">AVERAGE(AU96:AU99)</f>
        <v>500.115009102291</v>
      </c>
    </row>
    <row r="28" customFormat="false" ht="15" hidden="false" customHeight="false" outlineLevel="0" collapsed="false">
      <c r="A28" s="11" t="n">
        <f aca="false">[4]'retirement benefit values'!b29</f>
        <v>6607.400223165</v>
      </c>
      <c r="B28" s="12" t="n">
        <v>597.6684237112</v>
      </c>
      <c r="C28" s="12" t="n">
        <v>589.8735947249</v>
      </c>
      <c r="D28" s="12" t="n">
        <v>509.3958083441</v>
      </c>
      <c r="E28" s="12" t="n">
        <v>786.9131302214</v>
      </c>
      <c r="F28" s="12" t="n">
        <f aca="false">F24+1</f>
        <v>2021</v>
      </c>
      <c r="G28" s="10" t="n">
        <f aca="false">A28*[4]'inflation indexes'!i121</f>
        <v>6127.5927438467</v>
      </c>
      <c r="H28" s="12" t="n">
        <f aca="false">B28*[4]'inflation indexes'!i121</f>
        <v>554.26772598388</v>
      </c>
      <c r="I28" s="12" t="n">
        <f aca="false">D28*[4]'inflation indexes'!i121</f>
        <v>472.405175035707</v>
      </c>
      <c r="J28" s="1" t="n">
        <f aca="false">E28*[4]'inflation indexes'!i121</f>
        <v>729.770109865181</v>
      </c>
      <c r="K28" s="12" t="n">
        <f aca="false">C28*[4]'inflation indexes'!i121</f>
        <v>547.038931613513</v>
      </c>
      <c r="L28" s="1" t="n">
        <f aca="false">L27+1</f>
        <v>2039</v>
      </c>
      <c r="M28" s="1" t="n">
        <f aca="false">AVERAGE(G100:G103)</f>
        <v>5749.22800874042</v>
      </c>
      <c r="N28" s="1" t="n">
        <f aca="false">AVERAGE(H100:H103)</f>
        <v>451.499026313096</v>
      </c>
      <c r="O28" s="1" t="n">
        <f aca="false">AVERAGE(I100:I103)</f>
        <v>357.558447109634</v>
      </c>
      <c r="P28" s="1" t="n">
        <f aca="false">AVERAGE(J100:J103)</f>
        <v>647.946578394871</v>
      </c>
      <c r="Q28" s="1" t="n">
        <f aca="false">AVERAGE(K100:K103)</f>
        <v>434.469347716745</v>
      </c>
      <c r="R28" s="12" t="n">
        <f aca="false">R24+1</f>
        <v>2021</v>
      </c>
      <c r="S28" s="13" t="n">
        <f aca="false">[4]'retirement benefit values'!p29</f>
        <v>6750.8961691748</v>
      </c>
      <c r="T28" s="12" t="n">
        <v>605.3731927524</v>
      </c>
      <c r="U28" s="12" t="n">
        <v>595.9839337204</v>
      </c>
      <c r="V28" s="12" t="n">
        <v>514.790877392</v>
      </c>
      <c r="W28" s="12" t="n">
        <v>804.6679973404</v>
      </c>
      <c r="X28" s="12" t="n">
        <f aca="false">X24+1</f>
        <v>2021</v>
      </c>
      <c r="Y28" s="1" t="n">
        <f aca="false">S28*[4]'inflation indexes'!i121</f>
        <v>6260.66849041013</v>
      </c>
      <c r="Z28" s="1" t="n">
        <f aca="false">T28*[4]'inflation indexes'!i121</f>
        <v>561.41300026352</v>
      </c>
      <c r="AA28" s="1" t="n">
        <f aca="false">V28*[4]'inflation indexes'!i121</f>
        <v>477.40847207144</v>
      </c>
      <c r="AB28" s="1" t="n">
        <f aca="false">W28*[4]'inflation indexes'!i121</f>
        <v>746.235677448771</v>
      </c>
      <c r="AC28" s="1" t="n">
        <f aca="false">U28*[4]'inflation indexes'!i121</f>
        <v>552.705558066683</v>
      </c>
      <c r="AD28" s="1" t="n">
        <f aca="false">AD27+1</f>
        <v>2039</v>
      </c>
      <c r="AE28" s="1" t="n">
        <f aca="false">AVERAGE(Y100:Y103)</f>
        <v>7148.46394062255</v>
      </c>
      <c r="AF28" s="1" t="n">
        <f aca="false">AVERAGE(Z100:Z103)</f>
        <v>478.634590630323</v>
      </c>
      <c r="AG28" s="1" t="n">
        <f aca="false">AVERAGE(AA100:AA103)</f>
        <v>384.99143576684</v>
      </c>
      <c r="AH28" s="1" t="n">
        <f aca="false">AVERAGE(AB100:AB103)</f>
        <v>750.046107273345</v>
      </c>
      <c r="AI28" s="1" t="n">
        <f aca="false">AVERAGE(AC100:AC103)</f>
        <v>463.03650920108</v>
      </c>
      <c r="AJ28" s="12" t="n">
        <f aca="false">AJ24+1</f>
        <v>2021</v>
      </c>
      <c r="AK28" s="11" t="n">
        <f aca="false">[4]'retirement benefit values'!aj29</f>
        <v>6910.0682000807</v>
      </c>
      <c r="AL28" s="12" t="n">
        <v>609.432851157</v>
      </c>
      <c r="AM28" s="12" t="n">
        <v>598.3159779763</v>
      </c>
      <c r="AN28" s="12" t="n">
        <v>514.8428062188</v>
      </c>
      <c r="AO28" s="12" t="n">
        <v>825.2315924238</v>
      </c>
      <c r="AP28" s="12" t="n">
        <f aca="false">AP24+1</f>
        <v>2021</v>
      </c>
      <c r="AQ28" s="1" t="n">
        <f aca="false">AK28*[4]'inflation indexes'!i121</f>
        <v>6408.2819766014</v>
      </c>
      <c r="AR28" s="1" t="n">
        <f aca="false">AL28*[4]'inflation indexes'!i121</f>
        <v>565.177859745667</v>
      </c>
      <c r="AS28" s="1" t="n">
        <f aca="false">AN28*[4]'inflation indexes'!i121</f>
        <v>477.45662999915</v>
      </c>
      <c r="AT28" s="1" t="n">
        <f aca="false">AO28*[4]'inflation indexes'!i121</f>
        <v>765.306012491997</v>
      </c>
      <c r="AU28" s="1" t="n">
        <f aca="false">AM28*[4]'inflation indexes'!i121</f>
        <v>554.868257006984</v>
      </c>
      <c r="AV28" s="1" t="n">
        <f aca="false">AV27+1</f>
        <v>2039</v>
      </c>
      <c r="AW28" s="1" t="n">
        <f aca="false">AVERAGE(AQ100:AQ103)</f>
        <v>8726.68533176853</v>
      </c>
      <c r="AX28" s="1" t="n">
        <f aca="false">AVERAGE(AR100:AR103)</f>
        <v>532.221136631121</v>
      </c>
      <c r="AY28" s="1" t="n">
        <f aca="false">AVERAGE(AS100:AS103)</f>
        <v>437.546022687302</v>
      </c>
      <c r="AZ28" s="1" t="n">
        <f aca="false">AVERAGE(AT100:AT103)</f>
        <v>863.699734547307</v>
      </c>
      <c r="BA28" s="1" t="n">
        <f aca="false">AVERAGE(AU100:AU103)</f>
        <v>504.330297184735</v>
      </c>
    </row>
    <row r="29" customFormat="false" ht="15" hidden="false" customHeight="false" outlineLevel="0" collapsed="false">
      <c r="A29" s="14" t="n">
        <f aca="false">[4]'retirement benefit values'!b30</f>
        <v>6604.4275891779</v>
      </c>
      <c r="B29" s="12" t="n">
        <v>471.5751050484</v>
      </c>
      <c r="C29" s="12" t="n">
        <v>473.7986872171</v>
      </c>
      <c r="D29" s="12" t="n">
        <v>393.5019122009</v>
      </c>
      <c r="E29" s="12" t="n">
        <v>676.7507598516</v>
      </c>
      <c r="F29" s="12" t="n">
        <f aca="false">F25+1</f>
        <v>2021</v>
      </c>
      <c r="G29" s="10" t="n">
        <f aca="false">A29*[4]'inflation indexes'!i122</f>
        <v>6124.83597267585</v>
      </c>
      <c r="H29" s="12" t="n">
        <f aca="false">B29*[4]'inflation indexes'!i122</f>
        <v>437.330885715467</v>
      </c>
      <c r="I29" s="12" t="n">
        <f aca="false">D29*[4]'inflation indexes'!i122</f>
        <v>364.927109067572</v>
      </c>
      <c r="J29" s="1" t="n">
        <f aca="false">E29*[4]'inflation indexes'!i122</f>
        <v>627.607365287316</v>
      </c>
      <c r="K29" s="12" t="n">
        <f aca="false">C29*[4]'inflation indexes'!i122</f>
        <v>439.392998725438</v>
      </c>
      <c r="L29" s="1" t="n">
        <f aca="false">L28+1</f>
        <v>2040</v>
      </c>
      <c r="M29" s="1" t="n">
        <f aca="false">AVERAGE(G104:G107)</f>
        <v>5731.56175202057</v>
      </c>
      <c r="N29" s="1" t="n">
        <f aca="false">AVERAGE(H104:H107)</f>
        <v>447.6935524371</v>
      </c>
      <c r="O29" s="1" t="n">
        <f aca="false">AVERAGE(I104:I107)</f>
        <v>347.319722977864</v>
      </c>
      <c r="P29" s="1" t="n">
        <f aca="false">AVERAGE(J104:J107)</f>
        <v>659.402756082481</v>
      </c>
      <c r="Q29" s="1" t="n">
        <f aca="false">AVERAGE(K104:K107)</f>
        <v>430.535336527801</v>
      </c>
      <c r="R29" s="12" t="n">
        <f aca="false">R25+1</f>
        <v>2021</v>
      </c>
      <c r="S29" s="9" t="n">
        <f aca="false">[4]'retirement benefit values'!p30</f>
        <v>6789.7836818476</v>
      </c>
      <c r="T29" s="12" t="n">
        <v>472.9248547491</v>
      </c>
      <c r="U29" s="12" t="n">
        <v>476.9048451678</v>
      </c>
      <c r="V29" s="12" t="n">
        <v>397.8825069827</v>
      </c>
      <c r="W29" s="12" t="n">
        <v>684.0782730895</v>
      </c>
      <c r="X29" s="12" t="n">
        <f aca="false">X25+1</f>
        <v>2021</v>
      </c>
      <c r="Y29" s="1" t="n">
        <f aca="false">S29*[4]'inflation indexes'!i122</f>
        <v>6296.73212095043</v>
      </c>
      <c r="Z29" s="1" t="n">
        <f aca="false">T29*[4]'inflation indexes'!i122</f>
        <v>438.582621071685</v>
      </c>
      <c r="AA29" s="1" t="n">
        <f aca="false">V29*[4]'inflation indexes'!i122</f>
        <v>368.989599592149</v>
      </c>
      <c r="AB29" s="1" t="n">
        <f aca="false">W29*[4]'inflation indexes'!i122</f>
        <v>634.402778828269</v>
      </c>
      <c r="AC29" s="1" t="n">
        <f aca="false">U29*[4]'inflation indexes'!i122</f>
        <v>442.273597792711</v>
      </c>
      <c r="AD29" s="1" t="n">
        <f aca="false">AD28+1</f>
        <v>2040</v>
      </c>
      <c r="AE29" s="1" t="n">
        <f aca="false">AVERAGE(Y104:Y107)</f>
        <v>7215.37090435667</v>
      </c>
      <c r="AF29" s="1" t="n">
        <f aca="false">AVERAGE(Z104:Z107)</f>
        <v>484.2954223059</v>
      </c>
      <c r="AG29" s="1" t="n">
        <f aca="false">AVERAGE(AA104:AA107)</f>
        <v>393.415385994255</v>
      </c>
      <c r="AH29" s="1" t="n">
        <f aca="false">AVERAGE(AB104:AB107)</f>
        <v>754.441395036816</v>
      </c>
      <c r="AI29" s="1" t="n">
        <f aca="false">AVERAGE(AC104:AC107)</f>
        <v>464.392475709395</v>
      </c>
      <c r="AJ29" s="12" t="n">
        <f aca="false">AJ25+1</f>
        <v>2021</v>
      </c>
      <c r="AK29" s="14" t="n">
        <f aca="false">[4]'retirement benefit values'!aj30</f>
        <v>6968.418346826</v>
      </c>
      <c r="AL29" s="12" t="n">
        <v>478.0588771781</v>
      </c>
      <c r="AM29" s="12" t="n">
        <v>482.9639815015</v>
      </c>
      <c r="AN29" s="12" t="n">
        <v>404.5332513251</v>
      </c>
      <c r="AO29" s="12" t="n">
        <v>699.9981824864</v>
      </c>
      <c r="AP29" s="12" t="n">
        <f aca="false">AP25+1</f>
        <v>2021</v>
      </c>
      <c r="AQ29" s="1" t="n">
        <f aca="false">AK29*[4]'inflation indexes'!i122</f>
        <v>6462.39492930939</v>
      </c>
      <c r="AR29" s="1" t="n">
        <f aca="false">AL29*[4]'inflation indexes'!i122</f>
        <v>443.343827827769</v>
      </c>
      <c r="AS29" s="1" t="n">
        <f aca="false">AN29*[4]'inflation indexes'!i122</f>
        <v>375.157388949117</v>
      </c>
      <c r="AT29" s="1" t="n">
        <f aca="false">AO29*[4]'inflation indexes'!i122</f>
        <v>649.166637230722</v>
      </c>
      <c r="AU29" s="1" t="n">
        <f aca="false">AM29*[4]'inflation indexes'!i122</f>
        <v>447.892739751479</v>
      </c>
      <c r="AV29" s="1" t="n">
        <f aca="false">AV28+1</f>
        <v>2040</v>
      </c>
      <c r="AW29" s="1" t="n">
        <f aca="false">AVERAGE(AQ104:AQ107)</f>
        <v>8851.58736322227</v>
      </c>
      <c r="AX29" s="1" t="n">
        <f aca="false">AVERAGE(AR104:AR107)</f>
        <v>531.312096689321</v>
      </c>
      <c r="AY29" s="1" t="n">
        <f aca="false">AVERAGE(AS104:AS107)</f>
        <v>437.280666021003</v>
      </c>
      <c r="AZ29" s="1" t="n">
        <f aca="false">AVERAGE(AT104:AT107)</f>
        <v>911.720150080049</v>
      </c>
      <c r="BA29" s="1" t="n">
        <f aca="false">AVERAGE(AU104:AU107)</f>
        <v>505.622578454685</v>
      </c>
    </row>
    <row r="30" customFormat="false" ht="15" hidden="false" customHeight="false" outlineLevel="0" collapsed="false">
      <c r="A30" s="14" t="n">
        <f aca="false">[4]'retirement benefit values'!b31</f>
        <v>6593.6024432471</v>
      </c>
      <c r="B30" s="12" t="n">
        <v>468.7605578629</v>
      </c>
      <c r="C30" s="12" t="n">
        <v>474.1537394475</v>
      </c>
      <c r="D30" s="12" t="n">
        <v>397.4423526301</v>
      </c>
      <c r="E30" s="12" t="n">
        <v>634.1911992135</v>
      </c>
      <c r="F30" s="12" t="n">
        <f aca="false">F26+1</f>
        <v>2021</v>
      </c>
      <c r="G30" s="10" t="n">
        <f aca="false">A30*[4]'inflation indexes'!i123</f>
        <v>6114.7969129222</v>
      </c>
      <c r="H30" s="12" t="n">
        <f aca="false">B30*[4]'inflation indexes'!i123</f>
        <v>434.720721607257</v>
      </c>
      <c r="I30" s="12" t="n">
        <f aca="false">D30*[4]'inflation indexes'!i123</f>
        <v>368.5814077881</v>
      </c>
      <c r="J30" s="1" t="n">
        <f aca="false">E30*[4]'inflation indexes'!i123</f>
        <v>588.138338720251</v>
      </c>
      <c r="K30" s="12" t="n">
        <f aca="false">C30*[4]'inflation indexes'!i123</f>
        <v>439.722268241012</v>
      </c>
      <c r="R30" s="12" t="n">
        <f aca="false">R26+1</f>
        <v>2021</v>
      </c>
      <c r="S30" s="9" t="n">
        <f aca="false">[4]'retirement benefit values'!p31</f>
        <v>6785.0528992234</v>
      </c>
      <c r="T30" s="12" t="n">
        <v>471.8797505809</v>
      </c>
      <c r="U30" s="12" t="n">
        <v>474.2322229148</v>
      </c>
      <c r="V30" s="12" t="n">
        <v>396.3253890103</v>
      </c>
      <c r="W30" s="12" t="n">
        <v>691.2689393696</v>
      </c>
      <c r="X30" s="12" t="n">
        <f aca="false">X26+1</f>
        <v>2021</v>
      </c>
      <c r="Y30" s="1" t="n">
        <f aca="false">S30*[4]'inflation indexes'!i123</f>
        <v>6292.34487206256</v>
      </c>
      <c r="Z30" s="1" t="n">
        <f aca="false">T30*[4]'inflation indexes'!i123</f>
        <v>437.613408900281</v>
      </c>
      <c r="AA30" s="1" t="n">
        <f aca="false">V30*[4]'inflation indexes'!i123</f>
        <v>367.545554360025</v>
      </c>
      <c r="AB30" s="1" t="n">
        <f aca="false">W30*[4]'inflation indexes'!i123</f>
        <v>641.071282783409</v>
      </c>
      <c r="AC30" s="1" t="n">
        <f aca="false">U30*[4]'inflation indexes'!i123</f>
        <v>439.795052499343</v>
      </c>
      <c r="AE30" s="0"/>
      <c r="AF30" s="0"/>
      <c r="AG30" s="0"/>
      <c r="AH30" s="0"/>
      <c r="AI30" s="0"/>
      <c r="AJ30" s="12" t="n">
        <f aca="false">AJ26+1</f>
        <v>2021</v>
      </c>
      <c r="AK30" s="14" t="n">
        <f aca="false">[4]'retirement benefit values'!aj31</f>
        <v>6991.2964778223</v>
      </c>
      <c r="AL30" s="12" t="n">
        <v>475.7468792834</v>
      </c>
      <c r="AM30" s="12" t="n">
        <v>482.2476383514</v>
      </c>
      <c r="AN30" s="12" t="n">
        <v>402.3767237425</v>
      </c>
      <c r="AO30" s="12" t="n">
        <v>686.051413529</v>
      </c>
      <c r="AP30" s="12" t="n">
        <f aca="false">AP26+1</f>
        <v>2021</v>
      </c>
      <c r="AQ30" s="1" t="n">
        <f aca="false">AK30*[4]'inflation indexes'!i123</f>
        <v>6483.61172634769</v>
      </c>
      <c r="AR30" s="1" t="n">
        <f aca="false">AL30*[4]'inflation indexes'!i123</f>
        <v>441.199719548436</v>
      </c>
      <c r="AS30" s="1" t="n">
        <f aca="false">AN30*[4]'inflation indexes'!i123</f>
        <v>373.157461243707</v>
      </c>
      <c r="AT30" s="1" t="n">
        <f aca="false">AO30*[4]'inflation indexes'!i123</f>
        <v>636.232636356391</v>
      </c>
      <c r="AU30" s="1" t="n">
        <f aca="false">AM30*[4]'inflation indexes'!i123</f>
        <v>447.228415063946</v>
      </c>
    </row>
    <row r="31" customFormat="false" ht="15" hidden="false" customHeight="false" outlineLevel="0" collapsed="false">
      <c r="A31" s="14" t="n">
        <f aca="false">[4]'retirement benefit values'!b32</f>
        <v>6583.1338423762</v>
      </c>
      <c r="B31" s="12" t="n">
        <v>463.3670776091</v>
      </c>
      <c r="C31" s="12" t="n">
        <v>470.2620833352</v>
      </c>
      <c r="D31" s="12" t="n">
        <v>390.367690607</v>
      </c>
      <c r="E31" s="12" t="n">
        <v>657.5066694313</v>
      </c>
      <c r="F31" s="12" t="n">
        <f aca="false">F27+1</f>
        <v>2021</v>
      </c>
      <c r="G31" s="10" t="n">
        <f aca="false">A31*[4]'inflation indexes'!i124</f>
        <v>6105.0885071093</v>
      </c>
      <c r="H31" s="12" t="n">
        <f aca="false">B31*[4]'inflation indexes'!i124</f>
        <v>429.718897992668</v>
      </c>
      <c r="I31" s="12" t="n">
        <f aca="false">D31*[4]'inflation indexes'!i124</f>
        <v>362.020484245747</v>
      </c>
      <c r="J31" s="1" t="n">
        <f aca="false">E31*[4]'inflation indexes'!i124</f>
        <v>609.760716856978</v>
      </c>
      <c r="K31" s="12" t="n">
        <f aca="false">C31*[4]'inflation indexes'!i124</f>
        <v>436.113211282168</v>
      </c>
      <c r="R31" s="12" t="n">
        <f aca="false">R27+1</f>
        <v>2021</v>
      </c>
      <c r="S31" s="9" t="n">
        <f aca="false">[4]'retirement benefit values'!p32</f>
        <v>6811.2752170879</v>
      </c>
      <c r="T31" s="12" t="n">
        <v>470.4875882791</v>
      </c>
      <c r="U31" s="12" t="n">
        <v>478.2976230428</v>
      </c>
      <c r="V31" s="12" t="n">
        <v>397.6977376934</v>
      </c>
      <c r="W31" s="12" t="n">
        <v>684.5507214791</v>
      </c>
      <c r="X31" s="12" t="n">
        <f aca="false">X27+1</f>
        <v>2021</v>
      </c>
      <c r="Y31" s="1" t="n">
        <f aca="false">S31*[4]'inflation indexes'!i124</f>
        <v>6316.66301221548</v>
      </c>
      <c r="Z31" s="1" t="n">
        <f aca="false">T31*[4]'inflation indexes'!i124</f>
        <v>436.32234080532</v>
      </c>
      <c r="AA31" s="1" t="n">
        <f aca="false">V31*[4]'inflation indexes'!i124</f>
        <v>368.81824763553</v>
      </c>
      <c r="AB31" s="1" t="n">
        <f aca="false">W31*[4]'inflation indexes'!i124</f>
        <v>634.84091958351</v>
      </c>
      <c r="AC31" s="1" t="n">
        <f aca="false">U31*[4]'inflation indexes'!i124</f>
        <v>443.565236759989</v>
      </c>
      <c r="AE31" s="1" t="n">
        <v>10004.195118992</v>
      </c>
      <c r="AF31" s="1" t="n">
        <v>511.123650532032</v>
      </c>
      <c r="AG31" s="1" t="n">
        <v>433.27086364952</v>
      </c>
      <c r="AH31" s="1" t="n">
        <v>765.062043837338</v>
      </c>
      <c r="AI31" s="1" t="n">
        <v>505.967152390014</v>
      </c>
      <c r="AJ31" s="12" t="n">
        <f aca="false">AJ27+1</f>
        <v>2021</v>
      </c>
      <c r="AK31" s="14" t="n">
        <f aca="false">[4]'retirement benefit values'!aj32</f>
        <v>7011.2155316183</v>
      </c>
      <c r="AL31" s="12" t="n">
        <v>480.3075362114</v>
      </c>
      <c r="AM31" s="12" t="n">
        <v>487.1171927829</v>
      </c>
      <c r="AN31" s="12" t="n">
        <v>412.2375444062</v>
      </c>
      <c r="AO31" s="12" t="n">
        <v>680.9005518036</v>
      </c>
      <c r="AP31" s="12" t="n">
        <f aca="false">AP27+1</f>
        <v>2021</v>
      </c>
      <c r="AQ31" s="1" t="n">
        <f aca="false">AK31*[4]'inflation indexes'!i124</f>
        <v>6502.08432455307</v>
      </c>
      <c r="AR31" s="1" t="n">
        <f aca="false">AL31*[4]'inflation indexes'!i124</f>
        <v>445.429196703644</v>
      </c>
      <c r="AS31" s="1" t="n">
        <f aca="false">AN31*[4]'inflation indexes'!i124</f>
        <v>382.302221831301</v>
      </c>
      <c r="AT31" s="1" t="n">
        <f aca="false">AO31*[4]'inflation indexes'!i124</f>
        <v>631.455813117734</v>
      </c>
      <c r="AU31" s="1" t="n">
        <f aca="false">AM31*[4]'inflation indexes'!i124</f>
        <v>451.744358610943</v>
      </c>
    </row>
    <row r="32" customFormat="false" ht="15" hidden="false" customHeight="false" outlineLevel="0" collapsed="false">
      <c r="A32" s="11" t="n">
        <f aca="false">[4]'retirement benefit values'!b33</f>
        <v>6595.7292128006</v>
      </c>
      <c r="B32" s="12" t="n">
        <v>595.4186101725</v>
      </c>
      <c r="C32" s="12" t="n">
        <v>582.4928881273</v>
      </c>
      <c r="D32" s="12" t="n">
        <v>500.2126766564</v>
      </c>
      <c r="E32" s="12" t="n">
        <v>768.0040962448</v>
      </c>
      <c r="F32" s="12" t="n">
        <f aca="false">F28+1</f>
        <v>2022</v>
      </c>
      <c r="G32" s="10" t="n">
        <f aca="false">A32*[4]'inflation indexes'!i125</f>
        <v>6116.76924352784</v>
      </c>
      <c r="H32" s="12" t="n">
        <f aca="false">B32*[4]'inflation indexes'!i125</f>
        <v>552.181286438957</v>
      </c>
      <c r="I32" s="12" t="n">
        <f aca="false">D32*[4]'inflation indexes'!i125</f>
        <v>463.888891899405</v>
      </c>
      <c r="J32" s="1" t="n">
        <f aca="false">E32*[4]'inflation indexes'!i125</f>
        <v>712.234187191397</v>
      </c>
      <c r="K32" s="12" t="n">
        <f aca="false">C32*[4]'inflation indexes'!i125</f>
        <v>540.194187438132</v>
      </c>
      <c r="R32" s="12" t="n">
        <f aca="false">R28+1</f>
        <v>2022</v>
      </c>
      <c r="S32" s="13" t="n">
        <f aca="false">[4]'retirement benefit values'!p33</f>
        <v>6790.3792754269</v>
      </c>
      <c r="T32" s="12" t="n">
        <v>612.5074200502</v>
      </c>
      <c r="U32" s="12" t="n">
        <v>603.377960317</v>
      </c>
      <c r="V32" s="12" t="n">
        <v>521.551950941</v>
      </c>
      <c r="W32" s="12" t="n">
        <v>816.0975675104</v>
      </c>
      <c r="X32" s="12" t="n">
        <f aca="false">X28+1</f>
        <v>2022</v>
      </c>
      <c r="Y32" s="1" t="n">
        <f aca="false">S32*[4]'inflation indexes'!i125</f>
        <v>6297.28446450032</v>
      </c>
      <c r="Z32" s="1" t="n">
        <f aca="false">T32*[4]'inflation indexes'!i125</f>
        <v>568.029163647977</v>
      </c>
      <c r="AA32" s="1" t="n">
        <f aca="false">V32*[4]'inflation indexes'!i125</f>
        <v>483.678578894124</v>
      </c>
      <c r="AB32" s="1" t="n">
        <f aca="false">W32*[4]'inflation indexes'!i125</f>
        <v>756.835270158993</v>
      </c>
      <c r="AC32" s="1" t="n">
        <f aca="false">U32*[4]'inflation indexes'!i125</f>
        <v>559.562654986935</v>
      </c>
      <c r="AF32" s="1" t="n">
        <f aca="false">(AF29-AF31)/AF31</f>
        <v>-0.0524887240068161</v>
      </c>
      <c r="AG32" s="1" t="n">
        <f aca="false">(AG29-AG31)/AG31</f>
        <v>-0.091987440188233</v>
      </c>
      <c r="AH32" s="1" t="n">
        <f aca="false">(AH29-AH31)/AH31</f>
        <v>-0.0138820751677227</v>
      </c>
      <c r="AI32" s="1" t="n">
        <f aca="false">(AI29-AI31)/AI31</f>
        <v>-0.0821687267330193</v>
      </c>
      <c r="AJ32" s="12" t="n">
        <f aca="false">AJ28+1</f>
        <v>2022</v>
      </c>
      <c r="AK32" s="11" t="n">
        <f aca="false">[4]'retirement benefit values'!aj33</f>
        <v>7037.1149871301</v>
      </c>
      <c r="AL32" s="12" t="n">
        <v>618.661784287</v>
      </c>
      <c r="AM32" s="12" t="n">
        <v>610.5152842999</v>
      </c>
      <c r="AN32" s="12" t="n">
        <v>527.9409871565</v>
      </c>
      <c r="AO32" s="12" t="n">
        <v>816.653593597</v>
      </c>
      <c r="AP32" s="12" t="n">
        <f aca="false">AP28+1</f>
        <v>2022</v>
      </c>
      <c r="AQ32" s="1" t="n">
        <f aca="false">AK32*[4]'inflation indexes'!i125</f>
        <v>6526.10304754601</v>
      </c>
      <c r="AR32" s="1" t="n">
        <f aca="false">AL32*[4]'inflation indexes'!i125</f>
        <v>573.73661837551</v>
      </c>
      <c r="AS32" s="1" t="n">
        <f aca="false">AN32*[4]'inflation indexes'!i125</f>
        <v>489.60366449996</v>
      </c>
      <c r="AT32" s="1" t="n">
        <f aca="false">AO32*[4]'inflation indexes'!i125</f>
        <v>757.350919476207</v>
      </c>
      <c r="AU32" s="1" t="n">
        <f aca="false">AM32*[4]'inflation indexes'!i125</f>
        <v>566.181690185495</v>
      </c>
    </row>
    <row r="33" customFormat="false" ht="15" hidden="false" customHeight="false" outlineLevel="0" collapsed="false">
      <c r="A33" s="14" t="n">
        <f aca="false">[4]'retirement benefit values'!b34</f>
        <v>6599.600031138</v>
      </c>
      <c r="B33" s="12" t="n">
        <v>464.6598246536</v>
      </c>
      <c r="C33" s="12" t="n">
        <v>467.1599668659</v>
      </c>
      <c r="D33" s="12" t="n">
        <v>384.1724615105</v>
      </c>
      <c r="E33" s="12" t="n">
        <v>660.5166166313</v>
      </c>
      <c r="F33" s="12" t="n">
        <f aca="false">F29+1</f>
        <v>2022</v>
      </c>
      <c r="G33" s="10" t="n">
        <f aca="false">A33*[4]'inflation indexes'!i126</f>
        <v>6120.35897588185</v>
      </c>
      <c r="H33" s="12" t="n">
        <f aca="false">B33*[4]'inflation indexes'!i126</f>
        <v>430.917770036431</v>
      </c>
      <c r="I33" s="12" t="n">
        <f aca="false">D33*[4]'inflation indexes'!i126</f>
        <v>356.275132129026</v>
      </c>
      <c r="J33" s="1" t="n">
        <f aca="false">E33*[4]'inflation indexes'!i126</f>
        <v>612.552091679017</v>
      </c>
      <c r="K33" s="12" t="n">
        <f aca="false">C33*[4]'inflation indexes'!i126</f>
        <v>433.236360217326</v>
      </c>
      <c r="R33" s="12" t="n">
        <f aca="false">R29+1</f>
        <v>2022</v>
      </c>
      <c r="S33" s="9" t="n">
        <f aca="false">[4]'retirement benefit values'!p34</f>
        <v>6833.5253451763</v>
      </c>
      <c r="T33" s="12" t="n">
        <v>470.5799484833</v>
      </c>
      <c r="U33" s="12" t="n">
        <v>478.5967400439</v>
      </c>
      <c r="V33" s="12" t="n">
        <v>393.4583617993</v>
      </c>
      <c r="W33" s="12" t="n">
        <v>696.1305453598</v>
      </c>
      <c r="X33" s="12" t="n">
        <f aca="false">X29+1</f>
        <v>2022</v>
      </c>
      <c r="Y33" s="1" t="n">
        <f aca="false">S33*[4]'inflation indexes'!i126</f>
        <v>6337.29740983319</v>
      </c>
      <c r="Z33" s="1" t="n">
        <f aca="false">T33*[4]'inflation indexes'!i126</f>
        <v>436.407994117964</v>
      </c>
      <c r="AA33" s="1" t="n">
        <f aca="false">V33*[4]'inflation indexes'!i126</f>
        <v>364.886721151626</v>
      </c>
      <c r="AB33" s="1" t="n">
        <f aca="false">W33*[4]'inflation indexes'!i126</f>
        <v>645.579855078537</v>
      </c>
      <c r="AC33" s="1" t="n">
        <f aca="false">U33*[4]'inflation indexes'!i126</f>
        <v>443.842632877009</v>
      </c>
      <c r="AJ33" s="12" t="n">
        <f aca="false">AJ29+1</f>
        <v>2022</v>
      </c>
      <c r="AK33" s="14" t="n">
        <f aca="false">[4]'retirement benefit values'!aj34</f>
        <v>7070.8724222732</v>
      </c>
      <c r="AL33" s="12" t="n">
        <v>486.0953716554</v>
      </c>
      <c r="AM33" s="12" t="n">
        <v>486.5876483097</v>
      </c>
      <c r="AN33" s="12" t="n">
        <v>410.0773557126</v>
      </c>
      <c r="AO33" s="12" t="n">
        <v>715.7247881039</v>
      </c>
      <c r="AP33" s="12" t="n">
        <f aca="false">AP29+1</f>
        <v>2022</v>
      </c>
      <c r="AQ33" s="1" t="n">
        <f aca="false">AK33*[4]'inflation indexes'!i126</f>
        <v>6557.40912976402</v>
      </c>
      <c r="AR33" s="1" t="n">
        <f aca="false">AL33*[4]'inflation indexes'!i126</f>
        <v>450.796738743082</v>
      </c>
      <c r="AS33" s="1" t="n">
        <f aca="false">AN33*[4]'inflation indexes'!i126</f>
        <v>380.298898872623</v>
      </c>
      <c r="AT33" s="1" t="n">
        <f aca="false">AO33*[4]'inflation indexes'!i126</f>
        <v>663.751228932808</v>
      </c>
      <c r="AU33" s="1" t="n">
        <f aca="false">AM33*[4]'inflation indexes'!i126</f>
        <v>451.253267900235</v>
      </c>
    </row>
    <row r="34" customFormat="false" ht="15" hidden="false" customHeight="false" outlineLevel="0" collapsed="false">
      <c r="A34" s="14" t="n">
        <f aca="false">[4]'retirement benefit values'!b35</f>
        <v>6571.287946041</v>
      </c>
      <c r="B34" s="12" t="n">
        <v>465.6011597504</v>
      </c>
      <c r="C34" s="12" t="n">
        <v>465.1936887158</v>
      </c>
      <c r="D34" s="12" t="n">
        <v>386.510478282</v>
      </c>
      <c r="E34" s="12" t="n">
        <v>667.2965374413</v>
      </c>
      <c r="F34" s="12" t="n">
        <f aca="false">F30+1</f>
        <v>2022</v>
      </c>
      <c r="G34" s="10" t="n">
        <f aca="false">A34*[4]'inflation indexes'!i127</f>
        <v>6094.10282045853</v>
      </c>
      <c r="H34" s="12" t="n">
        <f aca="false">B34*[4]'inflation indexes'!i127</f>
        <v>431.79074850207</v>
      </c>
      <c r="I34" s="12" t="n">
        <f aca="false">D34*[4]'inflation indexes'!i127</f>
        <v>358.443369880662</v>
      </c>
      <c r="J34" s="1" t="n">
        <f aca="false">E34*[4]'inflation indexes'!i127</f>
        <v>618.839677137147</v>
      </c>
      <c r="K34" s="12" t="n">
        <f aca="false">C34*[4]'inflation indexes'!i127</f>
        <v>431.412866661919</v>
      </c>
      <c r="R34" s="12" t="n">
        <f aca="false">R30+1</f>
        <v>2022</v>
      </c>
      <c r="S34" s="9" t="n">
        <f aca="false">[4]'retirement benefit values'!p35</f>
        <v>6861.7587135671</v>
      </c>
      <c r="T34" s="12" t="n">
        <v>473.3692202435</v>
      </c>
      <c r="U34" s="12" t="n">
        <v>477.8427479065</v>
      </c>
      <c r="V34" s="12" t="n">
        <v>395.599557091</v>
      </c>
      <c r="W34" s="12" t="n">
        <v>676.4220725902</v>
      </c>
      <c r="X34" s="12" t="n">
        <f aca="false">X30+1</f>
        <v>2022</v>
      </c>
      <c r="Y34" s="1" t="n">
        <f aca="false">S34*[4]'inflation indexes'!i127</f>
        <v>6363.48056469633</v>
      </c>
      <c r="Z34" s="1" t="n">
        <f aca="false">T34*[4]'inflation indexes'!i127</f>
        <v>438.994718218389</v>
      </c>
      <c r="AA34" s="1" t="n">
        <f aca="false">V34*[4]'inflation indexes'!i127</f>
        <v>366.872429946226</v>
      </c>
      <c r="AB34" s="1" t="n">
        <f aca="false">W34*[4]'inflation indexes'!i127</f>
        <v>627.302546204178</v>
      </c>
      <c r="AC34" s="1" t="n">
        <f aca="false">U34*[4]'inflation indexes'!i127</f>
        <v>443.143393146706</v>
      </c>
      <c r="AJ34" s="12" t="n">
        <f aca="false">AJ30+1</f>
        <v>2022</v>
      </c>
      <c r="AK34" s="14" t="n">
        <f aca="false">[4]'retirement benefit values'!aj35</f>
        <v>7095.8079126585</v>
      </c>
      <c r="AL34" s="12" t="n">
        <v>477.682405962</v>
      </c>
      <c r="AM34" s="12" t="n">
        <v>480.5771840294</v>
      </c>
      <c r="AN34" s="12" t="n">
        <v>403.0766757904</v>
      </c>
      <c r="AO34" s="12" t="n">
        <v>677.8888341265</v>
      </c>
      <c r="AP34" s="12" t="n">
        <f aca="false">AP30+1</f>
        <v>2022</v>
      </c>
      <c r="AQ34" s="1" t="n">
        <f aca="false">AK34*[4]'inflation indexes'!i127</f>
        <v>6580.53388757929</v>
      </c>
      <c r="AR34" s="1" t="n">
        <f aca="false">AL34*[4]'inflation indexes'!i127</f>
        <v>442.994694702163</v>
      </c>
      <c r="AS34" s="1" t="n">
        <f aca="false">AN34*[4]'inflation indexes'!i127</f>
        <v>373.806585096491</v>
      </c>
      <c r="AT34" s="1" t="n">
        <f aca="false">AO34*[4]'inflation indexes'!i127</f>
        <v>628.662796384767</v>
      </c>
      <c r="AU34" s="1" t="n">
        <f aca="false">AM34*[4]'inflation indexes'!i127</f>
        <v>445.679263591854</v>
      </c>
    </row>
    <row r="35" customFormat="false" ht="15" hidden="false" customHeight="false" outlineLevel="0" collapsed="false">
      <c r="A35" s="14" t="n">
        <f aca="false">[4]'retirement benefit values'!b36</f>
        <v>6558.1990926209</v>
      </c>
      <c r="B35" s="12" t="n">
        <v>464.0167159568</v>
      </c>
      <c r="C35" s="12" t="n">
        <v>459.1502450297</v>
      </c>
      <c r="D35" s="12" t="n">
        <v>384.755223703</v>
      </c>
      <c r="E35" s="12" t="n">
        <v>649.1795531419</v>
      </c>
      <c r="F35" s="12" t="n">
        <f aca="false">F31+1</f>
        <v>2022</v>
      </c>
      <c r="G35" s="10" t="n">
        <f aca="false">A35*[4]'inflation indexes'!i128</f>
        <v>6081.96443614194</v>
      </c>
      <c r="H35" s="12" t="n">
        <f aca="false">B35*[4]'inflation indexes'!i128</f>
        <v>430.321361759209</v>
      </c>
      <c r="I35" s="12" t="n">
        <f aca="false">D35*[4]'inflation indexes'!i128</f>
        <v>356.815576064847</v>
      </c>
      <c r="J35" s="1" t="n">
        <f aca="false">E35*[4]'inflation indexes'!i128</f>
        <v>602.038288121209</v>
      </c>
      <c r="K35" s="12" t="n">
        <f aca="false">C35*[4]'inflation indexes'!i128</f>
        <v>425.808277802755</v>
      </c>
      <c r="R35" s="12" t="n">
        <f aca="false">R31+1</f>
        <v>2022</v>
      </c>
      <c r="S35" s="9" t="n">
        <f aca="false">[4]'retirement benefit values'!p36</f>
        <v>6884.8304306481</v>
      </c>
      <c r="T35" s="12" t="n">
        <v>465.8696605445</v>
      </c>
      <c r="U35" s="12" t="n">
        <v>469.5078729121</v>
      </c>
      <c r="V35" s="12" t="n">
        <v>393.1574009302</v>
      </c>
      <c r="W35" s="12" t="n">
        <v>658.8941068403</v>
      </c>
      <c r="X35" s="12" t="n">
        <f aca="false">X31+1</f>
        <v>2022</v>
      </c>
      <c r="Y35" s="1" t="n">
        <f aca="false">S35*[4]'inflation indexes'!i128</f>
        <v>6384.87689024022</v>
      </c>
      <c r="Z35" s="1" t="n">
        <f aca="false">T35*[4]'inflation indexes'!i128</f>
        <v>432.03975165945</v>
      </c>
      <c r="AA35" s="1" t="n">
        <f aca="false">V35*[4]'inflation indexes'!i128</f>
        <v>364.607615062182</v>
      </c>
      <c r="AB35" s="1" t="n">
        <f aca="false">W35*[4]'inflation indexes'!i128</f>
        <v>611.047403165176</v>
      </c>
      <c r="AC35" s="1" t="n">
        <f aca="false">U35*[4]'inflation indexes'!i128</f>
        <v>435.413769117349</v>
      </c>
      <c r="AJ35" s="12" t="n">
        <f aca="false">AJ31+1</f>
        <v>2022</v>
      </c>
      <c r="AK35" s="14" t="n">
        <f aca="false">[4]'retirement benefit values'!aj36</f>
        <v>7149.0552233905</v>
      </c>
      <c r="AL35" s="12" t="n">
        <v>480.2308678074</v>
      </c>
      <c r="AM35" s="12" t="n">
        <v>481.0835530917</v>
      </c>
      <c r="AN35" s="12" t="n">
        <v>404.7889305642</v>
      </c>
      <c r="AO35" s="12" t="n">
        <v>695.3102741717</v>
      </c>
      <c r="AP35" s="12" t="n">
        <f aca="false">AP31+1</f>
        <v>2022</v>
      </c>
      <c r="AQ35" s="1" t="n">
        <f aca="false">AK35*[4]'inflation indexes'!i128</f>
        <v>6629.91455529287</v>
      </c>
      <c r="AR35" s="1" t="n">
        <f aca="false">AL35*[4]'inflation indexes'!i128</f>
        <v>445.358095704739</v>
      </c>
      <c r="AS35" s="1" t="n">
        <f aca="false">AN35*[4]'inflation indexes'!i128</f>
        <v>375.394501610277</v>
      </c>
      <c r="AT35" s="1" t="n">
        <f aca="false">AO35*[4]'inflation indexes'!i128</f>
        <v>644.819149262267</v>
      </c>
      <c r="AU35" s="1" t="n">
        <f aca="false">AM35*[4]'inflation indexes'!i128</f>
        <v>446.1488618131</v>
      </c>
    </row>
    <row r="36" customFormat="false" ht="15" hidden="false" customHeight="false" outlineLevel="0" collapsed="false">
      <c r="A36" s="11" t="n">
        <f aca="false">[4]'retirement benefit values'!b37</f>
        <v>6574.6837304042</v>
      </c>
      <c r="B36" s="12" t="n">
        <v>598.1033640324</v>
      </c>
      <c r="C36" s="12" t="n">
        <v>582.5551211301</v>
      </c>
      <c r="D36" s="12" t="n">
        <v>495.6960944789</v>
      </c>
      <c r="E36" s="12" t="n">
        <v>816.2677552068</v>
      </c>
      <c r="F36" s="12" t="n">
        <f aca="false">F32+1</f>
        <v>2023</v>
      </c>
      <c r="G36" s="10" t="n">
        <f aca="false">A36*[4]'inflation indexes'!i129</f>
        <v>6097.25201422927</v>
      </c>
      <c r="H36" s="12" t="n">
        <f aca="false">B36*[4]'inflation indexes'!i129</f>
        <v>554.671082382187</v>
      </c>
      <c r="I36" s="12" t="n">
        <f aca="false">D36*[4]'inflation indexes'!i129</f>
        <v>459.700288932567</v>
      </c>
      <c r="J36" s="1" t="n">
        <f aca="false">E36*[4]'inflation indexes'!i129</f>
        <v>756.993099389602</v>
      </c>
      <c r="K36" s="12" t="n">
        <f aca="false">C36*[4]'inflation indexes'!i129</f>
        <v>540.251901286773</v>
      </c>
      <c r="R36" s="12" t="n">
        <f aca="false">R32+1</f>
        <v>2023</v>
      </c>
      <c r="S36" s="13" t="n">
        <f aca="false">[4]'retirement benefit values'!p37</f>
        <v>6906.0830894496</v>
      </c>
      <c r="T36" s="12" t="n">
        <v>611.2568787753</v>
      </c>
      <c r="U36" s="12" t="n">
        <v>597.4875004159</v>
      </c>
      <c r="V36" s="12" t="n">
        <v>507.9276630146</v>
      </c>
      <c r="W36" s="12" t="n">
        <v>840.3427328929</v>
      </c>
      <c r="X36" s="12" t="n">
        <f aca="false">X32+1</f>
        <v>2023</v>
      </c>
      <c r="Y36" s="1" t="n">
        <f aca="false">S36*[4]'inflation indexes'!i129</f>
        <v>6404.58625148081</v>
      </c>
      <c r="Z36" s="1" t="n">
        <f aca="false">T36*[4]'inflation indexes'!i129</f>
        <v>566.869432530874</v>
      </c>
      <c r="AA36" s="1" t="n">
        <f aca="false">V36*[4]'inflation indexes'!i129</f>
        <v>471.043641548388</v>
      </c>
      <c r="AB36" s="1" t="n">
        <f aca="false">W36*[4]'inflation indexes'!i129</f>
        <v>779.319832082503</v>
      </c>
      <c r="AC36" s="1" t="n">
        <f aca="false">U36*[4]'inflation indexes'!i129</f>
        <v>554.099940737939</v>
      </c>
      <c r="AJ36" s="12" t="n">
        <f aca="false">AJ32+1</f>
        <v>2023</v>
      </c>
      <c r="AK36" s="11" t="n">
        <f aca="false">[4]'retirement benefit values'!aj37</f>
        <v>7172.7090986533</v>
      </c>
      <c r="AL36" s="12" t="n">
        <v>622.4212743015</v>
      </c>
      <c r="AM36" s="12" t="n">
        <v>609.5507368293</v>
      </c>
      <c r="AN36" s="12" t="n">
        <v>527.4826045188</v>
      </c>
      <c r="AO36" s="12" t="n">
        <v>835.9381331732</v>
      </c>
      <c r="AP36" s="12" t="n">
        <f aca="false">AP32+1</f>
        <v>2023</v>
      </c>
      <c r="AQ36" s="1" t="n">
        <f aca="false">AK36*[4]'inflation indexes'!i129</f>
        <v>6651.85076462314</v>
      </c>
      <c r="AR36" s="1" t="n">
        <f aca="false">AL36*[4]'inflation indexes'!i129</f>
        <v>577.223106700017</v>
      </c>
      <c r="AS36" s="1" t="n">
        <f aca="false">AN36*[4]'inflation indexes'!i129</f>
        <v>489.178568088389</v>
      </c>
      <c r="AT36" s="1" t="n">
        <f aca="false">AO36*[4]'inflation indexes'!i129</f>
        <v>775.235079778963</v>
      </c>
      <c r="AU36" s="1" t="n">
        <f aca="false">AM36*[4]'inflation indexes'!i129</f>
        <v>565.287184951617</v>
      </c>
    </row>
    <row r="37" customFormat="false" ht="15" hidden="false" customHeight="false" outlineLevel="0" collapsed="false">
      <c r="A37" s="14" t="n">
        <f aca="false">[4]'retirement benefit values'!b38</f>
        <v>6566.7158093975</v>
      </c>
      <c r="B37" s="12" t="n">
        <v>464.2230164216</v>
      </c>
      <c r="C37" s="12" t="n">
        <v>465.4393581597</v>
      </c>
      <c r="D37" s="12" t="n">
        <v>384.0415973</v>
      </c>
      <c r="E37" s="12" t="n">
        <v>669.6375946601</v>
      </c>
      <c r="F37" s="12" t="n">
        <f aca="false">F33+1</f>
        <v>2023</v>
      </c>
      <c r="G37" s="10" t="n">
        <f aca="false">A37*[4]'inflation indexes'!i130</f>
        <v>6089.86269720667</v>
      </c>
      <c r="H37" s="12" t="n">
        <f aca="false">B37*[4]'inflation indexes'!i130</f>
        <v>430.512681368808</v>
      </c>
      <c r="I37" s="12" t="n">
        <f aca="false">D37*[4]'inflation indexes'!i130</f>
        <v>356.153770843255</v>
      </c>
      <c r="J37" s="1" t="n">
        <f aca="false">E37*[4]'inflation indexes'!i130</f>
        <v>621.010734548889</v>
      </c>
      <c r="K37" s="12" t="n">
        <f aca="false">C37*[4]'inflation indexes'!i130</f>
        <v>431.640696405991</v>
      </c>
      <c r="R37" s="12" t="n">
        <f aca="false">R33+1</f>
        <v>2023</v>
      </c>
      <c r="S37" s="9" t="n">
        <f aca="false">[4]'retirement benefit values'!p38</f>
        <v>6919.8330447015</v>
      </c>
      <c r="T37" s="12" t="n">
        <v>474.7776604541</v>
      </c>
      <c r="U37" s="12" t="n">
        <v>477.0552426162</v>
      </c>
      <c r="V37" s="12" t="n">
        <v>388.7405668537</v>
      </c>
      <c r="W37" s="12" t="n">
        <v>709.9867239389</v>
      </c>
      <c r="X37" s="12" t="n">
        <f aca="false">X33+1</f>
        <v>2023</v>
      </c>
      <c r="Y37" s="1" t="n">
        <f aca="false">S37*[4]'inflation indexes'!i130</f>
        <v>6417.33773060786</v>
      </c>
      <c r="Z37" s="1" t="n">
        <f aca="false">T37*[4]'inflation indexes'!i130</f>
        <v>440.300882174427</v>
      </c>
      <c r="AA37" s="1" t="n">
        <f aca="false">V37*[4]'inflation indexes'!i130</f>
        <v>360.511516820237</v>
      </c>
      <c r="AB37" s="1" t="n">
        <f aca="false">W37*[4]'inflation indexes'!i130</f>
        <v>658.429843947241</v>
      </c>
      <c r="AC37" s="1" t="n">
        <f aca="false">U37*[4]'inflation indexes'!i130</f>
        <v>442.413073877462</v>
      </c>
      <c r="AJ37" s="12" t="n">
        <f aca="false">AJ33+1</f>
        <v>2023</v>
      </c>
      <c r="AK37" s="14" t="n">
        <f aca="false">[4]'retirement benefit values'!aj38</f>
        <v>7177.9215366361</v>
      </c>
      <c r="AL37" s="12" t="n">
        <v>479.0276467279</v>
      </c>
      <c r="AM37" s="12" t="n">
        <v>482.6871939249</v>
      </c>
      <c r="AN37" s="12" t="n">
        <v>401.2145152505</v>
      </c>
      <c r="AO37" s="12" t="n">
        <v>688.6794718671</v>
      </c>
      <c r="AP37" s="12" t="n">
        <f aca="false">AP33+1</f>
        <v>2023</v>
      </c>
      <c r="AQ37" s="1" t="n">
        <f aca="false">AK37*[4]'inflation indexes'!i130</f>
        <v>6656.6846926557</v>
      </c>
      <c r="AR37" s="1" t="n">
        <f aca="false">AL37*[4]'inflation indexes'!i130</f>
        <v>444.242248547465</v>
      </c>
      <c r="AS37" s="1" t="n">
        <f aca="false">AN37*[4]'inflation indexes'!i130</f>
        <v>372.079648475918</v>
      </c>
      <c r="AT37" s="1" t="n">
        <f aca="false">AO37*[4]'inflation indexes'!i130</f>
        <v>638.669853818486</v>
      </c>
      <c r="AU37" s="1" t="n">
        <f aca="false">AM37*[4]'inflation indexes'!i130</f>
        <v>447.636051570246</v>
      </c>
    </row>
    <row r="38" customFormat="false" ht="15" hidden="false" customHeight="false" outlineLevel="0" collapsed="false">
      <c r="A38" s="14" t="n">
        <f aca="false">[4]'retirement benefit values'!b39</f>
        <v>6552.9239366691</v>
      </c>
      <c r="B38" s="12" t="n">
        <v>461.9729539803</v>
      </c>
      <c r="C38" s="12" t="n">
        <v>466.2904110391</v>
      </c>
      <c r="D38" s="12" t="n">
        <v>384.9231956112</v>
      </c>
      <c r="E38" s="12" t="n">
        <v>680.717579242</v>
      </c>
      <c r="F38" s="12" t="n">
        <f aca="false">F34+1</f>
        <v>2023</v>
      </c>
      <c r="G38" s="10" t="n">
        <f aca="false">A38*[4]'inflation indexes'!i131</f>
        <v>6077.07234451117</v>
      </c>
      <c r="H38" s="12" t="n">
        <f aca="false">B38*[4]'inflation indexes'!i131</f>
        <v>428.426010995766</v>
      </c>
      <c r="I38" s="12" t="n">
        <f aca="false">D38*[4]'inflation indexes'!i131</f>
        <v>356.971350410443</v>
      </c>
      <c r="J38" s="1" t="n">
        <f aca="false">E38*[4]'inflation indexes'!i131</f>
        <v>631.286127416412</v>
      </c>
      <c r="K38" s="12" t="n">
        <f aca="false">C38*[4]'inflation indexes'!i131</f>
        <v>432.42994864928</v>
      </c>
      <c r="R38" s="12" t="n">
        <f aca="false">R34+1</f>
        <v>2023</v>
      </c>
      <c r="S38" s="9" t="n">
        <f aca="false">[4]'retirement benefit values'!p39</f>
        <v>6918.3859419097</v>
      </c>
      <c r="T38" s="12" t="n">
        <v>471.5607838878</v>
      </c>
      <c r="U38" s="12" t="n">
        <v>478.2529034433</v>
      </c>
      <c r="V38" s="12" t="n">
        <v>398.2712116289</v>
      </c>
      <c r="W38" s="12" t="n">
        <v>693.3216809033</v>
      </c>
      <c r="X38" s="12" t="n">
        <f aca="false">X34+1</f>
        <v>2023</v>
      </c>
      <c r="Y38" s="1" t="n">
        <f aca="false">S38*[4]'inflation indexes'!i131</f>
        <v>6415.99571161898</v>
      </c>
      <c r="Z38" s="1" t="n">
        <f aca="false">T38*[4]'inflation indexes'!i131</f>
        <v>437.317604510029</v>
      </c>
      <c r="AA38" s="1" t="n">
        <f aca="false">V38*[4]'inflation indexes'!i131</f>
        <v>369.350077796754</v>
      </c>
      <c r="AB38" s="1" t="n">
        <f aca="false">W38*[4]'inflation indexes'!i131</f>
        <v>642.974961038404</v>
      </c>
      <c r="AC38" s="1" t="n">
        <f aca="false">U38*[4]'inflation indexes'!i131</f>
        <v>443.523764549414</v>
      </c>
      <c r="AJ38" s="12" t="n">
        <f aca="false">AJ34+1</f>
        <v>2023</v>
      </c>
      <c r="AK38" s="14" t="n">
        <f aca="false">[4]'retirement benefit values'!aj39</f>
        <v>7212.8207161877</v>
      </c>
      <c r="AL38" s="12" t="n">
        <v>484.7511794166</v>
      </c>
      <c r="AM38" s="12" t="n">
        <v>486.7000659236</v>
      </c>
      <c r="AN38" s="12" t="n">
        <v>406.5549174416</v>
      </c>
      <c r="AO38" s="12" t="n">
        <v>704.8022320455</v>
      </c>
      <c r="AP38" s="12" t="n">
        <f aca="false">AP34+1</f>
        <v>2023</v>
      </c>
      <c r="AQ38" s="1" t="n">
        <f aca="false">AK38*[4]'inflation indexes'!i131</f>
        <v>6689.04960959185</v>
      </c>
      <c r="AR38" s="1" t="n">
        <f aca="false">AL38*[4]'inflation indexes'!i131</f>
        <v>449.550157284322</v>
      </c>
      <c r="AS38" s="1" t="n">
        <f aca="false">AN38*[4]'inflation indexes'!i131</f>
        <v>377.032248380595</v>
      </c>
      <c r="AT38" s="1" t="n">
        <f aca="false">AO38*[4]'inflation indexes'!i131</f>
        <v>653.621832651792</v>
      </c>
      <c r="AU38" s="1" t="n">
        <f aca="false">AM38*[4]'inflation indexes'!i131</f>
        <v>451.357522120041</v>
      </c>
    </row>
    <row r="39" customFormat="false" ht="15" hidden="false" customHeight="false" outlineLevel="0" collapsed="false">
      <c r="A39" s="14" t="n">
        <f aca="false">[4]'retirement benefit values'!b40</f>
        <v>6544.8813402243</v>
      </c>
      <c r="B39" s="12" t="n">
        <v>466.9576028551</v>
      </c>
      <c r="C39" s="12" t="n">
        <v>471.2700283315</v>
      </c>
      <c r="D39" s="12" t="n">
        <v>396.3025651479</v>
      </c>
      <c r="E39" s="12" t="n">
        <v>638.1046055555</v>
      </c>
      <c r="F39" s="12" t="n">
        <f aca="false">F35+1</f>
        <v>2023</v>
      </c>
      <c r="G39" s="10" t="n">
        <f aca="false">A39*[4]'inflation indexes'!i132</f>
        <v>6069.61377473299</v>
      </c>
      <c r="H39" s="12" t="n">
        <f aca="false">B39*[4]'inflation indexes'!i132</f>
        <v>433.0486912095</v>
      </c>
      <c r="I39" s="12" t="n">
        <f aca="false">D39*[4]'inflation indexes'!i132</f>
        <v>367.524387890778</v>
      </c>
      <c r="J39" s="1" t="n">
        <f aca="false">E39*[4]'inflation indexes'!i132</f>
        <v>591.767566479286</v>
      </c>
      <c r="K39" s="12" t="n">
        <f aca="false">C39*[4]'inflation indexes'!i132</f>
        <v>437.047962657433</v>
      </c>
      <c r="R39" s="12" t="n">
        <f aca="false">R35+1</f>
        <v>2023</v>
      </c>
      <c r="S39" s="9" t="n">
        <f aca="false">[4]'retirement benefit values'!p40</f>
        <v>6925.7771413351</v>
      </c>
      <c r="T39" s="12" t="n">
        <v>472.5802311697</v>
      </c>
      <c r="U39" s="12" t="n">
        <v>479.4237413775</v>
      </c>
      <c r="V39" s="12" t="n">
        <v>404.0621511438</v>
      </c>
      <c r="W39" s="12" t="n">
        <v>665.8762711418</v>
      </c>
      <c r="X39" s="12" t="n">
        <f aca="false">X35+1</f>
        <v>2023</v>
      </c>
      <c r="Y39" s="1" t="n">
        <f aca="false">S39*[4]'inflation indexes'!i132</f>
        <v>6422.85018666782</v>
      </c>
      <c r="Z39" s="1" t="n">
        <f aca="false">T39*[4]'inflation indexes'!i132</f>
        <v>438.26302291308</v>
      </c>
      <c r="AA39" s="1" t="n">
        <f aca="false">V39*[4]'inflation indexes'!i132</f>
        <v>374.720498499764</v>
      </c>
      <c r="AB39" s="1" t="n">
        <f aca="false">W39*[4]'inflation indexes'!i132</f>
        <v>617.522545863543</v>
      </c>
      <c r="AC39" s="1" t="n">
        <f aca="false">U39*[4]'inflation indexes'!i132</f>
        <v>444.609580117945</v>
      </c>
      <c r="AJ39" s="12" t="n">
        <f aca="false">AJ35+1</f>
        <v>2023</v>
      </c>
      <c r="AK39" s="14" t="n">
        <f aca="false">[4]'retirement benefit values'!aj40</f>
        <v>7256.7962086913</v>
      </c>
      <c r="AL39" s="12" t="n">
        <v>486.8099183216</v>
      </c>
      <c r="AM39" s="12" t="n">
        <v>490.8686872751</v>
      </c>
      <c r="AN39" s="12" t="n">
        <v>420.3347250984</v>
      </c>
      <c r="AO39" s="12" t="n">
        <v>710.7404385921</v>
      </c>
      <c r="AP39" s="12" t="n">
        <f aca="false">AP35+1</f>
        <v>2023</v>
      </c>
      <c r="AQ39" s="1" t="n">
        <f aca="false">AK39*[4]'inflation indexes'!i132</f>
        <v>6729.83174775073</v>
      </c>
      <c r="AR39" s="1" t="n">
        <f aca="false">AL39*[4]'inflation indexes'!i132</f>
        <v>451.459397401414</v>
      </c>
      <c r="AS39" s="1" t="n">
        <f aca="false">AN39*[4]'inflation indexes'!i132</f>
        <v>389.811412129959</v>
      </c>
      <c r="AT39" s="1" t="n">
        <f aca="false">AO39*[4]'inflation indexes'!i132</f>
        <v>659.128826343326</v>
      </c>
      <c r="AU39" s="1" t="n">
        <f aca="false">AM39*[4]'inflation indexes'!i132</f>
        <v>455.223432021449</v>
      </c>
    </row>
    <row r="40" customFormat="false" ht="15" hidden="false" customHeight="false" outlineLevel="0" collapsed="false">
      <c r="A40" s="11" t="n">
        <f aca="false">[4]'retirement benefit values'!b41</f>
        <v>6518.0081140917</v>
      </c>
      <c r="B40" s="12" t="n">
        <v>600.2948858281</v>
      </c>
      <c r="C40" s="12" t="n">
        <v>591.255006183</v>
      </c>
      <c r="D40" s="12" t="n">
        <v>508.8038218198</v>
      </c>
      <c r="E40" s="12" t="n">
        <v>782.7072688566</v>
      </c>
      <c r="F40" s="12" t="n">
        <f aca="false">F36+1</f>
        <v>2024</v>
      </c>
      <c r="G40" s="10" t="n">
        <f aca="false">A40*[4]'inflation indexes'!i133</f>
        <v>6044.69199311053</v>
      </c>
      <c r="H40" s="12" t="n">
        <f aca="false">B40*[4]'inflation indexes'!i133</f>
        <v>556.703463137062</v>
      </c>
      <c r="I40" s="12" t="n">
        <f aca="false">D40*[4]'inflation indexes'!i133</f>
        <v>471.856176608453</v>
      </c>
      <c r="J40" s="1" t="n">
        <f aca="false">E40*[4]'inflation indexes'!i133</f>
        <v>725.869664196669</v>
      </c>
      <c r="K40" s="12" t="n">
        <f aca="false">C40*[4]'inflation indexes'!i133</f>
        <v>548.320029555369</v>
      </c>
      <c r="R40" s="12" t="n">
        <f aca="false">R36+1</f>
        <v>2024</v>
      </c>
      <c r="S40" s="13" t="n">
        <f aca="false">[4]'retirement benefit values'!p41</f>
        <v>6927.0068672372</v>
      </c>
      <c r="T40" s="12" t="n">
        <v>611.7029532852</v>
      </c>
      <c r="U40" s="12" t="n">
        <v>606.1209412011</v>
      </c>
      <c r="V40" s="12" t="n">
        <v>525.251470299</v>
      </c>
      <c r="W40" s="12" t="n">
        <v>817.2798670364</v>
      </c>
      <c r="X40" s="12" t="n">
        <f aca="false">X36+1</f>
        <v>2024</v>
      </c>
      <c r="Y40" s="1" t="n">
        <f aca="false">S40*[4]'inflation indexes'!i133</f>
        <v>6423.99061395542</v>
      </c>
      <c r="Z40" s="1" t="n">
        <f aca="false">T40*[4]'inflation indexes'!i133</f>
        <v>567.283114590043</v>
      </c>
      <c r="AA40" s="1" t="n">
        <f aca="false">V40*[4]'inflation indexes'!i133</f>
        <v>487.10945143221</v>
      </c>
      <c r="AB40" s="1" t="n">
        <f aca="false">W40*[4]'inflation indexes'!i133</f>
        <v>757.931715016559</v>
      </c>
      <c r="AC40" s="1" t="n">
        <f aca="false">U40*[4]'inflation indexes'!i133</f>
        <v>562.106449701079</v>
      </c>
      <c r="AJ40" s="12" t="n">
        <f aca="false">AJ36+1</f>
        <v>2024</v>
      </c>
      <c r="AK40" s="11" t="n">
        <f aca="false">[4]'retirement benefit values'!aj41</f>
        <v>7272.8825754848</v>
      </c>
      <c r="AL40" s="12" t="n">
        <v>629.1707981271</v>
      </c>
      <c r="AM40" s="12" t="n">
        <v>614.04690506</v>
      </c>
      <c r="AN40" s="12" t="n">
        <v>535.6521967223</v>
      </c>
      <c r="AO40" s="12" t="n">
        <v>849.0767878182</v>
      </c>
      <c r="AP40" s="12" t="n">
        <f aca="false">AP36+1</f>
        <v>2024</v>
      </c>
      <c r="AQ40" s="1" t="n">
        <f aca="false">AK40*[4]'inflation indexes'!i133</f>
        <v>6744.74997596598</v>
      </c>
      <c r="AR40" s="1" t="n">
        <f aca="false">AL40*[4]'inflation indexes'!i133</f>
        <v>583.482502501889</v>
      </c>
      <c r="AS40" s="1" t="n">
        <f aca="false">AN40*[4]'inflation indexes'!i133</f>
        <v>496.754911614675</v>
      </c>
      <c r="AT40" s="1" t="n">
        <f aca="false">AO40*[4]'inflation indexes'!i133</f>
        <v>787.41964892075</v>
      </c>
      <c r="AU40" s="1" t="n">
        <f aca="false">AM40*[4]'inflation indexes'!i133</f>
        <v>569.456856364734</v>
      </c>
    </row>
    <row r="41" customFormat="false" ht="15" hidden="false" customHeight="false" outlineLevel="0" collapsed="false">
      <c r="A41" s="14" t="n">
        <f aca="false">[4]'retirement benefit values'!b42</f>
        <v>6528.7743989791</v>
      </c>
      <c r="B41" s="12" t="n">
        <v>467.7725583794</v>
      </c>
      <c r="C41" s="12" t="n">
        <v>470.9956906529</v>
      </c>
      <c r="D41" s="12" t="n">
        <v>390.6694375023</v>
      </c>
      <c r="E41" s="12" t="n">
        <v>652.5957250622</v>
      </c>
      <c r="F41" s="12" t="n">
        <f aca="false">F37+1</f>
        <v>2024</v>
      </c>
      <c r="G41" s="10" t="n">
        <f aca="false">A41*[4]'inflation indexes'!i134</f>
        <v>6054.67646611444</v>
      </c>
      <c r="H41" s="12" t="n">
        <f aca="false">B41*[4]'inflation indexes'!i134</f>
        <v>433.804467367837</v>
      </c>
      <c r="I41" s="12" t="n">
        <f aca="false">D41*[4]'inflation indexes'!i134</f>
        <v>362.300319282776</v>
      </c>
      <c r="J41" s="1" t="n">
        <f aca="false">E41*[4]'inflation indexes'!i134</f>
        <v>605.206388972308</v>
      </c>
      <c r="K41" s="12" t="n">
        <f aca="false">C41*[4]'inflation indexes'!i134</f>
        <v>436.793546470736</v>
      </c>
      <c r="R41" s="12" t="n">
        <f aca="false">R37+1</f>
        <v>2024</v>
      </c>
      <c r="S41" s="9" t="n">
        <f aca="false">[4]'retirement benefit values'!p42</f>
        <v>6906.3844224662</v>
      </c>
      <c r="T41" s="12" t="n">
        <v>473.8754672707</v>
      </c>
      <c r="U41" s="12" t="n">
        <v>481.8916183087</v>
      </c>
      <c r="V41" s="12" t="n">
        <v>400.8124380894</v>
      </c>
      <c r="W41" s="12" t="n">
        <v>689.4255970227</v>
      </c>
      <c r="X41" s="12" t="n">
        <f aca="false">X37+1</f>
        <v>2024</v>
      </c>
      <c r="Y41" s="1" t="n">
        <f aca="false">S41*[4]'inflation indexes'!i134</f>
        <v>6404.86570269363</v>
      </c>
      <c r="Z41" s="1" t="n">
        <f aca="false">T41*[4]'inflation indexes'!i134</f>
        <v>439.464203266319</v>
      </c>
      <c r="AA41" s="1" t="n">
        <f aca="false">V41*[4]'inflation indexes'!i134</f>
        <v>371.706768824072</v>
      </c>
      <c r="AB41" s="1" t="n">
        <f aca="false">W41*[4]'inflation indexes'!i134</f>
        <v>639.361797841103</v>
      </c>
      <c r="AC41" s="1" t="n">
        <f aca="false">U41*[4]'inflation indexes'!i134</f>
        <v>446.89824801539</v>
      </c>
      <c r="AJ41" s="12" t="n">
        <f aca="false">AJ37+1</f>
        <v>2024</v>
      </c>
      <c r="AK41" s="14" t="n">
        <f aca="false">[4]'retirement benefit values'!aj42</f>
        <v>7284.1601135508</v>
      </c>
      <c r="AL41" s="12" t="n">
        <v>483.4576962449</v>
      </c>
      <c r="AM41" s="12" t="n">
        <v>482.9062641227</v>
      </c>
      <c r="AN41" s="12" t="n">
        <v>405.3775830397</v>
      </c>
      <c r="AO41" s="12" t="n">
        <v>709.3012051038</v>
      </c>
      <c r="AP41" s="12" t="n">
        <f aca="false">AP37+1</f>
        <v>2024</v>
      </c>
      <c r="AQ41" s="1" t="n">
        <f aca="false">AK41*[4]'inflation indexes'!i134</f>
        <v>6755.20857663912</v>
      </c>
      <c r="AR41" s="1" t="n">
        <f aca="false">AL41*[4]'inflation indexes'!i134</f>
        <v>448.350602568473</v>
      </c>
      <c r="AS41" s="1" t="n">
        <f aca="false">AN41*[4]'inflation indexes'!i134</f>
        <v>375.940408096292</v>
      </c>
      <c r="AT41" s="1" t="n">
        <f aca="false">AO41*[4]'inflation indexes'!i134</f>
        <v>657.794105215235</v>
      </c>
      <c r="AU41" s="1" t="n">
        <f aca="false">AM41*[4]'inflation indexes'!i134</f>
        <v>447.839213617208</v>
      </c>
    </row>
    <row r="42" customFormat="false" ht="15" hidden="false" customHeight="false" outlineLevel="0" collapsed="false">
      <c r="A42" s="14" t="n">
        <f aca="false">[4]'retirement benefit values'!b43</f>
        <v>6509.5204656061</v>
      </c>
      <c r="B42" s="12" t="n">
        <v>472.9435781355</v>
      </c>
      <c r="C42" s="12" t="n">
        <v>475.3002331187</v>
      </c>
      <c r="D42" s="12" t="n">
        <v>395.1172998381</v>
      </c>
      <c r="E42" s="12" t="n">
        <v>677.6229194828</v>
      </c>
      <c r="F42" s="12" t="n">
        <f aca="false">F38+1</f>
        <v>2024</v>
      </c>
      <c r="G42" s="10" t="n">
        <f aca="false">A42*[4]'inflation indexes'!i135</f>
        <v>6036.82068949397</v>
      </c>
      <c r="H42" s="12" t="n">
        <f aca="false">B42*[4]'inflation indexes'!i135</f>
        <v>438.599984827893</v>
      </c>
      <c r="I42" s="12" t="n">
        <f aca="false">D42*[4]'inflation indexes'!i135</f>
        <v>366.42519261479</v>
      </c>
      <c r="J42" s="1" t="n">
        <f aca="false">E42*[4]'inflation indexes'!i135</f>
        <v>628.416191580126</v>
      </c>
      <c r="K42" s="12" t="n">
        <f aca="false">C42*[4]'inflation indexes'!i135</f>
        <v>440.785507346141</v>
      </c>
      <c r="R42" s="12" t="n">
        <f aca="false">R38+1</f>
        <v>2024</v>
      </c>
      <c r="S42" s="9" t="n">
        <f aca="false">[4]'retirement benefit values'!p43</f>
        <v>6899.5589574431</v>
      </c>
      <c r="T42" s="12" t="n">
        <v>469.4898676902</v>
      </c>
      <c r="U42" s="12" t="n">
        <v>479.6050185631</v>
      </c>
      <c r="V42" s="12" t="n">
        <v>401.3551787042</v>
      </c>
      <c r="W42" s="12" t="n">
        <v>669.0320913586</v>
      </c>
      <c r="X42" s="12" t="n">
        <f aca="false">X38+1</f>
        <v>2024</v>
      </c>
      <c r="Y42" s="1" t="n">
        <f aca="false">S42*[4]'inflation indexes'!i135</f>
        <v>6398.53588029204</v>
      </c>
      <c r="Z42" s="1" t="n">
        <f aca="false">T42*[4]'inflation indexes'!i135</f>
        <v>435.397071374918</v>
      </c>
      <c r="AA42" s="1" t="n">
        <f aca="false">V42*[4]'inflation indexes'!i135</f>
        <v>372.210097416364</v>
      </c>
      <c r="AB42" s="1" t="n">
        <f aca="false">W42*[4]'inflation indexes'!i135</f>
        <v>620.449200887943</v>
      </c>
      <c r="AC42" s="1" t="n">
        <f aca="false">U42*[4]'inflation indexes'!i135</f>
        <v>444.777693555846</v>
      </c>
      <c r="AJ42" s="12" t="n">
        <f aca="false">AJ38+1</f>
        <v>2024</v>
      </c>
      <c r="AK42" s="14" t="n">
        <f aca="false">[4]'retirement benefit values'!aj43</f>
        <v>7363.8948212955</v>
      </c>
      <c r="AL42" s="12" t="n">
        <v>483.2760484221</v>
      </c>
      <c r="AM42" s="12" t="n">
        <v>483.6660340572</v>
      </c>
      <c r="AN42" s="12" t="n">
        <v>402.4354346593</v>
      </c>
      <c r="AO42" s="12" t="n">
        <v>715.2936826836</v>
      </c>
      <c r="AP42" s="12" t="n">
        <f aca="false">AP38+1</f>
        <v>2024</v>
      </c>
      <c r="AQ42" s="1" t="n">
        <f aca="false">AK42*[4]'inflation indexes'!i135</f>
        <v>6829.15321448567</v>
      </c>
      <c r="AR42" s="1" t="n">
        <f aca="false">AL42*[4]'inflation indexes'!i135</f>
        <v>448.182145407815</v>
      </c>
      <c r="AS42" s="1" t="n">
        <f aca="false">AN42*[4]'inflation indexes'!i135</f>
        <v>373.211908768545</v>
      </c>
      <c r="AT42" s="1" t="n">
        <f aca="false">AO42*[4]'inflation indexes'!i135</f>
        <v>663.351428957622</v>
      </c>
      <c r="AU42" s="1" t="n">
        <f aca="false">AM42*[4]'inflation indexes'!i135</f>
        <v>448.543811580157</v>
      </c>
    </row>
    <row r="43" customFormat="false" ht="15" hidden="false" customHeight="false" outlineLevel="0" collapsed="false">
      <c r="A43" s="14" t="n">
        <f aca="false">[4]'retirement benefit values'!b44</f>
        <v>6487.972534185</v>
      </c>
      <c r="B43" s="12" t="n">
        <v>461.6928389896</v>
      </c>
      <c r="C43" s="12" t="n">
        <v>467.5252942358</v>
      </c>
      <c r="D43" s="12" t="n">
        <v>393.2645737336</v>
      </c>
      <c r="E43" s="12" t="n">
        <v>632.9369987896</v>
      </c>
      <c r="F43" s="12" t="n">
        <f aca="false">F39+1</f>
        <v>2024</v>
      </c>
      <c r="G43" s="10" t="n">
        <f aca="false">A43*[4]'inflation indexes'!i136</f>
        <v>6016.83749735163</v>
      </c>
      <c r="H43" s="12" t="n">
        <f aca="false">B43*[4]'inflation indexes'!i136</f>
        <v>428.166237026204</v>
      </c>
      <c r="I43" s="12" t="n">
        <f aca="false">D43*[4]'inflation indexes'!i136</f>
        <v>364.707005332224</v>
      </c>
      <c r="J43" s="1" t="n">
        <f aca="false">E43*[4]'inflation indexes'!i136</f>
        <v>586.975214169407</v>
      </c>
      <c r="K43" s="12" t="n">
        <f aca="false">C43*[4]'inflation indexes'!i136</f>
        <v>433.575158725865</v>
      </c>
      <c r="R43" s="12" t="n">
        <f aca="false">R39+1</f>
        <v>2024</v>
      </c>
      <c r="S43" s="9" t="n">
        <f aca="false">[4]'retirement benefit values'!p44</f>
        <v>6930.6941152612</v>
      </c>
      <c r="T43" s="12" t="n">
        <v>468.7094860771</v>
      </c>
      <c r="U43" s="12" t="n">
        <v>468.4534780775</v>
      </c>
      <c r="V43" s="12" t="n">
        <v>387.2184595676</v>
      </c>
      <c r="W43" s="12" t="n">
        <v>663.5375933247</v>
      </c>
      <c r="X43" s="12" t="n">
        <f aca="false">X39+1</f>
        <v>2024</v>
      </c>
      <c r="Y43" s="1" t="n">
        <f aca="false">S43*[4]'inflation indexes'!i136</f>
        <v>6427.41010626307</v>
      </c>
      <c r="Z43" s="1" t="n">
        <f aca="false">T43*[4]'inflation indexes'!i136</f>
        <v>434.673358485073</v>
      </c>
      <c r="AA43" s="1" t="n">
        <f aca="false">V43*[4]'inflation indexes'!i136</f>
        <v>359.099939914548</v>
      </c>
      <c r="AB43" s="1" t="n">
        <f aca="false">W43*[4]'inflation indexes'!i136</f>
        <v>615.353695069245</v>
      </c>
      <c r="AC43" s="1" t="n">
        <f aca="false">U43*[4]'inflation indexes'!i136</f>
        <v>434.43594093691</v>
      </c>
      <c r="AJ43" s="12" t="n">
        <f aca="false">AJ39+1</f>
        <v>2024</v>
      </c>
      <c r="AK43" s="14" t="n">
        <f aca="false">[4]'retirement benefit values'!aj44</f>
        <v>7379.8060570924</v>
      </c>
      <c r="AL43" s="12" t="n">
        <v>487.4589199878</v>
      </c>
      <c r="AM43" s="12" t="n">
        <v>484.4819766452</v>
      </c>
      <c r="AN43" s="12" t="n">
        <v>404.7483861511</v>
      </c>
      <c r="AO43" s="12" t="n">
        <v>714.0806468352</v>
      </c>
      <c r="AP43" s="12" t="n">
        <f aca="false">AP39+1</f>
        <v>2024</v>
      </c>
      <c r="AQ43" s="1" t="n">
        <f aca="false">AK43*[4]'inflation indexes'!i136</f>
        <v>6843.90902913618</v>
      </c>
      <c r="AR43" s="1" t="n">
        <f aca="false">AL43*[4]'inflation indexes'!i136</f>
        <v>452.061270720153</v>
      </c>
      <c r="AS43" s="1" t="n">
        <f aca="false">AN43*[4]'inflation indexes'!i136</f>
        <v>375.35690139792</v>
      </c>
      <c r="AT43" s="1" t="n">
        <f aca="false">AO43*[4]'inflation indexes'!i136</f>
        <v>662.226479747398</v>
      </c>
      <c r="AU43" s="1" t="n">
        <f aca="false">AM43*[4]'inflation indexes'!i136</f>
        <v>449.300503124904</v>
      </c>
    </row>
    <row r="44" customFormat="false" ht="15" hidden="false" customHeight="false" outlineLevel="0" collapsed="false">
      <c r="A44" s="11" t="n">
        <f aca="false">[4]'retirement benefit values'!b45</f>
        <v>6518.9707104236</v>
      </c>
      <c r="B44" s="12" t="n">
        <v>599.8433616849</v>
      </c>
      <c r="C44" s="12" t="n">
        <v>584.005192475</v>
      </c>
      <c r="D44" s="12" t="n">
        <v>500.8218179319</v>
      </c>
      <c r="E44" s="12" t="n">
        <v>784.2719333878</v>
      </c>
      <c r="F44" s="12" t="n">
        <f aca="false">F40+1</f>
        <v>2025</v>
      </c>
      <c r="G44" s="10" t="n">
        <f aca="false">A44*[4]'inflation indexes'!i137</f>
        <v>6045.58468889093</v>
      </c>
      <c r="H44" s="12" t="n">
        <f aca="false">B44*[4]'inflation indexes'!i137</f>
        <v>556.284727178879</v>
      </c>
      <c r="I44" s="12" t="n">
        <f aca="false">D44*[4]'inflation indexes'!i137</f>
        <v>464.45379935675</v>
      </c>
      <c r="J44" s="1" t="n">
        <f aca="false">E44*[4]'inflation indexes'!i137</f>
        <v>727.320707981533</v>
      </c>
      <c r="K44" s="12" t="n">
        <f aca="false">C44*[4]'inflation indexes'!i137</f>
        <v>541.596673262279</v>
      </c>
      <c r="R44" s="12" t="n">
        <f aca="false">R40+1</f>
        <v>2025</v>
      </c>
      <c r="S44" s="13" t="n">
        <f aca="false">[4]'retirement benefit values'!p45</f>
        <v>6949.9952404234</v>
      </c>
      <c r="T44" s="12" t="n">
        <v>608.9895996438</v>
      </c>
      <c r="U44" s="12" t="n">
        <v>594.676601586</v>
      </c>
      <c r="V44" s="12" t="n">
        <v>504.7852584112</v>
      </c>
      <c r="W44" s="12" t="n">
        <v>824.8216869998</v>
      </c>
      <c r="X44" s="12" t="n">
        <f aca="false">X40+1</f>
        <v>2025</v>
      </c>
      <c r="Y44" s="1" t="n">
        <f aca="false">S44*[4]'inflation indexes'!i137</f>
        <v>6445.3096477616</v>
      </c>
      <c r="Z44" s="1" t="n">
        <f aca="false">T44*[4]'inflation indexes'!i137</f>
        <v>564.766795686545</v>
      </c>
      <c r="AA44" s="1" t="n">
        <f aca="false">V44*[4]'inflation indexes'!i137</f>
        <v>468.129427940059</v>
      </c>
      <c r="AB44" s="1" t="n">
        <f aca="false">W44*[4]'inflation indexes'!i137</f>
        <v>764.925873039726</v>
      </c>
      <c r="AC44" s="1" t="n">
        <f aca="false">U44*[4]'inflation indexes'!i137</f>
        <v>551.493160053851</v>
      </c>
      <c r="AJ44" s="12" t="n">
        <f aca="false">AJ40+1</f>
        <v>2025</v>
      </c>
      <c r="AK44" s="11" t="n">
        <f aca="false">[4]'retirement benefit values'!aj45</f>
        <v>7415.7755982864</v>
      </c>
      <c r="AL44" s="12" t="n">
        <v>637.0031223604</v>
      </c>
      <c r="AM44" s="12" t="n">
        <v>615.2254092212</v>
      </c>
      <c r="AN44" s="12" t="n">
        <v>532.3889765212</v>
      </c>
      <c r="AO44" s="12" t="n">
        <v>866.0253456378</v>
      </c>
      <c r="AP44" s="12" t="n">
        <f aca="false">AP40+1</f>
        <v>2025</v>
      </c>
      <c r="AQ44" s="1" t="n">
        <f aca="false">AK44*[4]'inflation indexes'!i137</f>
        <v>6877.26658160396</v>
      </c>
      <c r="AR44" s="1" t="n">
        <f aca="false">AL44*[4]'inflation indexes'!i137</f>
        <v>590.746069338837</v>
      </c>
      <c r="AS44" s="1" t="n">
        <f aca="false">AN44*[4]'inflation indexes'!i137</f>
        <v>493.728655636456</v>
      </c>
      <c r="AT44" s="1" t="n">
        <f aca="false">AO44*[4]'inflation indexes'!i137</f>
        <v>803.13745871074</v>
      </c>
      <c r="AU44" s="1" t="n">
        <f aca="false">AM44*[4]'inflation indexes'!i137</f>
        <v>570.549781464298</v>
      </c>
    </row>
    <row r="45" customFormat="false" ht="15" hidden="false" customHeight="false" outlineLevel="0" collapsed="false">
      <c r="A45" s="14" t="n">
        <f aca="false">[4]'retirement benefit values'!b46</f>
        <v>6483.3635909832</v>
      </c>
      <c r="B45" s="12" t="n">
        <v>473.2895025944</v>
      </c>
      <c r="C45" s="12" t="n">
        <v>476.225640266</v>
      </c>
      <c r="D45" s="12" t="n">
        <v>394.4276479063</v>
      </c>
      <c r="E45" s="12" t="n">
        <v>658.3860670271</v>
      </c>
      <c r="F45" s="12" t="n">
        <f aca="false">F41+1</f>
        <v>2025</v>
      </c>
      <c r="G45" s="10" t="n">
        <f aca="false">A45*[4]'inflation indexes'!i138</f>
        <v>6012.5632403116</v>
      </c>
      <c r="H45" s="12" t="n">
        <f aca="false">B45*[4]'inflation indexes'!i138</f>
        <v>438.920789400445</v>
      </c>
      <c r="I45" s="12" t="n">
        <f aca="false">D45*[4]'inflation indexes'!i138</f>
        <v>365.785620917852</v>
      </c>
      <c r="J45" s="1" t="n">
        <f aca="false">E45*[4]'inflation indexes'!i138</f>
        <v>610.576255517416</v>
      </c>
      <c r="K45" s="12" t="n">
        <f aca="false">C45*[4]'inflation indexes'!i138</f>
        <v>441.64371449712</v>
      </c>
      <c r="R45" s="12" t="n">
        <f aca="false">R41+1</f>
        <v>2025</v>
      </c>
      <c r="S45" s="9" t="n">
        <f aca="false">[4]'retirement benefit values'!p46</f>
        <v>6967.4957246711</v>
      </c>
      <c r="T45" s="12" t="n">
        <v>472.2815462148</v>
      </c>
      <c r="U45" s="12" t="n">
        <v>475.9430827702</v>
      </c>
      <c r="V45" s="12" t="n">
        <v>396.6563060685</v>
      </c>
      <c r="W45" s="12" t="n">
        <v>680.3509136952</v>
      </c>
      <c r="X45" s="12" t="n">
        <f aca="false">X41+1</f>
        <v>2025</v>
      </c>
      <c r="Y45" s="1" t="n">
        <f aca="false">S45*[4]'inflation indexes'!i138</f>
        <v>6461.5393049139</v>
      </c>
      <c r="Z45" s="1" t="n">
        <f aca="false">T45*[4]'inflation indexes'!i138</f>
        <v>437.986027468499</v>
      </c>
      <c r="AA45" s="1" t="n">
        <f aca="false">V45*[4]'inflation indexes'!i138</f>
        <v>367.852441319518</v>
      </c>
      <c r="AB45" s="1" t="n">
        <f aca="false">W45*[4]'inflation indexes'!i138</f>
        <v>630.946087904939</v>
      </c>
      <c r="AC45" s="1" t="n">
        <f aca="false">U45*[4]'inflation indexes'!i138</f>
        <v>441.381675389074</v>
      </c>
      <c r="AJ45" s="12" t="n">
        <f aca="false">AJ41+1</f>
        <v>2025</v>
      </c>
      <c r="AK45" s="14" t="n">
        <f aca="false">[4]'retirement benefit values'!aj46</f>
        <v>7444.612604771</v>
      </c>
      <c r="AL45" s="12" t="n">
        <v>489.5625970746</v>
      </c>
      <c r="AM45" s="12" t="n">
        <v>488.756517162</v>
      </c>
      <c r="AN45" s="12" t="n">
        <v>413.1666107601</v>
      </c>
      <c r="AO45" s="12" t="n">
        <v>704.9838738357</v>
      </c>
      <c r="AP45" s="12" t="n">
        <f aca="false">AP41+1</f>
        <v>2025</v>
      </c>
      <c r="AQ45" s="1" t="n">
        <f aca="false">AK45*[4]'inflation indexes'!i138</f>
        <v>6904.00954036553</v>
      </c>
      <c r="AR45" s="1" t="n">
        <f aca="false">AL45*[4]'inflation indexes'!i138</f>
        <v>454.012185757399</v>
      </c>
      <c r="AS45" s="1" t="n">
        <f aca="false">AN45*[4]'inflation indexes'!i138</f>
        <v>383.163822469439</v>
      </c>
      <c r="AT45" s="1" t="n">
        <f aca="false">AO45*[4]'inflation indexes'!i138</f>
        <v>653.790284217917</v>
      </c>
      <c r="AU45" s="1" t="n">
        <f aca="false">AM45*[4]'inflation indexes'!i138</f>
        <v>453.264640693291</v>
      </c>
    </row>
    <row r="46" customFormat="false" ht="15" hidden="false" customHeight="false" outlineLevel="0" collapsed="false">
      <c r="A46" s="14" t="n">
        <f aca="false">[4]'retirement benefit values'!b47</f>
        <v>6472.5455039631</v>
      </c>
      <c r="B46" s="12" t="n">
        <v>465.2123790555</v>
      </c>
      <c r="C46" s="12" t="n">
        <v>471.796144116</v>
      </c>
      <c r="D46" s="12" t="n">
        <v>384.4564514892</v>
      </c>
      <c r="E46" s="12" t="n">
        <v>662.953212325</v>
      </c>
      <c r="F46" s="12" t="n">
        <f aca="false">F42+1</f>
        <v>2025</v>
      </c>
      <c r="G46" s="10" t="n">
        <f aca="false">A46*[4]'inflation indexes'!i139</f>
        <v>6002.53072687398</v>
      </c>
      <c r="H46" s="12" t="n">
        <f aca="false">B46*[4]'inflation indexes'!i139</f>
        <v>431.430199771169</v>
      </c>
      <c r="I46" s="12" t="n">
        <f aca="false">D46*[4]'inflation indexes'!i139</f>
        <v>356.538499697817</v>
      </c>
      <c r="J46" s="1" t="n">
        <f aca="false">E46*[4]'inflation indexes'!i139</f>
        <v>614.811749878631</v>
      </c>
      <c r="K46" s="12" t="n">
        <f aca="false">C46*[4]'inflation indexes'!i139</f>
        <v>437.535873659437</v>
      </c>
      <c r="R46" s="12" t="n">
        <f aca="false">R42+1</f>
        <v>2025</v>
      </c>
      <c r="S46" s="9" t="n">
        <f aca="false">[4]'retirement benefit values'!p47</f>
        <v>6999.8625573446</v>
      </c>
      <c r="T46" s="12" t="n">
        <v>474.3957395756</v>
      </c>
      <c r="U46" s="12" t="n">
        <v>475.2435538367</v>
      </c>
      <c r="V46" s="12" t="n">
        <v>387.4450433044</v>
      </c>
      <c r="W46" s="12" t="n">
        <v>692.4604211949</v>
      </c>
      <c r="X46" s="12" t="n">
        <f aca="false">X42+1</f>
        <v>2025</v>
      </c>
      <c r="Y46" s="1" t="n">
        <f aca="false">S46*[4]'inflation indexes'!i139</f>
        <v>6491.55576559932</v>
      </c>
      <c r="Z46" s="1" t="n">
        <f aca="false">T46*[4]'inflation indexes'!i139</f>
        <v>439.946695122822</v>
      </c>
      <c r="AA46" s="1" t="n">
        <f aca="false">V46*[4]'inflation indexes'!i139</f>
        <v>359.310069892239</v>
      </c>
      <c r="AB46" s="1" t="n">
        <f aca="false">W46*[4]'inflation indexes'!i139</f>
        <v>642.176243152169</v>
      </c>
      <c r="AC46" s="1" t="n">
        <f aca="false">U46*[4]'inflation indexes'!i139</f>
        <v>440.732943925525</v>
      </c>
      <c r="AJ46" s="12" t="n">
        <f aca="false">AJ42+1</f>
        <v>2025</v>
      </c>
      <c r="AK46" s="14" t="n">
        <f aca="false">[4]'retirement benefit values'!aj47</f>
        <v>7471.125543707</v>
      </c>
      <c r="AL46" s="12" t="n">
        <v>495.5085877113</v>
      </c>
      <c r="AM46" s="12" t="n">
        <v>488.1605680664</v>
      </c>
      <c r="AN46" s="12" t="n">
        <v>405.833427788</v>
      </c>
      <c r="AO46" s="12" t="n">
        <v>729.040686736</v>
      </c>
      <c r="AP46" s="12" t="n">
        <f aca="false">AP42+1</f>
        <v>2025</v>
      </c>
      <c r="AQ46" s="1" t="n">
        <f aca="false">AK46*[4]'inflation indexes'!i139</f>
        <v>6928.59719765208</v>
      </c>
      <c r="AR46" s="1" t="n">
        <f aca="false">AL46*[4]'inflation indexes'!i139</f>
        <v>459.526398284239</v>
      </c>
      <c r="AS46" s="1" t="n">
        <f aca="false">AN46*[4]'inflation indexes'!i139</f>
        <v>376.363150911569</v>
      </c>
      <c r="AT46" s="1" t="n">
        <f aca="false">AO46*[4]'inflation indexes'!i139</f>
        <v>676.100171191488</v>
      </c>
      <c r="AU46" s="1" t="n">
        <f aca="false">AM46*[4]'inflation indexes'!i139</f>
        <v>452.711967443516</v>
      </c>
    </row>
    <row r="47" customFormat="false" ht="15" hidden="false" customHeight="false" outlineLevel="0" collapsed="false">
      <c r="A47" s="14" t="n">
        <f aca="false">[4]'retirement benefit values'!b48</f>
        <v>6496.9594663205</v>
      </c>
      <c r="B47" s="12" t="n">
        <v>468.2192298727</v>
      </c>
      <c r="C47" s="12" t="n">
        <v>475.4854031561</v>
      </c>
      <c r="D47" s="12" t="n">
        <v>395.0097740023</v>
      </c>
      <c r="E47" s="12" t="n">
        <v>649.3917071286</v>
      </c>
      <c r="F47" s="12" t="n">
        <f aca="false">F43+1</f>
        <v>2025</v>
      </c>
      <c r="G47" s="10" t="n">
        <f aca="false">A47*[4]'inflation indexes'!i140</f>
        <v>6025.17182829618</v>
      </c>
      <c r="H47" s="12" t="n">
        <f aca="false">B47*[4]'inflation indexes'!i140</f>
        <v>434.218703059453</v>
      </c>
      <c r="I47" s="12" t="n">
        <f aca="false">D47*[4]'inflation indexes'!i140</f>
        <v>366.32547494839</v>
      </c>
      <c r="J47" s="1" t="n">
        <f aca="false">E47*[4]'inflation indexes'!i140</f>
        <v>602.235036189371</v>
      </c>
      <c r="K47" s="12" t="n">
        <f aca="false">C47*[4]'inflation indexes'!i140</f>
        <v>440.957230949863</v>
      </c>
      <c r="R47" s="12" t="n">
        <f aca="false">R43+1</f>
        <v>2025</v>
      </c>
      <c r="S47" s="9" t="n">
        <f aca="false">[4]'retirement benefit values'!p48</f>
        <v>7002.240779048</v>
      </c>
      <c r="T47" s="12" t="n">
        <v>470.7578181821</v>
      </c>
      <c r="U47" s="12" t="n">
        <v>474.4221001604</v>
      </c>
      <c r="V47" s="12" t="n">
        <v>385.6076033876</v>
      </c>
      <c r="W47" s="12" t="n">
        <v>695.9483513571</v>
      </c>
      <c r="X47" s="12" t="n">
        <f aca="false">X43+1</f>
        <v>2025</v>
      </c>
      <c r="Y47" s="1" t="n">
        <f aca="false">S47*[4]'inflation indexes'!i140</f>
        <v>6493.76128873411</v>
      </c>
      <c r="Z47" s="1" t="n">
        <f aca="false">T47*[4]'inflation indexes'!i140</f>
        <v>436.57294750945</v>
      </c>
      <c r="AA47" s="1" t="n">
        <f aca="false">V47*[4]'inflation indexes'!i140</f>
        <v>357.606058765145</v>
      </c>
      <c r="AB47" s="1" t="n">
        <f aca="false">W47*[4]'inflation indexes'!i140</f>
        <v>645.410891399752</v>
      </c>
      <c r="AC47" s="1" t="n">
        <f aca="false">U47*[4]'inflation indexes'!i140</f>
        <v>439.971141489424</v>
      </c>
      <c r="AJ47" s="12" t="n">
        <f aca="false">AJ43+1</f>
        <v>2025</v>
      </c>
      <c r="AK47" s="14" t="n">
        <f aca="false">[4]'retirement benefit values'!aj48</f>
        <v>7515.7409404529</v>
      </c>
      <c r="AL47" s="12" t="n">
        <v>504.5812883339</v>
      </c>
      <c r="AM47" s="12" t="n">
        <v>492.8210436026</v>
      </c>
      <c r="AN47" s="12" t="n">
        <v>408.5129871857</v>
      </c>
      <c r="AO47" s="12" t="n">
        <v>736.7988128967</v>
      </c>
      <c r="AP47" s="12" t="n">
        <f aca="false">AP43+1</f>
        <v>2025</v>
      </c>
      <c r="AQ47" s="1" t="n">
        <f aca="false">AK47*[4]'inflation indexes'!i140</f>
        <v>6969.97277233054</v>
      </c>
      <c r="AR47" s="1" t="n">
        <f aca="false">AL47*[4]'inflation indexes'!i140</f>
        <v>467.940269492953</v>
      </c>
      <c r="AS47" s="1" t="n">
        <f aca="false">AN47*[4]'inflation indexes'!i140</f>
        <v>378.848129597208</v>
      </c>
      <c r="AT47" s="1" t="n">
        <f aca="false">AO47*[4]'inflation indexes'!i140</f>
        <v>683.294927973661</v>
      </c>
      <c r="AU47" s="1" t="n">
        <f aca="false">AM47*[4]'inflation indexes'!i140</f>
        <v>457.034014710817</v>
      </c>
    </row>
    <row r="48" customFormat="false" ht="15" hidden="false" customHeight="false" outlineLevel="0" collapsed="false">
      <c r="A48" s="11" t="n">
        <f aca="false">[4]'retirement benefit values'!b49</f>
        <v>6466.9111667332</v>
      </c>
      <c r="B48" s="12" t="n">
        <v>591.8320657741</v>
      </c>
      <c r="C48" s="12" t="n">
        <v>584.749649275</v>
      </c>
      <c r="D48" s="12" t="n">
        <v>495.6886410013</v>
      </c>
      <c r="E48" s="12" t="n">
        <v>800.5736049927</v>
      </c>
      <c r="F48" s="12" t="n">
        <f aca="false">F44+1</f>
        <v>2026</v>
      </c>
      <c r="G48" s="10" t="n">
        <f aca="false">A48*[4]'inflation indexes'!i141</f>
        <v>5997.30553651767</v>
      </c>
      <c r="H48" s="12" t="n">
        <f aca="false">B48*[4]'inflation indexes'!i141</f>
        <v>548.855184993781</v>
      </c>
      <c r="I48" s="12" t="n">
        <f aca="false">D48*[4]'inflation indexes'!i141</f>
        <v>459.693376701778</v>
      </c>
      <c r="J48" s="1" t="n">
        <f aca="false">E48*[4]'inflation indexes'!i141</f>
        <v>742.438606287216</v>
      </c>
      <c r="K48" s="12" t="n">
        <f aca="false">C48*[4]'inflation indexes'!i141</f>
        <v>542.287070079744</v>
      </c>
      <c r="R48" s="12" t="n">
        <f aca="false">R44+1</f>
        <v>2026</v>
      </c>
      <c r="S48" s="13" t="n">
        <f aca="false">[4]'retirement benefit values'!p49</f>
        <v>7002.9523038307</v>
      </c>
      <c r="T48" s="12" t="n">
        <v>607.9098244708</v>
      </c>
      <c r="U48" s="12" t="n">
        <v>597.6602285928</v>
      </c>
      <c r="V48" s="12" t="n">
        <v>507.5817043411</v>
      </c>
      <c r="W48" s="12" t="n">
        <v>820.6470696033</v>
      </c>
      <c r="X48" s="12" t="n">
        <f aca="false">X44+1</f>
        <v>2026</v>
      </c>
      <c r="Y48" s="1" t="n">
        <f aca="false">S48*[4]'inflation indexes'!i141</f>
        <v>6494.42114494809</v>
      </c>
      <c r="Z48" s="1" t="n">
        <f aca="false">T48*[4]'inflation indexes'!i141</f>
        <v>563.765430203663</v>
      </c>
      <c r="AA48" s="1" t="n">
        <f aca="false">V48*[4]'inflation indexes'!i141</f>
        <v>470.722805245787</v>
      </c>
      <c r="AB48" s="1" t="n">
        <f aca="false">W48*[4]'inflation indexes'!i141</f>
        <v>761.05440250621</v>
      </c>
      <c r="AC48" s="1" t="n">
        <f aca="false">U48*[4]'inflation indexes'!i141</f>
        <v>554.260125967785</v>
      </c>
      <c r="AJ48" s="12" t="n">
        <f aca="false">AJ44+1</f>
        <v>2026</v>
      </c>
      <c r="AK48" s="11" t="n">
        <f aca="false">[4]'retirement benefit values'!aj49</f>
        <v>7519.5758228913</v>
      </c>
      <c r="AL48" s="12" t="n">
        <v>648.7704023517</v>
      </c>
      <c r="AM48" s="12" t="n">
        <v>624.0498504471</v>
      </c>
      <c r="AN48" s="12" t="n">
        <v>534.0081823426</v>
      </c>
      <c r="AO48" s="12" t="n">
        <v>879.0264628804</v>
      </c>
      <c r="AP48" s="12" t="n">
        <f aca="false">AP44+1</f>
        <v>2026</v>
      </c>
      <c r="AQ48" s="1" t="n">
        <f aca="false">AK48*[4]'inflation indexes'!i141</f>
        <v>6973.52917833129</v>
      </c>
      <c r="AR48" s="1" t="n">
        <f aca="false">AL48*[4]'inflation indexes'!i141</f>
        <v>601.658848503736</v>
      </c>
      <c r="AS48" s="1" t="n">
        <f aca="false">AN48*[4]'inflation indexes'!i141</f>
        <v>495.230280104007</v>
      </c>
      <c r="AT48" s="1" t="n">
        <f aca="false">AO48*[4]'inflation indexes'!i141</f>
        <v>815.194477959908</v>
      </c>
      <c r="AU48" s="1" t="n">
        <f aca="false">AM48*[4]'inflation indexes'!i141</f>
        <v>578.733421049918</v>
      </c>
    </row>
    <row r="49" customFormat="false" ht="15" hidden="false" customHeight="false" outlineLevel="0" collapsed="false">
      <c r="A49" s="14" t="n">
        <f aca="false">[4]'retirement benefit values'!b50</f>
        <v>6479.1712296273</v>
      </c>
      <c r="B49" s="12" t="n">
        <v>467.4696423821</v>
      </c>
      <c r="C49" s="12" t="n">
        <v>470.8104074453</v>
      </c>
      <c r="D49" s="12" t="n">
        <v>390.614299656</v>
      </c>
      <c r="E49" s="12" t="n">
        <v>671.1179370799</v>
      </c>
      <c r="F49" s="12" t="n">
        <f aca="false">F45+1</f>
        <v>2026</v>
      </c>
      <c r="G49" s="10" t="n">
        <f aca="false">A49*[4]'inflation indexes'!i142</f>
        <v>6008.67531432614</v>
      </c>
      <c r="H49" s="12" t="n">
        <f aca="false">B49*[4]'inflation indexes'!i142</f>
        <v>433.523548125115</v>
      </c>
      <c r="I49" s="12" t="n">
        <f aca="false">D49*[4]'inflation indexes'!i142</f>
        <v>362.249185363914</v>
      </c>
      <c r="J49" s="1" t="n">
        <f aca="false">E49*[4]'inflation indexes'!i142</f>
        <v>622.383579414283</v>
      </c>
      <c r="K49" s="12" t="n">
        <f aca="false">C49*[4]'inflation indexes'!i142</f>
        <v>436.62171791486</v>
      </c>
      <c r="R49" s="12" t="n">
        <f aca="false">R45+1</f>
        <v>2026</v>
      </c>
      <c r="S49" s="9" t="n">
        <f aca="false">[4]'retirement benefit values'!p50</f>
        <v>7022.9515640996</v>
      </c>
      <c r="T49" s="12" t="n">
        <v>482.2199583509</v>
      </c>
      <c r="U49" s="12" t="n">
        <v>481.4365257508</v>
      </c>
      <c r="V49" s="12" t="n">
        <v>398.8292248388</v>
      </c>
      <c r="W49" s="12" t="n">
        <v>692.0853040643</v>
      </c>
      <c r="X49" s="12" t="n">
        <f aca="false">X45+1</f>
        <v>2026</v>
      </c>
      <c r="Y49" s="1" t="n">
        <f aca="false">S49*[4]'inflation indexes'!i142</f>
        <v>6512.96812529846</v>
      </c>
      <c r="Z49" s="1" t="n">
        <f aca="false">T49*[4]'inflation indexes'!i142</f>
        <v>447.202745093234</v>
      </c>
      <c r="AA49" s="1" t="n">
        <f aca="false">V49*[4]'inflation indexes'!i142</f>
        <v>369.867569938968</v>
      </c>
      <c r="AB49" s="1" t="n">
        <f aca="false">W49*[4]'inflation indexes'!i142</f>
        <v>641.828365782867</v>
      </c>
      <c r="AC49" s="1" t="n">
        <f aca="false">U49*[4]'inflation indexes'!i142</f>
        <v>446.476202768942</v>
      </c>
      <c r="AJ49" s="12" t="n">
        <f aca="false">AJ45+1</f>
        <v>2026</v>
      </c>
      <c r="AK49" s="14" t="n">
        <f aca="false">[4]'retirement benefit values'!aj50</f>
        <v>7558.4866514147</v>
      </c>
      <c r="AL49" s="12" t="n">
        <v>502.7729388054</v>
      </c>
      <c r="AM49" s="12" t="n">
        <v>492.224955417</v>
      </c>
      <c r="AN49" s="12" t="n">
        <v>411.6571985781</v>
      </c>
      <c r="AO49" s="12" t="n">
        <v>744.0251994066</v>
      </c>
      <c r="AP49" s="12" t="n">
        <f aca="false">AP45+1</f>
        <v>2026</v>
      </c>
      <c r="AQ49" s="1" t="n">
        <f aca="false">AK49*[4]'inflation indexes'!i142</f>
        <v>7009.61443160248</v>
      </c>
      <c r="AR49" s="1" t="n">
        <f aca="false">AL49*[4]'inflation indexes'!i142</f>
        <v>466.263236306689</v>
      </c>
      <c r="AS49" s="1" t="n">
        <f aca="false">AN49*[4]'inflation indexes'!i142</f>
        <v>381.764018791515</v>
      </c>
      <c r="AT49" s="1" t="n">
        <f aca="false">AO49*[4]'inflation indexes'!i142</f>
        <v>689.99655827404</v>
      </c>
      <c r="AU49" s="1" t="n">
        <f aca="false">AM49*[4]'inflation indexes'!i142</f>
        <v>456.481212471297</v>
      </c>
    </row>
    <row r="50" customFormat="false" ht="15" hidden="false" customHeight="false" outlineLevel="0" collapsed="false">
      <c r="A50" s="14" t="n">
        <f aca="false">[4]'retirement benefit values'!b51</f>
        <v>6444.1344922581</v>
      </c>
      <c r="B50" s="12" t="n">
        <v>461.7729272074</v>
      </c>
      <c r="C50" s="12" t="n">
        <v>462.7348673843</v>
      </c>
      <c r="D50" s="12" t="n">
        <v>382.0961263648</v>
      </c>
      <c r="E50" s="12" t="n">
        <v>642.2605812049</v>
      </c>
      <c r="F50" s="12" t="n">
        <f aca="false">F46+1</f>
        <v>2026</v>
      </c>
      <c r="G50" s="10" t="n">
        <f aca="false">A50*[4]'inflation indexes'!i143</f>
        <v>5976.18282856466</v>
      </c>
      <c r="H50" s="12" t="n">
        <f aca="false">B50*[4]'inflation indexes'!i143</f>
        <v>428.240509503378</v>
      </c>
      <c r="I50" s="12" t="n">
        <f aca="false">D50*[4]'inflation indexes'!i143</f>
        <v>354.349573551845</v>
      </c>
      <c r="J50" s="1" t="n">
        <f aca="false">E50*[4]'inflation indexes'!i143</f>
        <v>595.621748967519</v>
      </c>
      <c r="K50" s="12" t="n">
        <f aca="false">C50*[4]'inflation indexes'!i143</f>
        <v>429.132596776573</v>
      </c>
      <c r="R50" s="12" t="n">
        <f aca="false">R46+1</f>
        <v>2026</v>
      </c>
      <c r="S50" s="9" t="n">
        <f aca="false">[4]'retirement benefit values'!p51</f>
        <v>7038.7793711638</v>
      </c>
      <c r="T50" s="12" t="n">
        <v>475.9306665078</v>
      </c>
      <c r="U50" s="12" t="n">
        <v>474.883273159</v>
      </c>
      <c r="V50" s="12" t="n">
        <v>386.2123408387</v>
      </c>
      <c r="W50" s="12" t="n">
        <v>681.739107346</v>
      </c>
      <c r="X50" s="12" t="n">
        <f aca="false">X46+1</f>
        <v>2026</v>
      </c>
      <c r="Y50" s="1" t="n">
        <f aca="false">S50*[4]'inflation indexes'!i143</f>
        <v>6527.64656953399</v>
      </c>
      <c r="Z50" s="1" t="n">
        <f aca="false">T50*[4]'inflation indexes'!i143</f>
        <v>441.370160754449</v>
      </c>
      <c r="AA50" s="1" t="n">
        <f aca="false">V50*[4]'inflation indexes'!i143</f>
        <v>358.166882189205</v>
      </c>
      <c r="AB50" s="1" t="n">
        <f aca="false">W50*[4]'inflation indexes'!i143</f>
        <v>632.233475539167</v>
      </c>
      <c r="AC50" s="1" t="n">
        <f aca="false">U50*[4]'inflation indexes'!i143</f>
        <v>440.398825635145</v>
      </c>
      <c r="AJ50" s="12" t="n">
        <f aca="false">AJ46+1</f>
        <v>2026</v>
      </c>
      <c r="AK50" s="14" t="n">
        <f aca="false">[4]'retirement benefit values'!aj51</f>
        <v>7619.4788563677</v>
      </c>
      <c r="AL50" s="12" t="n">
        <v>499.2896510702</v>
      </c>
      <c r="AM50" s="12" t="n">
        <v>494.6815423801</v>
      </c>
      <c r="AN50" s="12" t="n">
        <v>413.9844789156</v>
      </c>
      <c r="AO50" s="12" t="n">
        <v>729.9836850873</v>
      </c>
      <c r="AP50" s="12" t="n">
        <f aca="false">AP46+1</f>
        <v>2026</v>
      </c>
      <c r="AQ50" s="1" t="n">
        <f aca="false">AK50*[4]'inflation indexes'!i143</f>
        <v>7066.1775850181</v>
      </c>
      <c r="AR50" s="1" t="n">
        <f aca="false">AL50*[4]'inflation indexes'!i143</f>
        <v>463.032893368462</v>
      </c>
      <c r="AS50" s="1" t="n">
        <f aca="false">AN50*[4]'inflation indexes'!i143</f>
        <v>383.922299753363</v>
      </c>
      <c r="AT50" s="1" t="n">
        <f aca="false">AO50*[4]'inflation indexes'!i143</f>
        <v>676.974692131604</v>
      </c>
      <c r="AU50" s="1" t="n">
        <f aca="false">AM50*[4]'inflation indexes'!i143</f>
        <v>458.759410240662</v>
      </c>
    </row>
    <row r="51" customFormat="false" ht="15" hidden="false" customHeight="false" outlineLevel="0" collapsed="false">
      <c r="A51" s="14" t="n">
        <f aca="false">[4]'retirement benefit values'!b52</f>
        <v>6480.5402298465</v>
      </c>
      <c r="B51" s="12" t="n">
        <v>460.2093411383</v>
      </c>
      <c r="C51" s="12" t="n">
        <v>461.1898892447</v>
      </c>
      <c r="D51" s="12" t="n">
        <v>383.1684182814</v>
      </c>
      <c r="E51" s="12" t="n">
        <v>649.8384083837</v>
      </c>
      <c r="F51" s="12" t="n">
        <f aca="false">F47+1</f>
        <v>2026</v>
      </c>
      <c r="G51" s="10" t="n">
        <f aca="false">A51*[4]'inflation indexes'!i144</f>
        <v>6009.94490229208</v>
      </c>
      <c r="H51" s="12" t="n">
        <f aca="false">B51*[4]'inflation indexes'!i144</f>
        <v>426.790465866275</v>
      </c>
      <c r="I51" s="12" t="n">
        <f aca="false">D51*[4]'inflation indexes'!i144</f>
        <v>355.343999187575</v>
      </c>
      <c r="J51" s="1" t="n">
        <f aca="false">E51*[4]'inflation indexes'!i144</f>
        <v>602.649299481584</v>
      </c>
      <c r="K51" s="12" t="n">
        <f aca="false">C51*[4]'inflation indexes'!i144</f>
        <v>427.699809822874</v>
      </c>
      <c r="R51" s="12" t="n">
        <f aca="false">R47+1</f>
        <v>2026</v>
      </c>
      <c r="S51" s="9" t="n">
        <f aca="false">[4]'retirement benefit values'!p52</f>
        <v>7023.8508767552</v>
      </c>
      <c r="T51" s="12" t="n">
        <v>478.7730712248</v>
      </c>
      <c r="U51" s="12" t="n">
        <v>480.7265333087</v>
      </c>
      <c r="V51" s="12" t="n">
        <v>396.02877489</v>
      </c>
      <c r="W51" s="12" t="n">
        <v>671.0955563059</v>
      </c>
      <c r="X51" s="12" t="n">
        <f aca="false">X47+1</f>
        <v>2026</v>
      </c>
      <c r="Y51" s="1" t="n">
        <f aca="false">S51*[4]'inflation indexes'!i144</f>
        <v>6513.80213285314</v>
      </c>
      <c r="Z51" s="1" t="n">
        <f aca="false">T51*[4]'inflation indexes'!i144</f>
        <v>444.006159472659</v>
      </c>
      <c r="AA51" s="1" t="n">
        <f aca="false">V51*[4]'inflation indexes'!i144</f>
        <v>367.270479372907</v>
      </c>
      <c r="AB51" s="1" t="n">
        <f aca="false">W51*[4]'inflation indexes'!i144</f>
        <v>622.362823857826</v>
      </c>
      <c r="AC51" s="1" t="n">
        <f aca="false">U51*[4]'inflation indexes'!i144</f>
        <v>445.817767622067</v>
      </c>
      <c r="AJ51" s="12" t="n">
        <f aca="false">AJ47+1</f>
        <v>2026</v>
      </c>
      <c r="AK51" s="14" t="n">
        <f aca="false">[4]'retirement benefit values'!aj52</f>
        <v>7652.4394727529</v>
      </c>
      <c r="AL51" s="12" t="n">
        <v>501.5068039702</v>
      </c>
      <c r="AM51" s="12" t="n">
        <v>492.3838566065</v>
      </c>
      <c r="AN51" s="12" t="n">
        <v>409.9200354625</v>
      </c>
      <c r="AO51" s="12" t="n">
        <v>741.7842512363</v>
      </c>
      <c r="AP51" s="12" t="n">
        <f aca="false">AP47+1</f>
        <v>2026</v>
      </c>
      <c r="AQ51" s="1" t="n">
        <f aca="false">AK51*[4]'inflation indexes'!i144</f>
        <v>7096.74471081238</v>
      </c>
      <c r="AR51" s="1" t="n">
        <f aca="false">AL51*[4]'inflation indexes'!i144</f>
        <v>465.089043981892</v>
      </c>
      <c r="AS51" s="1" t="n">
        <f aca="false">AN51*[4]'inflation indexes'!i144</f>
        <v>380.15300269706</v>
      </c>
      <c r="AT51" s="1" t="n">
        <f aca="false">AO51*[4]'inflation indexes'!i144</f>
        <v>687.918340323881</v>
      </c>
      <c r="AU51" s="1" t="n">
        <f aca="false">AM51*[4]'inflation indexes'!i144</f>
        <v>456.628574783686</v>
      </c>
    </row>
    <row r="52" customFormat="false" ht="15" hidden="false" customHeight="false" outlineLevel="0" collapsed="false">
      <c r="A52" s="11" t="n">
        <f aca="false">[4]'retirement benefit values'!b53</f>
        <v>6472.0276452772</v>
      </c>
      <c r="B52" s="12" t="n">
        <v>588.7675646946</v>
      </c>
      <c r="C52" s="12" t="n">
        <v>581.4772611747</v>
      </c>
      <c r="D52" s="12" t="n">
        <v>490.0193003064</v>
      </c>
      <c r="E52" s="12" t="n">
        <v>787.4715840108</v>
      </c>
      <c r="F52" s="12" t="n">
        <f aca="false">F48+1</f>
        <v>2027</v>
      </c>
      <c r="G52" s="10" t="n">
        <f aca="false">A52*[4]'inflation indexes'!i145</f>
        <v>6002.05047336747</v>
      </c>
      <c r="H52" s="12" t="n">
        <f aca="false">B52*[4]'inflation indexes'!i145</f>
        <v>546.013217813949</v>
      </c>
      <c r="I52" s="12" t="n">
        <f aca="false">D52*[4]'inflation indexes'!i145</f>
        <v>454.435724715953</v>
      </c>
      <c r="J52" s="1" t="n">
        <f aca="false">E52*[4]'inflation indexes'!i145</f>
        <v>730.288010593474</v>
      </c>
      <c r="K52" s="12" t="n">
        <f aca="false">C52*[4]'inflation indexes'!i145</f>
        <v>539.252311944744</v>
      </c>
      <c r="R52" s="12" t="n">
        <f aca="false">R48+1</f>
        <v>2027</v>
      </c>
      <c r="S52" s="13" t="n">
        <f aca="false">[4]'retirement benefit values'!p53</f>
        <v>7055.0999522086</v>
      </c>
      <c r="T52" s="12" t="n">
        <v>618.9596933636</v>
      </c>
      <c r="U52" s="12" t="n">
        <v>608.9094236919</v>
      </c>
      <c r="V52" s="12" t="n">
        <v>521.6686009809</v>
      </c>
      <c r="W52" s="12" t="n">
        <v>846.0317383172</v>
      </c>
      <c r="X52" s="12" t="n">
        <f aca="false">X48+1</f>
        <v>2027</v>
      </c>
      <c r="Y52" s="1" t="n">
        <f aca="false">S52*[4]'inflation indexes'!i145</f>
        <v>6542.7820041388</v>
      </c>
      <c r="Z52" s="1" t="n">
        <f aca="false">T52*[4]'inflation indexes'!i145</f>
        <v>574.012894283498</v>
      </c>
      <c r="AA52" s="1" t="n">
        <f aca="false">V52*[4]'inflation indexes'!i145</f>
        <v>483.786758195198</v>
      </c>
      <c r="AB52" s="1" t="n">
        <f aca="false">W52*[4]'inflation indexes'!i145</f>
        <v>784.595720810331</v>
      </c>
      <c r="AC52" s="1" t="n">
        <f aca="false">U52*[4]'inflation indexes'!i145</f>
        <v>564.692441846229</v>
      </c>
      <c r="AJ52" s="12" t="n">
        <f aca="false">AJ48+1</f>
        <v>2027</v>
      </c>
      <c r="AK52" s="11" t="n">
        <f aca="false">[4]'retirement benefit values'!aj53</f>
        <v>7678.4544678797</v>
      </c>
      <c r="AL52" s="12" t="n">
        <v>642.4460128346</v>
      </c>
      <c r="AM52" s="12" t="n">
        <v>624.3575542031</v>
      </c>
      <c r="AN52" s="12" t="n">
        <v>527.5940916534</v>
      </c>
      <c r="AO52" s="12" t="n">
        <v>907.8518012789</v>
      </c>
      <c r="AP52" s="12" t="n">
        <f aca="false">AP48+1</f>
        <v>2027</v>
      </c>
      <c r="AQ52" s="1" t="n">
        <f aca="false">AK52*[4]'inflation indexes'!i145</f>
        <v>7120.87058331686</v>
      </c>
      <c r="AR52" s="1" t="n">
        <f aca="false">AL52*[4]'inflation indexes'!i145</f>
        <v>595.793715167575</v>
      </c>
      <c r="AS52" s="1" t="n">
        <f aca="false">AN52*[4]'inflation indexes'!i145</f>
        <v>489.281959397215</v>
      </c>
      <c r="AT52" s="1" t="n">
        <f aca="false">AO52*[4]'inflation indexes'!i145</f>
        <v>841.926615933074</v>
      </c>
      <c r="AU52" s="1" t="n">
        <f aca="false">AM52*[4]'inflation indexes'!i145</f>
        <v>579.018780380189</v>
      </c>
    </row>
    <row r="53" customFormat="false" ht="15" hidden="false" customHeight="false" outlineLevel="0" collapsed="false">
      <c r="A53" s="14" t="n">
        <f aca="false">[4]'retirement benefit values'!b54</f>
        <v>6504.6825148529</v>
      </c>
      <c r="B53" s="12" t="n">
        <v>463.2185980372</v>
      </c>
      <c r="C53" s="12" t="n">
        <v>460.0694158885</v>
      </c>
      <c r="D53" s="12" t="n">
        <v>377.6320130067</v>
      </c>
      <c r="E53" s="12" t="n">
        <v>668.38088425</v>
      </c>
      <c r="F53" s="12" t="n">
        <f aca="false">F49+1</f>
        <v>2027</v>
      </c>
      <c r="G53" s="10" t="n">
        <f aca="false">A53*[4]'inflation indexes'!i146</f>
        <v>6032.33405467102</v>
      </c>
      <c r="H53" s="12" t="n">
        <f aca="false">B53*[4]'inflation indexes'!i146</f>
        <v>429.58120051459</v>
      </c>
      <c r="I53" s="12" t="n">
        <f aca="false">D53*[4]'inflation indexes'!i146</f>
        <v>350.209629292845</v>
      </c>
      <c r="J53" s="1" t="n">
        <f aca="false">E53*[4]'inflation indexes'!i146</f>
        <v>619.845282278713</v>
      </c>
      <c r="K53" s="12" t="n">
        <f aca="false">C53*[4]'inflation indexes'!i146</f>
        <v>426.660701523811</v>
      </c>
      <c r="R53" s="12" t="n">
        <f aca="false">R49+1</f>
        <v>2027</v>
      </c>
      <c r="S53" s="9" t="n">
        <f aca="false">[4]'retirement benefit values'!p54</f>
        <v>7075.538499833</v>
      </c>
      <c r="T53" s="12" t="n">
        <v>480.9960817424</v>
      </c>
      <c r="U53" s="12" t="n">
        <v>482.207011574</v>
      </c>
      <c r="V53" s="12" t="n">
        <v>399.9591493063</v>
      </c>
      <c r="W53" s="12" t="n">
        <v>693.907067934</v>
      </c>
      <c r="X53" s="12" t="n">
        <f aca="false">X49+1</f>
        <v>2027</v>
      </c>
      <c r="Y53" s="1" t="n">
        <f aca="false">S53*[4]'inflation indexes'!i146</f>
        <v>6561.73637225456</v>
      </c>
      <c r="Z53" s="1" t="n">
        <f aca="false">T53*[4]'inflation indexes'!i146</f>
        <v>446.067742342936</v>
      </c>
      <c r="AA53" s="1" t="n">
        <f aca="false">V53*[4]'inflation indexes'!i146</f>
        <v>370.91544304099</v>
      </c>
      <c r="AB53" s="1" t="n">
        <f aca="false">W53*[4]'inflation indexes'!i146</f>
        <v>643.517839205385</v>
      </c>
      <c r="AC53" s="1" t="n">
        <f aca="false">U53*[4]'inflation indexes'!i146</f>
        <v>447.190738468312</v>
      </c>
      <c r="AJ53" s="12" t="n">
        <f aca="false">AJ49+1</f>
        <v>2027</v>
      </c>
      <c r="AK53" s="14" t="n">
        <f aca="false">[4]'retirement benefit values'!aj54</f>
        <v>7688.9386955007</v>
      </c>
      <c r="AL53" s="12" t="n">
        <v>494.872748061</v>
      </c>
      <c r="AM53" s="12" t="n">
        <v>490.570191451</v>
      </c>
      <c r="AN53" s="12" t="n">
        <v>400.1590853363</v>
      </c>
      <c r="AO53" s="12" t="n">
        <v>768.3883278232</v>
      </c>
      <c r="AP53" s="12" t="n">
        <f aca="false">AP49+1</f>
        <v>2027</v>
      </c>
      <c r="AQ53" s="1" t="n">
        <f aca="false">AK53*[4]'inflation indexes'!i146</f>
        <v>7130.59348111713</v>
      </c>
      <c r="AR53" s="1" t="n">
        <f aca="false">AL53*[4]'inflation indexes'!i146</f>
        <v>458.93673119948</v>
      </c>
      <c r="AS53" s="1" t="n">
        <f aca="false">AN53*[4]'inflation indexes'!i146</f>
        <v>371.100860379926</v>
      </c>
      <c r="AT53" s="1" t="n">
        <f aca="false">AO53*[4]'inflation indexes'!i146</f>
        <v>712.590517147543</v>
      </c>
      <c r="AU53" s="1" t="n">
        <f aca="false">AM53*[4]'inflation indexes'!i146</f>
        <v>454.946611973617</v>
      </c>
    </row>
    <row r="54" customFormat="false" ht="15" hidden="false" customHeight="false" outlineLevel="0" collapsed="false">
      <c r="A54" s="14" t="n">
        <f aca="false">[4]'retirement benefit values'!b55</f>
        <v>6477.811618648</v>
      </c>
      <c r="B54" s="12" t="n">
        <v>461.5539869237</v>
      </c>
      <c r="C54" s="12" t="n">
        <v>458.9995363447</v>
      </c>
      <c r="D54" s="12" t="n">
        <v>379.588193788</v>
      </c>
      <c r="E54" s="12" t="n">
        <v>660.3478133706</v>
      </c>
      <c r="F54" s="12" t="n">
        <f aca="false">F50+1</f>
        <v>2027</v>
      </c>
      <c r="G54" s="10" t="n">
        <f aca="false">A54*[4]'inflation indexes'!i147</f>
        <v>6007.41443378465</v>
      </c>
      <c r="H54" s="12" t="n">
        <f aca="false">B54*[4]'inflation indexes'!i147</f>
        <v>428.037467936586</v>
      </c>
      <c r="I54" s="12" t="n">
        <f aca="false">D54*[4]'inflation indexes'!i147</f>
        <v>352.023758716869</v>
      </c>
      <c r="J54" s="1" t="n">
        <f aca="false">E54*[4]'inflation indexes'!i147</f>
        <v>612.395546350981</v>
      </c>
      <c r="K54" s="12" t="n">
        <f aca="false">C54*[4]'inflation indexes'!i147</f>
        <v>425.668513082373</v>
      </c>
      <c r="R54" s="12" t="n">
        <f aca="false">R50+1</f>
        <v>2027</v>
      </c>
      <c r="S54" s="9" t="n">
        <f aca="false">[4]'retirement benefit values'!p55</f>
        <v>7121.6742355415</v>
      </c>
      <c r="T54" s="12" t="n">
        <v>477.4719496926</v>
      </c>
      <c r="U54" s="12" t="n">
        <v>475.0808193021</v>
      </c>
      <c r="V54" s="12" t="n">
        <v>393.3780747911</v>
      </c>
      <c r="W54" s="12" t="n">
        <v>692.1179221708</v>
      </c>
      <c r="X54" s="12" t="n">
        <f aca="false">X50+1</f>
        <v>2027</v>
      </c>
      <c r="Y54" s="1" t="n">
        <f aca="false">S54*[4]'inflation indexes'!i147</f>
        <v>6604.52188392499</v>
      </c>
      <c r="Z54" s="1" t="n">
        <f aca="false">T54*[4]'inflation indexes'!i147</f>
        <v>442.799521068705</v>
      </c>
      <c r="AA54" s="1" t="n">
        <f aca="false">V54*[4]'inflation indexes'!i147</f>
        <v>364.812264319551</v>
      </c>
      <c r="AB54" s="1" t="n">
        <f aca="false">W54*[4]'inflation indexes'!i147</f>
        <v>641.858615270708</v>
      </c>
      <c r="AC54" s="1" t="n">
        <f aca="false">U54*[4]'inflation indexes'!i147</f>
        <v>440.582026632837</v>
      </c>
      <c r="AJ54" s="12" t="n">
        <f aca="false">AJ50+1</f>
        <v>2027</v>
      </c>
      <c r="AK54" s="14" t="n">
        <f aca="false">[4]'retirement benefit values'!aj55</f>
        <v>7734.4659793452</v>
      </c>
      <c r="AL54" s="12" t="n">
        <v>500.3926979366</v>
      </c>
      <c r="AM54" s="12" t="n">
        <v>491.2512235232</v>
      </c>
      <c r="AN54" s="12" t="n">
        <v>400.5147719647</v>
      </c>
      <c r="AO54" s="12" t="n">
        <v>752.5081508918</v>
      </c>
      <c r="AP54" s="12" t="n">
        <f aca="false">AP50+1</f>
        <v>2027</v>
      </c>
      <c r="AQ54" s="1" t="n">
        <f aca="false">AK54*[4]'inflation indexes'!i147</f>
        <v>7172.81472467894</v>
      </c>
      <c r="AR54" s="1" t="n">
        <f aca="false">AL54*[4]'inflation indexes'!i147</f>
        <v>464.055840631589</v>
      </c>
      <c r="AS54" s="1" t="n">
        <f aca="false">AN54*[4]'inflation indexes'!i147</f>
        <v>371.430718225622</v>
      </c>
      <c r="AT54" s="1" t="n">
        <f aca="false">AO54*[4]'inflation indexes'!i147</f>
        <v>697.863505970788</v>
      </c>
      <c r="AU54" s="1" t="n">
        <f aca="false">AM54*[4]'inflation indexes'!i147</f>
        <v>455.578189756556</v>
      </c>
    </row>
    <row r="55" customFormat="false" ht="15" hidden="false" customHeight="false" outlineLevel="0" collapsed="false">
      <c r="A55" s="14" t="n">
        <f aca="false">[4]'retirement benefit values'!b56</f>
        <v>6463.971690251</v>
      </c>
      <c r="B55" s="12" t="n">
        <v>462.6886083688</v>
      </c>
      <c r="C55" s="12" t="n">
        <v>447.4568342721</v>
      </c>
      <c r="D55" s="12" t="n">
        <v>360.9794808984</v>
      </c>
      <c r="E55" s="12" t="n">
        <v>684.7964936086</v>
      </c>
      <c r="F55" s="12" t="n">
        <f aca="false">F51+1</f>
        <v>2027</v>
      </c>
      <c r="G55" s="10" t="n">
        <f aca="false">A55*[4]'inflation indexes'!i148</f>
        <v>5994.57951506374</v>
      </c>
      <c r="H55" s="12" t="n">
        <f aca="false">B55*[4]'inflation indexes'!i148</f>
        <v>429.08969693728</v>
      </c>
      <c r="I55" s="12" t="n">
        <f aca="false">D55*[4]'inflation indexes'!i148</f>
        <v>334.766348809282</v>
      </c>
      <c r="J55" s="1" t="n">
        <f aca="false">E55*[4]'inflation indexes'!i148</f>
        <v>635.068844556495</v>
      </c>
      <c r="K55" s="12" t="n">
        <f aca="false">C55*[4]'inflation indexes'!i148</f>
        <v>414.96400373292</v>
      </c>
      <c r="R55" s="12" t="n">
        <f aca="false">R51+1</f>
        <v>2027</v>
      </c>
      <c r="S55" s="9" t="n">
        <f aca="false">[4]'retirement benefit values'!p56</f>
        <v>7096.5211941366</v>
      </c>
      <c r="T55" s="12" t="n">
        <v>493.210731628</v>
      </c>
      <c r="U55" s="12" t="n">
        <v>483.1840457931</v>
      </c>
      <c r="V55" s="12" t="n">
        <v>402.4105230299</v>
      </c>
      <c r="W55" s="12" t="n">
        <v>725.0551617065</v>
      </c>
      <c r="X55" s="12" t="n">
        <f aca="false">X51+1</f>
        <v>2027</v>
      </c>
      <c r="Y55" s="1" t="n">
        <f aca="false">S55*[4]'inflation indexes'!i148</f>
        <v>6581.19537292328</v>
      </c>
      <c r="Z55" s="1" t="n">
        <f aca="false">T55*[4]'inflation indexes'!i148</f>
        <v>457.395404884888</v>
      </c>
      <c r="AA55" s="1" t="n">
        <f aca="false">V55*[4]'inflation indexes'!i148</f>
        <v>373.188806139009</v>
      </c>
      <c r="AB55" s="1" t="n">
        <f aca="false">W55*[4]'inflation indexes'!i148</f>
        <v>672.404061764733</v>
      </c>
      <c r="AC55" s="1" t="n">
        <f aca="false">U55*[4]'inflation indexes'!i148</f>
        <v>448.096823704447</v>
      </c>
      <c r="AJ55" s="12" t="n">
        <f aca="false">AJ51+1</f>
        <v>2027</v>
      </c>
      <c r="AK55" s="14" t="n">
        <f aca="false">[4]'retirement benefit values'!aj56</f>
        <v>7755.4893851827</v>
      </c>
      <c r="AL55" s="12" t="n">
        <v>509.1727419759</v>
      </c>
      <c r="AM55" s="12" t="n">
        <v>497.7382333218</v>
      </c>
      <c r="AN55" s="12" t="n">
        <v>413.2900876838</v>
      </c>
      <c r="AO55" s="12" t="n">
        <v>741.710605939</v>
      </c>
      <c r="AP55" s="12" t="n">
        <f aca="false">AP51+1</f>
        <v>2027</v>
      </c>
      <c r="AQ55" s="1" t="n">
        <f aca="false">AK55*[4]'inflation indexes'!i148</f>
        <v>7192.31148054506</v>
      </c>
      <c r="AR55" s="1" t="n">
        <f aca="false">AL55*[4]'inflation indexes'!i148</f>
        <v>472.19830700698</v>
      </c>
      <c r="AS55" s="1" t="n">
        <f aca="false">AN55*[4]'inflation indexes'!i148</f>
        <v>383.278332908665</v>
      </c>
      <c r="AT55" s="1" t="n">
        <f aca="false">AO55*[4]'inflation indexes'!i148</f>
        <v>687.850042903699</v>
      </c>
      <c r="AU55" s="1" t="n">
        <f aca="false">AM55*[4]'inflation indexes'!i148</f>
        <v>461.594134428986</v>
      </c>
    </row>
    <row r="56" customFormat="false" ht="15" hidden="false" customHeight="false" outlineLevel="0" collapsed="false">
      <c r="A56" s="11" t="n">
        <f aca="false">[4]'retirement benefit values'!b57</f>
        <v>6470.8213987691</v>
      </c>
      <c r="B56" s="12" t="n">
        <v>582.6371448988</v>
      </c>
      <c r="C56" s="12" t="n">
        <v>570.0485649659</v>
      </c>
      <c r="D56" s="12" t="n">
        <v>483.7334351186</v>
      </c>
      <c r="E56" s="12" t="n">
        <v>798.2807842586</v>
      </c>
      <c r="F56" s="12" t="n">
        <f aca="false">F52+1</f>
        <v>2028</v>
      </c>
      <c r="G56" s="10" t="n">
        <f aca="false">A56*[4]'inflation indexes'!i149</f>
        <v>6000.93182047818</v>
      </c>
      <c r="H56" s="12" t="n">
        <f aca="false">B56*[4]'inflation indexes'!i149</f>
        <v>540.327968761564</v>
      </c>
      <c r="I56" s="12" t="n">
        <f aca="false">D56*[4]'inflation indexes'!i149</f>
        <v>448.606318200131</v>
      </c>
      <c r="J56" s="1" t="n">
        <f aca="false">E56*[4]'inflation indexes'!i149</f>
        <v>740.312282586715</v>
      </c>
      <c r="K56" s="12" t="n">
        <f aca="false">C56*[4]'inflation indexes'!i149</f>
        <v>528.65352973156</v>
      </c>
      <c r="R56" s="12" t="n">
        <f aca="false">R52+1</f>
        <v>2028</v>
      </c>
      <c r="S56" s="13" t="n">
        <f aca="false">[4]'retirement benefit values'!p57</f>
        <v>7125.8008205462</v>
      </c>
      <c r="T56" s="12" t="n">
        <v>609.2574327982</v>
      </c>
      <c r="U56" s="12" t="n">
        <v>611.3070775664</v>
      </c>
      <c r="V56" s="12" t="n">
        <v>526.2304334365</v>
      </c>
      <c r="W56" s="12" t="n">
        <v>810.8462562386</v>
      </c>
      <c r="X56" s="12" t="n">
        <f aca="false">X52+1</f>
        <v>2028</v>
      </c>
      <c r="Y56" s="1" t="n">
        <f aca="false">S56*[4]'inflation indexes'!i149</f>
        <v>6608.34881001961</v>
      </c>
      <c r="Z56" s="1" t="n">
        <f aca="false">T56*[4]'inflation indexes'!i149</f>
        <v>565.015179686005</v>
      </c>
      <c r="AA56" s="1" t="n">
        <f aca="false">V56*[4]'inflation indexes'!i149</f>
        <v>488.017325515092</v>
      </c>
      <c r="AB56" s="1" t="n">
        <f aca="false">W56*[4]'inflation indexes'!i149</f>
        <v>751.965291686681</v>
      </c>
      <c r="AC56" s="1" t="n">
        <f aca="false">U56*[4]'inflation indexes'!i149</f>
        <v>566.915986052335</v>
      </c>
      <c r="AJ56" s="12" t="n">
        <f aca="false">AJ52+1</f>
        <v>2028</v>
      </c>
      <c r="AK56" s="11" t="n">
        <f aca="false">[4]'retirement benefit values'!aj57</f>
        <v>7835.6373751122</v>
      </c>
      <c r="AL56" s="12" t="n">
        <v>641.0552856086</v>
      </c>
      <c r="AM56" s="12" t="n">
        <v>632.3230135239</v>
      </c>
      <c r="AN56" s="12" t="n">
        <v>537.4228153634</v>
      </c>
      <c r="AO56" s="12" t="n">
        <v>909.768761023</v>
      </c>
      <c r="AP56" s="12" t="n">
        <f aca="false">AP52+1</f>
        <v>2028</v>
      </c>
      <c r="AQ56" s="1" t="n">
        <f aca="false">AK56*[4]'inflation indexes'!i149</f>
        <v>7266.63938939552</v>
      </c>
      <c r="AR56" s="1" t="n">
        <f aca="false">AL56*[4]'inflation indexes'!i149</f>
        <v>594.503977937971</v>
      </c>
      <c r="AS56" s="1" t="n">
        <f aca="false">AN56*[4]'inflation indexes'!i149</f>
        <v>498.396953805382</v>
      </c>
      <c r="AT56" s="1" t="n">
        <f aca="false">AO56*[4]'inflation indexes'!i149</f>
        <v>843.704372421475</v>
      </c>
      <c r="AU56" s="1" t="n">
        <f aca="false">AM56*[4]'inflation indexes'!i149</f>
        <v>586.405814476356</v>
      </c>
    </row>
    <row r="57" customFormat="false" ht="15" hidden="false" customHeight="false" outlineLevel="0" collapsed="false">
      <c r="A57" s="14" t="n">
        <f aca="false">[4]'retirement benefit values'!b58</f>
        <v>6444.0477094199</v>
      </c>
      <c r="B57" s="12" t="n">
        <v>459.1300267968</v>
      </c>
      <c r="C57" s="12" t="n">
        <v>456.8279666908</v>
      </c>
      <c r="D57" s="12" t="n">
        <v>374.4472656372</v>
      </c>
      <c r="E57" s="12" t="n">
        <v>669.6916665461</v>
      </c>
      <c r="F57" s="12" t="n">
        <f aca="false">F53+1</f>
        <v>2028</v>
      </c>
      <c r="G57" s="10" t="n">
        <f aca="false">A57*[4]'inflation indexes'!i150</f>
        <v>5976.1023476082</v>
      </c>
      <c r="H57" s="12" t="n">
        <f aca="false">B57*[4]'inflation indexes'!i150</f>
        <v>425.789527750839</v>
      </c>
      <c r="I57" s="12" t="n">
        <f aca="false">D57*[4]'inflation indexes'!i150</f>
        <v>347.256147709587</v>
      </c>
      <c r="J57" s="1" t="n">
        <f aca="false">E57*[4]'inflation indexes'!i150</f>
        <v>621.06087991395</v>
      </c>
      <c r="K57" s="12" t="n">
        <f aca="false">C57*[4]'inflation indexes'!i150</f>
        <v>423.654635610967</v>
      </c>
      <c r="R57" s="12" t="n">
        <f aca="false">R53+1</f>
        <v>2028</v>
      </c>
      <c r="S57" s="9" t="n">
        <f aca="false">[4]'retirement benefit values'!p58</f>
        <v>7161.879978014</v>
      </c>
      <c r="T57" s="12" t="n">
        <v>484.8008337984</v>
      </c>
      <c r="U57" s="12" t="n">
        <v>482.7752909951</v>
      </c>
      <c r="V57" s="12" t="n">
        <v>397.0870414943</v>
      </c>
      <c r="W57" s="12" t="n">
        <v>705.6405659163</v>
      </c>
      <c r="X57" s="12" t="n">
        <f aca="false">X53+1</f>
        <v>2028</v>
      </c>
      <c r="Y57" s="1" t="n">
        <f aca="false">S57*[4]'inflation indexes'!i150</f>
        <v>6641.80801879112</v>
      </c>
      <c r="Z57" s="1" t="n">
        <f aca="false">T57*[4]'inflation indexes'!i150</f>
        <v>449.59620592968</v>
      </c>
      <c r="AA57" s="1" t="n">
        <f aca="false">V57*[4]'inflation indexes'!i150</f>
        <v>368.251898167977</v>
      </c>
      <c r="AB57" s="1" t="n">
        <f aca="false">W57*[4]'inflation indexes'!i150</f>
        <v>654.399289498681</v>
      </c>
      <c r="AC57" s="1" t="n">
        <f aca="false">U57*[4]'inflation indexes'!i150</f>
        <v>447.717751323535</v>
      </c>
      <c r="AJ57" s="12" t="n">
        <f aca="false">AJ53+1</f>
        <v>2028</v>
      </c>
      <c r="AK57" s="14" t="n">
        <f aca="false">[4]'retirement benefit values'!aj58</f>
        <v>7893.9486231452</v>
      </c>
      <c r="AL57" s="12" t="n">
        <v>501.7339112208</v>
      </c>
      <c r="AM57" s="12" t="n">
        <v>491.6319876774</v>
      </c>
      <c r="AN57" s="12" t="n">
        <v>404.9721441312</v>
      </c>
      <c r="AO57" s="12" t="n">
        <v>756.7724967264</v>
      </c>
      <c r="AP57" s="12" t="n">
        <f aca="false">AP53+1</f>
        <v>2028</v>
      </c>
      <c r="AQ57" s="1" t="n">
        <f aca="false">AK57*[4]'inflation indexes'!i150</f>
        <v>7320.71626808662</v>
      </c>
      <c r="AR57" s="1" t="n">
        <f aca="false">AL57*[4]'inflation indexes'!i150</f>
        <v>465.299659457548</v>
      </c>
      <c r="AS57" s="1" t="n">
        <f aca="false">AN57*[4]'inflation indexes'!i150</f>
        <v>375.564410815987</v>
      </c>
      <c r="AT57" s="1" t="n">
        <f aca="false">AO57*[4]'inflation indexes'!i150</f>
        <v>701.818189160969</v>
      </c>
      <c r="AU57" s="1" t="n">
        <f aca="false">AM57*[4]'inflation indexes'!i150</f>
        <v>455.931304081342</v>
      </c>
    </row>
    <row r="58" customFormat="false" ht="15" hidden="false" customHeight="false" outlineLevel="0" collapsed="false">
      <c r="A58" s="14" t="n">
        <f aca="false">[4]'retirement benefit values'!b59</f>
        <v>6435.112936811</v>
      </c>
      <c r="B58" s="12" t="n">
        <v>458.9696265469</v>
      </c>
      <c r="C58" s="12" t="n">
        <v>452.5132508834</v>
      </c>
      <c r="D58" s="12" t="n">
        <v>371.0254980406</v>
      </c>
      <c r="E58" s="12" t="n">
        <v>656.6882243299</v>
      </c>
      <c r="F58" s="12" t="n">
        <f aca="false">F54+1</f>
        <v>2028</v>
      </c>
      <c r="G58" s="10" t="n">
        <f aca="false">A58*[4]'inflation indexes'!i151</f>
        <v>5967.81638853851</v>
      </c>
      <c r="H58" s="12" t="n">
        <f aca="false">B58*[4]'inflation indexes'!i151</f>
        <v>425.640775234841</v>
      </c>
      <c r="I58" s="12" t="n">
        <f aca="false">D58*[4]'inflation indexes'!i151</f>
        <v>344.082857521633</v>
      </c>
      <c r="J58" s="1" t="n">
        <f aca="false">E58*[4]'inflation indexes'!i151</f>
        <v>609.001704523051</v>
      </c>
      <c r="K58" s="12" t="n">
        <f aca="false">C58*[4]'inflation indexes'!i151</f>
        <v>419.653240148271</v>
      </c>
      <c r="R58" s="12" t="n">
        <f aca="false">R54+1</f>
        <v>2028</v>
      </c>
      <c r="S58" s="9" t="n">
        <f aca="false">[4]'retirement benefit values'!p59</f>
        <v>7141.2031267938</v>
      </c>
      <c r="T58" s="12" t="n">
        <v>491.1393379854</v>
      </c>
      <c r="U58" s="12" t="n">
        <v>489.7287458612</v>
      </c>
      <c r="V58" s="12" t="n">
        <v>406.6542484284</v>
      </c>
      <c r="W58" s="12" t="n">
        <v>698.1040361838</v>
      </c>
      <c r="X58" s="12" t="n">
        <f aca="false">X54+1</f>
        <v>2028</v>
      </c>
      <c r="Y58" s="1" t="n">
        <f aca="false">S58*[4]'inflation indexes'!i151</f>
        <v>6622.63265189594</v>
      </c>
      <c r="Z58" s="1" t="n">
        <f aca="false">T58*[4]'inflation indexes'!i151</f>
        <v>455.474428975249</v>
      </c>
      <c r="AA58" s="1" t="n">
        <f aca="false">V58*[4]'inflation indexes'!i151</f>
        <v>377.124366280737</v>
      </c>
      <c r="AB58" s="1" t="n">
        <f aca="false">W58*[4]'inflation indexes'!i151</f>
        <v>647.410037547399</v>
      </c>
      <c r="AC58" s="1" t="n">
        <f aca="false">U58*[4]'inflation indexes'!i151</f>
        <v>454.166269370436</v>
      </c>
      <c r="AJ58" s="12" t="n">
        <f aca="false">AJ54+1</f>
        <v>2028</v>
      </c>
      <c r="AK58" s="14" t="n">
        <f aca="false">[4]'retirement benefit values'!aj59</f>
        <v>7890.1689324318</v>
      </c>
      <c r="AL58" s="12" t="n">
        <v>509.7544872448</v>
      </c>
      <c r="AM58" s="12" t="n">
        <v>501.3244777324</v>
      </c>
      <c r="AN58" s="12" t="n">
        <v>415.7176833621</v>
      </c>
      <c r="AO58" s="12" t="n">
        <v>755.2459251562</v>
      </c>
      <c r="AP58" s="12" t="n">
        <f aca="false">AP54+1</f>
        <v>2028</v>
      </c>
      <c r="AQ58" s="1" t="n">
        <f aca="false">AK58*[4]'inflation indexes'!i151</f>
        <v>7317.21104597094</v>
      </c>
      <c r="AR58" s="1" t="n">
        <f aca="false">AL58*[4]'inflation indexes'!i151</f>
        <v>472.737807864818</v>
      </c>
      <c r="AS58" s="1" t="n">
        <f aca="false">AN58*[4]'inflation indexes'!i151</f>
        <v>385.529644644133</v>
      </c>
      <c r="AT58" s="1" t="n">
        <f aca="false">AO58*[4]'inflation indexes'!i151</f>
        <v>700.402472152678</v>
      </c>
      <c r="AU58" s="1" t="n">
        <f aca="false">AM58*[4]'inflation indexes'!i151</f>
        <v>464.91995767048</v>
      </c>
    </row>
    <row r="59" customFormat="false" ht="15" hidden="false" customHeight="false" outlineLevel="0" collapsed="false">
      <c r="A59" s="14" t="n">
        <f aca="false">[4]'retirement benefit values'!b60</f>
        <v>6463.7338694342</v>
      </c>
      <c r="B59" s="12" t="n">
        <v>464.9482251248</v>
      </c>
      <c r="C59" s="12" t="n">
        <v>450.4854413816</v>
      </c>
      <c r="D59" s="12" t="n">
        <v>367.0541550887</v>
      </c>
      <c r="E59" s="12" t="n">
        <v>661.9119548771</v>
      </c>
      <c r="F59" s="12" t="n">
        <f aca="false">F55+1</f>
        <v>2028</v>
      </c>
      <c r="G59" s="10" t="n">
        <f aca="false">A59*[4]'inflation indexes'!i152</f>
        <v>5994.35896400552</v>
      </c>
      <c r="H59" s="12" t="n">
        <f aca="false">B59*[4]'inflation indexes'!i152</f>
        <v>431.185227822392</v>
      </c>
      <c r="I59" s="12" t="n">
        <f aca="false">D59*[4]'inflation indexes'!i152</f>
        <v>340.399900317062</v>
      </c>
      <c r="J59" s="1" t="n">
        <f aca="false">E59*[4]'inflation indexes'!i152</f>
        <v>613.846105091464</v>
      </c>
      <c r="K59" s="12" t="n">
        <f aca="false">C59*[4]'inflation indexes'!i152</f>
        <v>417.772683443749</v>
      </c>
      <c r="R59" s="12" t="n">
        <f aca="false">R55+1</f>
        <v>2028</v>
      </c>
      <c r="S59" s="9" t="n">
        <f aca="false">[4]'retirement benefit values'!p60</f>
        <v>7173.2955916157</v>
      </c>
      <c r="T59" s="12" t="n">
        <v>489.4840277067</v>
      </c>
      <c r="U59" s="12" t="n">
        <v>491.0659119493</v>
      </c>
      <c r="V59" s="12" t="n">
        <v>412.249275599</v>
      </c>
      <c r="W59" s="12" t="n">
        <v>724.3785613209</v>
      </c>
      <c r="X59" s="12" t="n">
        <f aca="false">X55+1</f>
        <v>2028</v>
      </c>
      <c r="Y59" s="1" t="n">
        <f aca="false">S59*[4]'inflation indexes'!i152</f>
        <v>6652.39466841272</v>
      </c>
      <c r="Z59" s="1" t="n">
        <f aca="false">T59*[4]'inflation indexes'!i152</f>
        <v>453.939321836284</v>
      </c>
      <c r="AA59" s="1" t="n">
        <f aca="false">V59*[4]'inflation indexes'!i152</f>
        <v>382.313101143807</v>
      </c>
      <c r="AB59" s="1" t="n">
        <f aca="false">W59*[4]'inflation indexes'!i152</f>
        <v>671.776593854018</v>
      </c>
      <c r="AC59" s="1" t="n">
        <f aca="false">U59*[4]'inflation indexes'!i152</f>
        <v>455.406334894246</v>
      </c>
      <c r="AJ59" s="12" t="n">
        <f aca="false">AJ55+1</f>
        <v>2028</v>
      </c>
      <c r="AK59" s="14" t="n">
        <f aca="false">[4]'retirement benefit values'!aj60</f>
        <v>7934.8342404828</v>
      </c>
      <c r="AL59" s="12" t="n">
        <v>518.8894654683</v>
      </c>
      <c r="AM59" s="12" t="n">
        <v>504.5298898472</v>
      </c>
      <c r="AN59" s="12" t="n">
        <v>420.9686077707</v>
      </c>
      <c r="AO59" s="12" t="n">
        <v>752.3494557334</v>
      </c>
      <c r="AP59" s="12" t="n">
        <f aca="false">AP55+1</f>
        <v>2028</v>
      </c>
      <c r="AQ59" s="1" t="n">
        <f aca="false">AK59*[4]'inflation indexes'!i152</f>
        <v>7358.63290756114</v>
      </c>
      <c r="AR59" s="1" t="n">
        <f aca="false">AL59*[4]'inflation indexes'!i152</f>
        <v>481.209434281706</v>
      </c>
      <c r="AS59" s="1" t="n">
        <f aca="false">AN59*[4]'inflation indexes'!i152</f>
        <v>390.399264345966</v>
      </c>
      <c r="AT59" s="1" t="n">
        <f aca="false">AO59*[4]'inflation indexes'!i152</f>
        <v>697.716334728203</v>
      </c>
      <c r="AU59" s="1" t="n">
        <f aca="false">AM59*[4]'inflation indexes'!i152</f>
        <v>467.892603393805</v>
      </c>
    </row>
    <row r="60" customFormat="false" ht="15" hidden="false" customHeight="false" outlineLevel="0" collapsed="false">
      <c r="A60" s="11" t="n">
        <f aca="false">[4]'retirement benefit values'!b61</f>
        <v>6455.974634168</v>
      </c>
      <c r="B60" s="12" t="n">
        <v>579.4868245114</v>
      </c>
      <c r="C60" s="12" t="n">
        <v>569.2622686412</v>
      </c>
      <c r="D60" s="12" t="n">
        <v>475.3888088914</v>
      </c>
      <c r="E60" s="12" t="n">
        <v>805.8802807489</v>
      </c>
      <c r="F60" s="12" t="n">
        <f aca="false">F56+1</f>
        <v>2029</v>
      </c>
      <c r="G60" s="10" t="n">
        <f aca="false">A60*[4]'inflation indexes'!i153</f>
        <v>5987.1631786574</v>
      </c>
      <c r="H60" s="12" t="n">
        <f aca="false">B60*[4]'inflation indexes'!i153</f>
        <v>537.406414187202</v>
      </c>
      <c r="I60" s="12" t="n">
        <f aca="false">D60*[4]'inflation indexes'!i153</f>
        <v>440.867651040143</v>
      </c>
      <c r="J60" s="1" t="n">
        <f aca="false">E60*[4]'inflation indexes'!i153</f>
        <v>747.359928858783</v>
      </c>
      <c r="K60" s="12" t="n">
        <f aca="false">C60*[4]'inflation indexes'!i153</f>
        <v>527.924331636846</v>
      </c>
      <c r="R60" s="12" t="n">
        <f aca="false">R56+1</f>
        <v>2029</v>
      </c>
      <c r="S60" s="13" t="n">
        <f aca="false">[4]'retirement benefit values'!p61</f>
        <v>7213.611707775</v>
      </c>
      <c r="T60" s="12" t="n">
        <v>628.1039567587</v>
      </c>
      <c r="U60" s="12" t="n">
        <v>617.9614691309</v>
      </c>
      <c r="V60" s="12" t="n">
        <v>528.7064022137</v>
      </c>
      <c r="W60" s="12" t="n">
        <v>856.6809897909</v>
      </c>
      <c r="X60" s="12" t="n">
        <f aca="false">X56+1</f>
        <v>2029</v>
      </c>
      <c r="Y60" s="1" t="n">
        <f aca="false">S60*[4]'inflation indexes'!i153</f>
        <v>6689.78316199477</v>
      </c>
      <c r="Z60" s="1" t="n">
        <f aca="false">T60*[4]'inflation indexes'!i153</f>
        <v>582.493131613635</v>
      </c>
      <c r="AA60" s="1" t="n">
        <f aca="false">V60*[4]'inflation indexes'!i153</f>
        <v>490.313497655531</v>
      </c>
      <c r="AB60" s="1" t="n">
        <f aca="false">W60*[4]'inflation indexes'!i153</f>
        <v>794.4716589787</v>
      </c>
      <c r="AC60" s="1" t="n">
        <f aca="false">U60*[4]'inflation indexes'!i153</f>
        <v>573.087157782237</v>
      </c>
      <c r="AJ60" s="12" t="n">
        <f aca="false">AJ56+1</f>
        <v>2029</v>
      </c>
      <c r="AK60" s="11" t="n">
        <f aca="false">[4]'retirement benefit values'!aj61</f>
        <v>7955.3303581336</v>
      </c>
      <c r="AL60" s="12" t="n">
        <v>648.1269865543</v>
      </c>
      <c r="AM60" s="12" t="n">
        <v>638.0856089483</v>
      </c>
      <c r="AN60" s="12" t="n">
        <v>552.4955437491</v>
      </c>
      <c r="AO60" s="12" t="n">
        <v>914.0962950001</v>
      </c>
      <c r="AP60" s="12" t="n">
        <f aca="false">AP56+1</f>
        <v>2029</v>
      </c>
      <c r="AQ60" s="1" t="n">
        <f aca="false">AK60*[4]'inflation indexes'!i153</f>
        <v>7377.64066515901</v>
      </c>
      <c r="AR60" s="1" t="n">
        <f aca="false">AL60*[4]'inflation indexes'!i153</f>
        <v>601.06215542654</v>
      </c>
      <c r="AS60" s="1" t="n">
        <f aca="false">AN60*[4]'inflation indexes'!i153</f>
        <v>512.375150670524</v>
      </c>
      <c r="AT60" s="1" t="n">
        <f aca="false">AO60*[4]'inflation indexes'!i153</f>
        <v>847.71765524092</v>
      </c>
      <c r="AU60" s="1" t="n">
        <f aca="false">AM60*[4]'inflation indexes'!i153</f>
        <v>591.749949342666</v>
      </c>
    </row>
    <row r="61" customFormat="false" ht="15" hidden="false" customHeight="false" outlineLevel="0" collapsed="false">
      <c r="A61" s="14" t="n">
        <f aca="false">[4]'retirement benefit values'!b62</f>
        <v>6430.8727678634</v>
      </c>
      <c r="B61" s="12" t="n">
        <v>460.9721078674</v>
      </c>
      <c r="C61" s="12" t="n">
        <v>453.0714553224</v>
      </c>
      <c r="D61" s="12" t="n">
        <v>366.3595751465</v>
      </c>
      <c r="E61" s="12" t="n">
        <v>666.9911461163</v>
      </c>
      <c r="F61" s="12" t="n">
        <f aca="false">F57+1</f>
        <v>2029</v>
      </c>
      <c r="G61" s="10" t="n">
        <f aca="false">A61*[4]'inflation indexes'!i154</f>
        <v>5963.88412659002</v>
      </c>
      <c r="H61" s="12" t="n">
        <f aca="false">B61*[4]'inflation indexes'!i154</f>
        <v>427.497843006545</v>
      </c>
      <c r="I61" s="12" t="n">
        <f aca="false">D61*[4]'inflation indexes'!i154</f>
        <v>339.755758465487</v>
      </c>
      <c r="J61" s="1" t="n">
        <f aca="false">E61*[4]'inflation indexes'!i154</f>
        <v>618.556462316809</v>
      </c>
      <c r="K61" s="12" t="n">
        <f aca="false">C61*[4]'inflation indexes'!i154</f>
        <v>420.170909633163</v>
      </c>
      <c r="R61" s="12" t="n">
        <f aca="false">R57+1</f>
        <v>2029</v>
      </c>
      <c r="S61" s="9" t="n">
        <f aca="false">[4]'retirement benefit values'!p62</f>
        <v>7233.2850177623</v>
      </c>
      <c r="T61" s="12" t="n">
        <v>496.4360539151</v>
      </c>
      <c r="U61" s="12" t="n">
        <v>485.1404212665</v>
      </c>
      <c r="V61" s="12" t="n">
        <v>404.6200600665</v>
      </c>
      <c r="W61" s="12" t="n">
        <v>710.2037079544</v>
      </c>
      <c r="X61" s="12" t="n">
        <f aca="false">X57+1</f>
        <v>2029</v>
      </c>
      <c r="Y61" s="1" t="n">
        <f aca="false">S61*[4]'inflation indexes'!i154</f>
        <v>6708.0278614914</v>
      </c>
      <c r="Z61" s="1" t="n">
        <f aca="false">T61*[4]'inflation indexes'!i154</f>
        <v>460.386514969867</v>
      </c>
      <c r="AA61" s="1" t="n">
        <f aca="false">V61*[4]'inflation indexes'!i154</f>
        <v>375.237893927768</v>
      </c>
      <c r="AB61" s="1" t="n">
        <f aca="false">W61*[4]'inflation indexes'!i154</f>
        <v>658.631071303538</v>
      </c>
      <c r="AC61" s="1" t="n">
        <f aca="false">U61*[4]'inflation indexes'!i154</f>
        <v>449.911133682677</v>
      </c>
      <c r="AJ61" s="12" t="n">
        <f aca="false">AJ57+1</f>
        <v>2029</v>
      </c>
      <c r="AK61" s="14" t="n">
        <f aca="false">[4]'retirement benefit values'!aj62</f>
        <v>8001.3695049004</v>
      </c>
      <c r="AL61" s="12" t="n">
        <v>516.8784205541</v>
      </c>
      <c r="AM61" s="12" t="n">
        <v>506.5009272283</v>
      </c>
      <c r="AN61" s="12" t="n">
        <v>424.4185835645</v>
      </c>
      <c r="AO61" s="12" t="n">
        <v>761.4002349607</v>
      </c>
      <c r="AP61" s="12" t="n">
        <f aca="false">AP57+1</f>
        <v>2029</v>
      </c>
      <c r="AQ61" s="1" t="n">
        <f aca="false">AK61*[4]'inflation indexes'!i154</f>
        <v>7420.33660185618</v>
      </c>
      <c r="AR61" s="1" t="n">
        <f aca="false">AL61*[4]'inflation indexes'!i154</f>
        <v>479.344424776061</v>
      </c>
      <c r="AS61" s="1" t="n">
        <f aca="false">AN61*[4]'inflation indexes'!i154</f>
        <v>393.598714345441</v>
      </c>
      <c r="AT61" s="1" t="n">
        <f aca="false">AO61*[4]'inflation indexes'!i154</f>
        <v>706.109876400604</v>
      </c>
      <c r="AU61" s="1" t="n">
        <f aca="false">AM61*[4]'inflation indexes'!i154</f>
        <v>469.720510580649</v>
      </c>
    </row>
    <row r="62" customFormat="false" ht="15" hidden="false" customHeight="false" outlineLevel="0" collapsed="false">
      <c r="A62" s="14" t="n">
        <f aca="false">[4]'retirement benefit values'!b63</f>
        <v>6424.4667416436</v>
      </c>
      <c r="B62" s="12" t="n">
        <v>456.1834239093</v>
      </c>
      <c r="C62" s="12" t="n">
        <v>449.3467253056</v>
      </c>
      <c r="D62" s="12" t="n">
        <v>367.0920454219</v>
      </c>
      <c r="E62" s="12" t="n">
        <v>645.6212538337</v>
      </c>
      <c r="F62" s="12" t="n">
        <f aca="false">F58+1</f>
        <v>2029</v>
      </c>
      <c r="G62" s="10" t="n">
        <f aca="false">A62*[4]'inflation indexes'!i155</f>
        <v>5957.94328473762</v>
      </c>
      <c r="H62" s="12" t="n">
        <f aca="false">B62*[4]'inflation indexes'!i155</f>
        <v>423.056897387517</v>
      </c>
      <c r="I62" s="12" t="n">
        <f aca="false">D62*[4]'inflation indexes'!i155</f>
        <v>340.435039179994</v>
      </c>
      <c r="J62" s="1" t="n">
        <f aca="false">E62*[4]'inflation indexes'!i155</f>
        <v>598.738380701507</v>
      </c>
      <c r="K62" s="12" t="n">
        <f aca="false">C62*[4]'inflation indexes'!i155</f>
        <v>416.716657150664</v>
      </c>
      <c r="R62" s="12" t="n">
        <f aca="false">R58+1</f>
        <v>2029</v>
      </c>
      <c r="S62" s="9" t="n">
        <f aca="false">[4]'retirement benefit values'!p63</f>
        <v>7207.8347454866</v>
      </c>
      <c r="T62" s="12" t="n">
        <v>496.8818253221</v>
      </c>
      <c r="U62" s="12" t="n">
        <v>486.5111751722</v>
      </c>
      <c r="V62" s="12" t="n">
        <v>405.7115537139</v>
      </c>
      <c r="W62" s="12" t="n">
        <v>723.3233256937</v>
      </c>
      <c r="X62" s="12" t="n">
        <f aca="false">X58+1</f>
        <v>2029</v>
      </c>
      <c r="Y62" s="1" t="n">
        <f aca="false">S62*[4]'inflation indexes'!i155</f>
        <v>6684.42570353845</v>
      </c>
      <c r="Z62" s="1" t="n">
        <f aca="false">T62*[4]'inflation indexes'!i155</f>
        <v>460.799915936464</v>
      </c>
      <c r="AA62" s="1" t="n">
        <f aca="false">V62*[4]'inflation indexes'!i155</f>
        <v>376.250126928324</v>
      </c>
      <c r="AB62" s="1" t="n">
        <f aca="false">W62*[4]'inflation indexes'!i155</f>
        <v>670.797985936548</v>
      </c>
      <c r="AC62" s="1" t="n">
        <f aca="false">U62*[4]'inflation indexes'!i155</f>
        <v>451.182347988225</v>
      </c>
      <c r="AJ62" s="12" t="n">
        <f aca="false">AJ58+1</f>
        <v>2029</v>
      </c>
      <c r="AK62" s="14" t="n">
        <f aca="false">[4]'retirement benefit values'!aj63</f>
        <v>8038.4035976877</v>
      </c>
      <c r="AL62" s="12" t="n">
        <v>518.2660609303</v>
      </c>
      <c r="AM62" s="12" t="n">
        <v>510.4916529219</v>
      </c>
      <c r="AN62" s="12" t="n">
        <v>425.6274155709</v>
      </c>
      <c r="AO62" s="12" t="n">
        <v>801.1180371065</v>
      </c>
      <c r="AP62" s="12" t="n">
        <f aca="false">AP58+1</f>
        <v>2029</v>
      </c>
      <c r="AQ62" s="1" t="n">
        <f aca="false">AK62*[4]'inflation indexes'!i155</f>
        <v>7454.68140171299</v>
      </c>
      <c r="AR62" s="1" t="n">
        <f aca="false">AL62*[4]'inflation indexes'!i155</f>
        <v>480.631299312655</v>
      </c>
      <c r="AS62" s="1" t="n">
        <f aca="false">AN62*[4]'inflation indexes'!i155</f>
        <v>394.719764982722</v>
      </c>
      <c r="AT62" s="1" t="n">
        <f aca="false">AO62*[4]'inflation indexes'!i155</f>
        <v>742.943503547464</v>
      </c>
      <c r="AU62" s="1" t="n">
        <f aca="false">AM62*[4]'inflation indexes'!i155</f>
        <v>473.421443016534</v>
      </c>
    </row>
    <row r="63" customFormat="false" ht="15" hidden="false" customHeight="false" outlineLevel="0" collapsed="false">
      <c r="A63" s="14" t="n">
        <f aca="false">[4]'retirement benefit values'!b64</f>
        <v>6432.1707133846</v>
      </c>
      <c r="B63" s="12" t="n">
        <v>458.0102664979</v>
      </c>
      <c r="C63" s="12" t="n">
        <v>444.8227339089</v>
      </c>
      <c r="D63" s="12" t="n">
        <v>354.5120482503</v>
      </c>
      <c r="E63" s="12" t="n">
        <v>645.6784228802</v>
      </c>
      <c r="F63" s="12" t="n">
        <f aca="false">F59+1</f>
        <v>2029</v>
      </c>
      <c r="G63" s="10" t="n">
        <f aca="false">A63*[4]'inflation indexes'!i156</f>
        <v>5965.08781961436</v>
      </c>
      <c r="H63" s="12" t="n">
        <f aca="false">B63*[4]'inflation indexes'!i156</f>
        <v>424.75108072922</v>
      </c>
      <c r="I63" s="12" t="n">
        <f aca="false">D63*[4]'inflation indexes'!i156</f>
        <v>328.768559659644</v>
      </c>
      <c r="J63" s="1" t="n">
        <f aca="false">E63*[4]'inflation indexes'!i156</f>
        <v>598.79139832155</v>
      </c>
      <c r="K63" s="12" t="n">
        <f aca="false">C63*[4]'inflation indexes'!i156</f>
        <v>412.521182997539</v>
      </c>
      <c r="R63" s="12" t="n">
        <f aca="false">R59+1</f>
        <v>2029</v>
      </c>
      <c r="S63" s="9" t="n">
        <f aca="false">[4]'retirement benefit values'!p64</f>
        <v>7198.1655193189</v>
      </c>
      <c r="T63" s="12" t="n">
        <v>490.9895221947</v>
      </c>
      <c r="U63" s="12" t="n">
        <v>477.4535656749</v>
      </c>
      <c r="V63" s="12" t="n">
        <v>393.327096576</v>
      </c>
      <c r="W63" s="12" t="n">
        <v>722.1725101875</v>
      </c>
      <c r="X63" s="12" t="n">
        <f aca="false">X59+1</f>
        <v>2029</v>
      </c>
      <c r="Y63" s="1" t="n">
        <f aca="false">S63*[4]'inflation indexes'!i156</f>
        <v>6675.45862449031</v>
      </c>
      <c r="Z63" s="1" t="n">
        <f aca="false">T63*[4]'inflation indexes'!i156</f>
        <v>455.335492310146</v>
      </c>
      <c r="AA63" s="1" t="n">
        <f aca="false">V63*[4]'inflation indexes'!i156</f>
        <v>364.764987973274</v>
      </c>
      <c r="AB63" s="1" t="n">
        <f aca="false">W63*[4]'inflation indexes'!i156</f>
        <v>669.730738833735</v>
      </c>
      <c r="AC63" s="1" t="n">
        <f aca="false">U63*[4]'inflation indexes'!i156</f>
        <v>442.782472037367</v>
      </c>
      <c r="AJ63" s="12" t="n">
        <f aca="false">AJ59+1</f>
        <v>2029</v>
      </c>
      <c r="AK63" s="14" t="n">
        <f aca="false">[4]'retirement benefit values'!aj64</f>
        <v>8063.9715415989</v>
      </c>
      <c r="AL63" s="12" t="n">
        <v>515.4596886558</v>
      </c>
      <c r="AM63" s="12" t="n">
        <v>504.2872255772</v>
      </c>
      <c r="AN63" s="12" t="n">
        <v>425.6122146548</v>
      </c>
      <c r="AO63" s="12" t="n">
        <v>770.3349287934</v>
      </c>
      <c r="AP63" s="12" t="n">
        <f aca="false">AP59+1</f>
        <v>2029</v>
      </c>
      <c r="AQ63" s="1" t="n">
        <f aca="false">AK63*[4]'inflation indexes'!i156</f>
        <v>7478.39268637773</v>
      </c>
      <c r="AR63" s="1" t="n">
        <f aca="false">AL63*[4]'inflation indexes'!i156</f>
        <v>478.028716480534</v>
      </c>
      <c r="AS63" s="1" t="n">
        <f aca="false">AN63*[4]'inflation indexes'!i156</f>
        <v>394.705667906709</v>
      </c>
      <c r="AT63" s="1" t="n">
        <f aca="false">AO63*[4]'inflation indexes'!i156</f>
        <v>714.395762414561</v>
      </c>
      <c r="AU63" s="1" t="n">
        <f aca="false">AM63*[4]'inflation indexes'!i156</f>
        <v>467.667560597876</v>
      </c>
    </row>
    <row r="64" customFormat="false" ht="15" hidden="false" customHeight="false" outlineLevel="0" collapsed="false">
      <c r="A64" s="11" t="n">
        <f aca="false">[4]'retirement benefit values'!b65</f>
        <v>6462.8025504257</v>
      </c>
      <c r="B64" s="12" t="n">
        <v>575.5561150674</v>
      </c>
      <c r="C64" s="12" t="n">
        <v>562.2521371436</v>
      </c>
      <c r="D64" s="12" t="n">
        <v>471.6741614358</v>
      </c>
      <c r="E64" s="12" t="n">
        <v>760.799489399</v>
      </c>
      <c r="F64" s="12" t="n">
        <f aca="false">F60+1</f>
        <v>2030</v>
      </c>
      <c r="G64" s="10" t="n">
        <f aca="false">A64*[4]'inflation indexes'!i157</f>
        <v>5993.49527429308</v>
      </c>
      <c r="H64" s="12" t="n">
        <f aca="false">B64*[4]'inflation indexes'!i157</f>
        <v>533.761139820019</v>
      </c>
      <c r="I64" s="12" t="n">
        <f aca="false">D64*[4]'inflation indexes'!i157</f>
        <v>437.422748956706</v>
      </c>
      <c r="J64" s="1" t="n">
        <f aca="false">E64*[4]'inflation indexes'!i157</f>
        <v>705.552754988181</v>
      </c>
      <c r="K64" s="12" t="n">
        <f aca="false">C64*[4]'inflation indexes'!i157</f>
        <v>521.423252627358</v>
      </c>
      <c r="R64" s="12" t="n">
        <f aca="false">R60+1</f>
        <v>2030</v>
      </c>
      <c r="S64" s="13" t="n">
        <f aca="false">[4]'retirement benefit values'!p65</f>
        <v>7208.5949953614</v>
      </c>
      <c r="T64" s="12" t="n">
        <v>614.3305871163</v>
      </c>
      <c r="U64" s="12" t="n">
        <v>608.6591420975</v>
      </c>
      <c r="V64" s="12" t="n">
        <v>515.122378892</v>
      </c>
      <c r="W64" s="12" t="n">
        <v>864.446638939</v>
      </c>
      <c r="X64" s="12" t="n">
        <f aca="false">X60+1</f>
        <v>2030</v>
      </c>
      <c r="Y64" s="1" t="n">
        <f aca="false">S64*[4]'inflation indexes'!i157</f>
        <v>6685.13074659003</v>
      </c>
      <c r="Z64" s="1" t="n">
        <f aca="false">T64*[4]'inflation indexes'!i157</f>
        <v>569.719938371428</v>
      </c>
      <c r="AA64" s="1" t="n">
        <f aca="false">V64*[4]'inflation indexes'!i157</f>
        <v>477.715901032509</v>
      </c>
      <c r="AB64" s="1" t="n">
        <f aca="false">W64*[4]'inflation indexes'!i157</f>
        <v>801.673392453892</v>
      </c>
      <c r="AC64" s="1" t="n">
        <f aca="false">U64*[4]'inflation indexes'!i157</f>
        <v>564.460334870722</v>
      </c>
      <c r="AJ64" s="12" t="n">
        <f aca="false">AJ60+1</f>
        <v>2030</v>
      </c>
      <c r="AK64" s="11" t="n">
        <f aca="false">[4]'retirement benefit values'!aj65</f>
        <v>8094.3272383522</v>
      </c>
      <c r="AL64" s="12" t="n">
        <v>647.2199654164</v>
      </c>
      <c r="AM64" s="12" t="n">
        <v>639.6456308408</v>
      </c>
      <c r="AN64" s="12" t="n">
        <v>567.592606838</v>
      </c>
      <c r="AO64" s="12" t="n">
        <v>902.8494120716</v>
      </c>
      <c r="AP64" s="12" t="n">
        <f aca="false">AP60+1</f>
        <v>2030</v>
      </c>
      <c r="AQ64" s="1" t="n">
        <f aca="false">AK64*[4]'inflation indexes'!i157</f>
        <v>7506.54405316005</v>
      </c>
      <c r="AR64" s="1" t="n">
        <f aca="false">AL64*[4]'inflation indexes'!i157</f>
        <v>600.220999153968</v>
      </c>
      <c r="AS64" s="1" t="n">
        <f aca="false">AN64*[4]'inflation indexes'!i157</f>
        <v>526.375915133469</v>
      </c>
      <c r="AT64" s="1" t="n">
        <f aca="false">AO64*[4]'inflation indexes'!i157</f>
        <v>837.287483630919</v>
      </c>
      <c r="AU64" s="1" t="n">
        <f aca="false">AM64*[4]'inflation indexes'!i157</f>
        <v>593.196687621847</v>
      </c>
    </row>
    <row r="65" customFormat="false" ht="15" hidden="false" customHeight="false" outlineLevel="0" collapsed="false">
      <c r="A65" s="14" t="n">
        <f aca="false">[4]'retirement benefit values'!b66</f>
        <v>6447.4799580294</v>
      </c>
      <c r="B65" s="12" t="n">
        <v>464.5109183388</v>
      </c>
      <c r="C65" s="12" t="n">
        <v>452.1525377318</v>
      </c>
      <c r="D65" s="12" t="n">
        <v>369.5883009233</v>
      </c>
      <c r="E65" s="12" t="n">
        <v>641.6982712102</v>
      </c>
      <c r="F65" s="12" t="n">
        <f aca="false">F61+1</f>
        <v>2030</v>
      </c>
      <c r="G65" s="10" t="n">
        <f aca="false">A65*[4]'inflation indexes'!i158</f>
        <v>5979.28535771268</v>
      </c>
      <c r="H65" s="12" t="n">
        <f aca="false">B65*[4]'inflation indexes'!i158</f>
        <v>430.779676804106</v>
      </c>
      <c r="I65" s="12" t="n">
        <f aca="false">D65*[4]'inflation indexes'!i158</f>
        <v>342.750024890038</v>
      </c>
      <c r="J65" s="1" t="n">
        <f aca="false">E65*[4]'inflation indexes'!i158</f>
        <v>595.100272058759</v>
      </c>
      <c r="K65" s="12" t="n">
        <f aca="false">C65*[4]'inflation indexes'!i158</f>
        <v>419.318720788811</v>
      </c>
      <c r="R65" s="12" t="n">
        <f aca="false">R61+1</f>
        <v>2030</v>
      </c>
      <c r="S65" s="9" t="n">
        <f aca="false">[4]'retirement benefit values'!p66</f>
        <v>7248.0226045708</v>
      </c>
      <c r="T65" s="12" t="n">
        <v>484.1560290598</v>
      </c>
      <c r="U65" s="12" t="n">
        <v>476.5478501459</v>
      </c>
      <c r="V65" s="12" t="n">
        <v>389.4238392685</v>
      </c>
      <c r="W65" s="12" t="n">
        <v>730.7559809139</v>
      </c>
      <c r="X65" s="12" t="n">
        <f aca="false">X61+1</f>
        <v>2030</v>
      </c>
      <c r="Y65" s="1" t="n">
        <f aca="false">S65*[4]'inflation indexes'!i158</f>
        <v>6721.6952536486</v>
      </c>
      <c r="Z65" s="1" t="n">
        <f aca="false">T65*[4]'inflation indexes'!i158</f>
        <v>448.998224771586</v>
      </c>
      <c r="AA65" s="1" t="n">
        <f aca="false">V65*[4]'inflation indexes'!i158</f>
        <v>361.145172259531</v>
      </c>
      <c r="AB65" s="1" t="n">
        <f aca="false">W65*[4]'inflation indexes'!i158</f>
        <v>677.690906397933</v>
      </c>
      <c r="AC65" s="1" t="n">
        <f aca="false">U65*[4]'inflation indexes'!i158</f>
        <v>441.942526564709</v>
      </c>
      <c r="AJ65" s="12" t="n">
        <f aca="false">AJ61+1</f>
        <v>2030</v>
      </c>
      <c r="AK65" s="14" t="n">
        <f aca="false">[4]'retirement benefit values'!aj66</f>
        <v>8141.6726241753</v>
      </c>
      <c r="AL65" s="12" t="n">
        <v>517.2523812438</v>
      </c>
      <c r="AM65" s="12" t="n">
        <v>506.4204296074</v>
      </c>
      <c r="AN65" s="12" t="n">
        <v>435.7328671909</v>
      </c>
      <c r="AO65" s="12" t="n">
        <v>788.8502971684</v>
      </c>
      <c r="AP65" s="12" t="n">
        <f aca="false">AP61+1</f>
        <v>2030</v>
      </c>
      <c r="AQ65" s="1" t="n">
        <f aca="false">AK65*[4]'inflation indexes'!i158</f>
        <v>7550.45137416766</v>
      </c>
      <c r="AR65" s="1" t="n">
        <f aca="false">AL65*[4]'inflation indexes'!i158</f>
        <v>479.691229681364</v>
      </c>
      <c r="AS65" s="1" t="n">
        <f aca="false">AN65*[4]'inflation indexes'!i158</f>
        <v>404.091392238312</v>
      </c>
      <c r="AT65" s="1" t="n">
        <f aca="false">AO65*[4]'inflation indexes'!i158</f>
        <v>731.56660617646</v>
      </c>
      <c r="AU65" s="1" t="n">
        <f aca="false">AM65*[4]'inflation indexes'!i158</f>
        <v>469.645858429869</v>
      </c>
    </row>
    <row r="66" customFormat="false" ht="15" hidden="false" customHeight="false" outlineLevel="0" collapsed="false">
      <c r="A66" s="14" t="n">
        <f aca="false">[4]'retirement benefit values'!b67</f>
        <v>6432.9290314062</v>
      </c>
      <c r="B66" s="12" t="n">
        <v>463.2812981623</v>
      </c>
      <c r="C66" s="12" t="n">
        <v>449.2157711396</v>
      </c>
      <c r="D66" s="12" t="n">
        <v>370.3285935134</v>
      </c>
      <c r="E66" s="12" t="n">
        <v>657.9679942336</v>
      </c>
      <c r="F66" s="12" t="n">
        <f aca="false">F62+1</f>
        <v>2030</v>
      </c>
      <c r="G66" s="10" t="n">
        <f aca="false">A66*[4]'inflation indexes'!i159</f>
        <v>5965.79107109751</v>
      </c>
      <c r="H66" s="12" t="n">
        <f aca="false">B66*[4]'inflation indexes'!i159</f>
        <v>429.639347564658</v>
      </c>
      <c r="I66" s="12" t="n">
        <f aca="false">D66*[4]'inflation indexes'!i159</f>
        <v>343.436559888707</v>
      </c>
      <c r="J66" s="1" t="n">
        <f aca="false">E66*[4]'inflation indexes'!i159</f>
        <v>610.188541782918</v>
      </c>
      <c r="K66" s="12" t="n">
        <f aca="false">C66*[4]'inflation indexes'!i159</f>
        <v>416.595212441663</v>
      </c>
      <c r="R66" s="12" t="n">
        <f aca="false">R62+1</f>
        <v>2030</v>
      </c>
      <c r="S66" s="9" t="n">
        <f aca="false">[4]'retirement benefit values'!p67</f>
        <v>7259.0947352457</v>
      </c>
      <c r="T66" s="12" t="n">
        <v>497.0664178192</v>
      </c>
      <c r="U66" s="12" t="n">
        <v>483.4255651893</v>
      </c>
      <c r="V66" s="12" t="n">
        <v>398.0537323943</v>
      </c>
      <c r="W66" s="12" t="n">
        <v>743.7292535296</v>
      </c>
      <c r="X66" s="12" t="n">
        <f aca="false">X62+1</f>
        <v>2030</v>
      </c>
      <c r="Y66" s="1" t="n">
        <f aca="false">S66*[4]'inflation indexes'!i159</f>
        <v>6731.96336293379</v>
      </c>
      <c r="Z66" s="1" t="n">
        <f aca="false">T66*[4]'inflation indexes'!i159</f>
        <v>460.971103938945</v>
      </c>
      <c r="AA66" s="1" t="n">
        <f aca="false">V66*[4]'inflation indexes'!i159</f>
        <v>369.148391182524</v>
      </c>
      <c r="AB66" s="1" t="n">
        <f aca="false">W66*[4]'inflation indexes'!i159</f>
        <v>689.722103004611</v>
      </c>
      <c r="AC66" s="1" t="n">
        <f aca="false">U66*[4]'inflation indexes'!i159</f>
        <v>448.320804763513</v>
      </c>
      <c r="AJ66" s="12" t="n">
        <f aca="false">AJ62+1</f>
        <v>2030</v>
      </c>
      <c r="AK66" s="14" t="n">
        <f aca="false">[4]'retirement benefit values'!aj67</f>
        <v>8204.4669729304</v>
      </c>
      <c r="AL66" s="12" t="n">
        <v>512.6897145747</v>
      </c>
      <c r="AM66" s="12" t="n">
        <v>502.721641013</v>
      </c>
      <c r="AN66" s="12" t="n">
        <v>432.6044496339</v>
      </c>
      <c r="AO66" s="12" t="n">
        <v>783.4812208867</v>
      </c>
      <c r="AP66" s="12" t="n">
        <f aca="false">AP62+1</f>
        <v>2030</v>
      </c>
      <c r="AQ66" s="1" t="n">
        <f aca="false">AK66*[4]'inflation indexes'!i159</f>
        <v>7608.6858056824</v>
      </c>
      <c r="AR66" s="1" t="n">
        <f aca="false">AL66*[4]'inflation indexes'!i159</f>
        <v>475.459888725787</v>
      </c>
      <c r="AS66" s="1" t="n">
        <f aca="false">AN66*[4]'inflation indexes'!i159</f>
        <v>401.190149983485</v>
      </c>
      <c r="AT66" s="1" t="n">
        <f aca="false">AO66*[4]'inflation indexes'!i159</f>
        <v>726.587414398495</v>
      </c>
      <c r="AU66" s="1" t="n">
        <f aca="false">AM66*[4]'inflation indexes'!i159</f>
        <v>466.215663589755</v>
      </c>
    </row>
    <row r="67" customFormat="false" ht="15" hidden="false" customHeight="false" outlineLevel="0" collapsed="false">
      <c r="A67" s="14" t="n">
        <f aca="false">[4]'retirement benefit values'!b68</f>
        <v>6443.142039567</v>
      </c>
      <c r="B67" s="12" t="n">
        <v>463.8216373905</v>
      </c>
      <c r="C67" s="12" t="n">
        <v>443.3849898178</v>
      </c>
      <c r="D67" s="12" t="n">
        <v>358.8432915992</v>
      </c>
      <c r="E67" s="12" t="n">
        <v>667.3952011222</v>
      </c>
      <c r="F67" s="12" t="n">
        <f aca="false">F63+1</f>
        <v>2030</v>
      </c>
      <c r="G67" s="10" t="n">
        <f aca="false">A67*[4]'inflation indexes'!i160</f>
        <v>5975.2624444948</v>
      </c>
      <c r="H67" s="12" t="n">
        <f aca="false">B67*[4]'inflation indexes'!i160</f>
        <v>430.140449151078</v>
      </c>
      <c r="I67" s="12" t="n">
        <f aca="false">D67*[4]'inflation indexes'!i160</f>
        <v>332.785282488618</v>
      </c>
      <c r="J67" s="1" t="n">
        <f aca="false">E67*[4]'inflation indexes'!i160</f>
        <v>618.931176188929</v>
      </c>
      <c r="K67" s="12" t="n">
        <f aca="false">C67*[4]'inflation indexes'!i160</f>
        <v>411.187843111566</v>
      </c>
      <c r="R67" s="12" t="n">
        <f aca="false">R63+1</f>
        <v>2030</v>
      </c>
      <c r="S67" s="9" t="n">
        <f aca="false">[4]'retirement benefit values'!p68</f>
        <v>7254.7216563226</v>
      </c>
      <c r="T67" s="12" t="n">
        <v>501.4303991035</v>
      </c>
      <c r="U67" s="12" t="n">
        <v>481.6552213966</v>
      </c>
      <c r="V67" s="12" t="n">
        <v>401.3214441289</v>
      </c>
      <c r="W67" s="12" t="n">
        <v>715.2288846393</v>
      </c>
      <c r="X67" s="12" t="n">
        <f aca="false">X63+1</f>
        <v>2030</v>
      </c>
      <c r="Y67" s="1" t="n">
        <f aca="false">S67*[4]'inflation indexes'!i160</f>
        <v>6727.9078424912</v>
      </c>
      <c r="Z67" s="1" t="n">
        <f aca="false">T67*[4]'inflation indexes'!i160</f>
        <v>465.018187383082</v>
      </c>
      <c r="AA67" s="1" t="n">
        <f aca="false">V67*[4]'inflation indexes'!i160</f>
        <v>372.178812533983</v>
      </c>
      <c r="AB67" s="1" t="n">
        <f aca="false">W67*[4]'inflation indexes'!i160</f>
        <v>663.291336332284</v>
      </c>
      <c r="AC67" s="1" t="n">
        <f aca="false">U67*[4]'inflation indexes'!i160</f>
        <v>446.679017462627</v>
      </c>
      <c r="AJ67" s="12" t="n">
        <f aca="false">AJ63+1</f>
        <v>2030</v>
      </c>
      <c r="AK67" s="14" t="n">
        <f aca="false">[4]'retirement benefit values'!aj68</f>
        <v>8183.8900851182</v>
      </c>
      <c r="AL67" s="12" t="n">
        <v>515.1151379981</v>
      </c>
      <c r="AM67" s="12" t="n">
        <v>503.8550146979</v>
      </c>
      <c r="AN67" s="12" t="n">
        <v>429.0140279514</v>
      </c>
      <c r="AO67" s="12" t="n">
        <v>800.6159641511</v>
      </c>
      <c r="AP67" s="12" t="n">
        <f aca="false">AP63+1</f>
        <v>2030</v>
      </c>
      <c r="AQ67" s="1" t="n">
        <f aca="false">AK67*[4]'inflation indexes'!i160</f>
        <v>7589.60314318423</v>
      </c>
      <c r="AR67" s="1" t="n">
        <f aca="false">AL67*[4]'inflation indexes'!i160</f>
        <v>477.709185948297</v>
      </c>
      <c r="AS67" s="1" t="n">
        <f aca="false">AN67*[4]'inflation indexes'!i160</f>
        <v>397.860452809716</v>
      </c>
      <c r="AT67" s="1" t="n">
        <f aca="false">AO67*[4]'inflation indexes'!i160</f>
        <v>742.477889464091</v>
      </c>
      <c r="AU67" s="1" t="n">
        <f aca="false">AM67*[4]'inflation indexes'!i160</f>
        <v>467.266735438454</v>
      </c>
    </row>
    <row r="68" customFormat="false" ht="15" hidden="false" customHeight="false" outlineLevel="0" collapsed="false">
      <c r="A68" s="11" t="n">
        <f aca="false">[4]'retirement benefit values'!b69</f>
        <v>6430.2180644486</v>
      </c>
      <c r="B68" s="12" t="n">
        <v>580.067107567</v>
      </c>
      <c r="C68" s="12" t="n">
        <v>563.8034038936</v>
      </c>
      <c r="D68" s="12" t="n">
        <v>472.0979699763</v>
      </c>
      <c r="E68" s="12" t="n">
        <v>794.6765288746</v>
      </c>
      <c r="F68" s="12" t="n">
        <f aca="false">F64+1</f>
        <v>2031</v>
      </c>
      <c r="G68" s="10" t="n">
        <f aca="false">A68*[4]'inflation indexes'!i161</f>
        <v>5963.27696556475</v>
      </c>
      <c r="H68" s="12" t="n">
        <f aca="false">B68*[4]'inflation indexes'!i161</f>
        <v>537.944559012818</v>
      </c>
      <c r="I68" s="12" t="n">
        <f aca="false">D68*[4]'inflation indexes'!i161</f>
        <v>437.81578192729</v>
      </c>
      <c r="J68" s="1" t="n">
        <f aca="false">E68*[4]'inflation indexes'!i161</f>
        <v>736.969756268945</v>
      </c>
      <c r="K68" s="12" t="n">
        <f aca="false">C68*[4]'inflation indexes'!i161</f>
        <v>522.861871533436</v>
      </c>
      <c r="R68" s="12" t="n">
        <f aca="false">R64+1</f>
        <v>2031</v>
      </c>
      <c r="S68" s="13" t="n">
        <f aca="false">[4]'retirement benefit values'!p69</f>
        <v>7258.8915664539</v>
      </c>
      <c r="T68" s="12" t="n">
        <v>624.1456538715</v>
      </c>
      <c r="U68" s="12" t="n">
        <v>616.7440396095</v>
      </c>
      <c r="V68" s="12" t="n">
        <v>534.5275853965</v>
      </c>
      <c r="W68" s="12" t="n">
        <v>856.5709532139</v>
      </c>
      <c r="X68" s="12" t="n">
        <f aca="false">X64+1</f>
        <v>2031</v>
      </c>
      <c r="Y68" s="1" t="n">
        <f aca="false">S68*[4]'inflation indexes'!i161</f>
        <v>6731.77494758549</v>
      </c>
      <c r="Z68" s="1" t="n">
        <f aca="false">T68*[4]'inflation indexes'!i161</f>
        <v>578.822267547536</v>
      </c>
      <c r="AA68" s="1" t="n">
        <f aca="false">V68*[4]'inflation indexes'!i161</f>
        <v>495.711965831633</v>
      </c>
      <c r="AB68" s="1" t="n">
        <f aca="false">W68*[4]'inflation indexes'!i161</f>
        <v>794.369612892795</v>
      </c>
      <c r="AC68" s="1" t="n">
        <f aca="false">U68*[4]'inflation indexes'!i161</f>
        <v>571.958133952968</v>
      </c>
      <c r="AJ68" s="12" t="n">
        <f aca="false">AJ64+1</f>
        <v>2031</v>
      </c>
      <c r="AK68" s="11" t="n">
        <f aca="false">[4]'retirement benefit values'!aj69</f>
        <v>8214.3730460522</v>
      </c>
      <c r="AL68" s="12" t="n">
        <v>653.6931972243</v>
      </c>
      <c r="AM68" s="12" t="n">
        <v>639.9495086275</v>
      </c>
      <c r="AN68" s="12" t="n">
        <v>553.6477327206</v>
      </c>
      <c r="AO68" s="12" t="n">
        <v>940.5844892567</v>
      </c>
      <c r="AP68" s="12" t="n">
        <f aca="false">AP64+1</f>
        <v>2031</v>
      </c>
      <c r="AQ68" s="1" t="n">
        <f aca="false">AK68*[4]'inflation indexes'!i161</f>
        <v>7617.87253264474</v>
      </c>
      <c r="AR68" s="1" t="n">
        <f aca="false">AL68*[4]'inflation indexes'!i161</f>
        <v>606.224166347664</v>
      </c>
      <c r="AS68" s="1" t="n">
        <f aca="false">AN68*[4]'inflation indexes'!i161</f>
        <v>513.443671502144</v>
      </c>
      <c r="AT68" s="1" t="n">
        <f aca="false">AO68*[4]'inflation indexes'!i161</f>
        <v>872.282364724584</v>
      </c>
      <c r="AU68" s="1" t="n">
        <f aca="false">AM68*[4]'inflation indexes'!i161</f>
        <v>593.478498812014</v>
      </c>
    </row>
    <row r="69" customFormat="false" ht="15" hidden="false" customHeight="false" outlineLevel="0" collapsed="false">
      <c r="A69" s="14" t="n">
        <f aca="false">[4]'retirement benefit values'!b70</f>
        <v>6425.9272901964</v>
      </c>
      <c r="B69" s="12" t="n">
        <v>463.5053789667</v>
      </c>
      <c r="C69" s="12" t="n">
        <v>446.2524012661</v>
      </c>
      <c r="D69" s="12" t="n">
        <v>355.7772128989</v>
      </c>
      <c r="E69" s="12" t="n">
        <v>697.5700761463</v>
      </c>
      <c r="F69" s="12" t="n">
        <f aca="false">F65+1</f>
        <v>2031</v>
      </c>
      <c r="G69" s="10" t="n">
        <f aca="false">A69*[4]'inflation indexes'!i162</f>
        <v>5959.29777310096</v>
      </c>
      <c r="H69" s="12" t="n">
        <f aca="false">B69*[4]'inflation indexes'!i162</f>
        <v>429.847156364595</v>
      </c>
      <c r="I69" s="12" t="n">
        <f aca="false">D69*[4]'inflation indexes'!i162</f>
        <v>329.941852249573</v>
      </c>
      <c r="J69" s="1" t="n">
        <f aca="false">E69*[4]'inflation indexes'!i162</f>
        <v>646.914851916019</v>
      </c>
      <c r="K69" s="12" t="n">
        <f aca="false">C69*[4]'inflation indexes'!i162</f>
        <v>413.847032655227</v>
      </c>
      <c r="R69" s="12" t="n">
        <f aca="false">R65+1</f>
        <v>2031</v>
      </c>
      <c r="S69" s="9" t="n">
        <f aca="false">[4]'retirement benefit values'!p70</f>
        <v>7256.7790079566</v>
      </c>
      <c r="T69" s="12" t="n">
        <v>507.3857279871</v>
      </c>
      <c r="U69" s="12" t="n">
        <v>492.803021739</v>
      </c>
      <c r="V69" s="12" t="n">
        <v>419.627754093</v>
      </c>
      <c r="W69" s="12" t="n">
        <v>735.9975619584</v>
      </c>
      <c r="X69" s="12" t="n">
        <f aca="false">X65+1</f>
        <v>2031</v>
      </c>
      <c r="Y69" s="1" t="n">
        <f aca="false">S69*[4]'inflation indexes'!i162</f>
        <v>6729.81579607631</v>
      </c>
      <c r="Z69" s="1" t="n">
        <f aca="false">T69*[4]'inflation indexes'!i162</f>
        <v>470.541060044319</v>
      </c>
      <c r="AA69" s="1" t="n">
        <f aca="false">V69*[4]'inflation indexes'!i162</f>
        <v>389.155779013077</v>
      </c>
      <c r="AB69" s="1" t="n">
        <f aca="false">W69*[4]'inflation indexes'!i162</f>
        <v>682.551861219764</v>
      </c>
      <c r="AC69" s="1" t="n">
        <f aca="false">U69*[4]'inflation indexes'!i162</f>
        <v>457.017301535151</v>
      </c>
      <c r="AJ69" s="12" t="n">
        <f aca="false">AJ65+1</f>
        <v>2031</v>
      </c>
      <c r="AK69" s="14" t="n">
        <f aca="false">[4]'retirement benefit values'!aj70</f>
        <v>8255.0586991977</v>
      </c>
      <c r="AL69" s="12" t="n">
        <v>521.6352166559</v>
      </c>
      <c r="AM69" s="12" t="n">
        <v>503.7192836447</v>
      </c>
      <c r="AN69" s="12" t="n">
        <v>424.7609358675</v>
      </c>
      <c r="AO69" s="12" t="n">
        <v>796.7215638085</v>
      </c>
      <c r="AP69" s="12" t="n">
        <f aca="false">AP65+1</f>
        <v>2031</v>
      </c>
      <c r="AQ69" s="1" t="n">
        <f aca="false">AK69*[4]'inflation indexes'!i162</f>
        <v>7655.60372866326</v>
      </c>
      <c r="AR69" s="1" t="n">
        <f aca="false">AL69*[4]'inflation indexes'!i162</f>
        <v>483.755798129103</v>
      </c>
      <c r="AS69" s="1" t="n">
        <f aca="false">AN69*[4]'inflation indexes'!i162</f>
        <v>393.916206160202</v>
      </c>
      <c r="AT69" s="1" t="n">
        <f aca="false">AO69*[4]'inflation indexes'!i162</f>
        <v>738.866287551846</v>
      </c>
      <c r="AU69" s="1" t="n">
        <f aca="false">AM69*[4]'inflation indexes'!i162</f>
        <v>467.140860723951</v>
      </c>
    </row>
    <row r="70" customFormat="false" ht="15" hidden="false" customHeight="false" outlineLevel="0" collapsed="false">
      <c r="A70" s="14" t="n">
        <f aca="false">[4]'retirement benefit values'!b71</f>
        <v>6419.7112028384</v>
      </c>
      <c r="B70" s="12" t="n">
        <v>470.599526312</v>
      </c>
      <c r="C70" s="12" t="n">
        <v>456.188674697</v>
      </c>
      <c r="D70" s="12" t="n">
        <v>366.3348095821</v>
      </c>
      <c r="E70" s="12" t="n">
        <v>687.2101622079</v>
      </c>
      <c r="F70" s="12" t="n">
        <f aca="false">F66+1</f>
        <v>2031</v>
      </c>
      <c r="G70" s="10" t="n">
        <f aca="false">A70*[4]'inflation indexes'!i163</f>
        <v>5953.53307738047</v>
      </c>
      <c r="H70" s="12" t="n">
        <f aca="false">B70*[4]'inflation indexes'!i163</f>
        <v>436.426150269707</v>
      </c>
      <c r="I70" s="12" t="n">
        <f aca="false">D70*[4]'inflation indexes'!i163</f>
        <v>339.732791294196</v>
      </c>
      <c r="J70" s="1" t="n">
        <f aca="false">E70*[4]'inflation indexes'!i163</f>
        <v>637.307240551226</v>
      </c>
      <c r="K70" s="12" t="n">
        <f aca="false">C70*[4]'inflation indexes'!i163</f>
        <v>423.061766880437</v>
      </c>
      <c r="R70" s="12" t="n">
        <f aca="false">R66+1</f>
        <v>2031</v>
      </c>
      <c r="S70" s="9" t="n">
        <f aca="false">[4]'retirement benefit values'!p71</f>
        <v>7284.837975809</v>
      </c>
      <c r="T70" s="12" t="n">
        <v>503.0941704165</v>
      </c>
      <c r="U70" s="12" t="n">
        <v>485.9084320435</v>
      </c>
      <c r="V70" s="12" t="n">
        <v>404.8562542508</v>
      </c>
      <c r="W70" s="12" t="n">
        <v>732.0250990285</v>
      </c>
      <c r="X70" s="12" t="n">
        <f aca="false">X66+1</f>
        <v>2031</v>
      </c>
      <c r="Y70" s="1" t="n">
        <f aca="false">S70*[4]'inflation indexes'!i163</f>
        <v>6755.83721478943</v>
      </c>
      <c r="Z70" s="1" t="n">
        <f aca="false">T70*[4]'inflation indexes'!i163</f>
        <v>466.561141144112</v>
      </c>
      <c r="AA70" s="1" t="n">
        <f aca="false">V70*[4]'inflation indexes'!i163</f>
        <v>375.456936474152</v>
      </c>
      <c r="AB70" s="1" t="n">
        <f aca="false">W70*[4]'inflation indexes'!i163</f>
        <v>678.867865366279</v>
      </c>
      <c r="AC70" s="1" t="n">
        <f aca="false">U70*[4]'inflation indexes'!i163</f>
        <v>450.623374065489</v>
      </c>
      <c r="AJ70" s="12" t="n">
        <f aca="false">AJ66+1</f>
        <v>2031</v>
      </c>
      <c r="AK70" s="14" t="n">
        <f aca="false">[4]'retirement benefit values'!aj71</f>
        <v>8271.8910984675</v>
      </c>
      <c r="AL70" s="12" t="n">
        <v>523.9689046195</v>
      </c>
      <c r="AM70" s="12" t="n">
        <v>510.2995348556</v>
      </c>
      <c r="AN70" s="12" t="n">
        <v>429.0331222606</v>
      </c>
      <c r="AO70" s="12" t="n">
        <v>825.7269829451</v>
      </c>
      <c r="AP70" s="12" t="n">
        <f aca="false">AP66+1</f>
        <v>2031</v>
      </c>
      <c r="AQ70" s="1" t="n">
        <f aca="false">AK70*[4]'inflation indexes'!i163</f>
        <v>7671.21381495189</v>
      </c>
      <c r="AR70" s="1" t="n">
        <f aca="false">AL70*[4]'inflation indexes'!i163</f>
        <v>485.920021416504</v>
      </c>
      <c r="AS70" s="1" t="n">
        <f aca="false">AN70*[4]'inflation indexes'!i163</f>
        <v>397.878160553541</v>
      </c>
      <c r="AT70" s="1" t="n">
        <f aca="false">AO70*[4]'inflation indexes'!i163</f>
        <v>765.765429397461</v>
      </c>
      <c r="AU70" s="1" t="n">
        <f aca="false">AM70*[4]'inflation indexes'!i163</f>
        <v>473.243275926716</v>
      </c>
    </row>
    <row r="71" customFormat="false" ht="15" hidden="false" customHeight="false" outlineLevel="0" collapsed="false">
      <c r="A71" s="14" t="n">
        <f aca="false">[4]'retirement benefit values'!b72</f>
        <v>6405.6556875408</v>
      </c>
      <c r="B71" s="12" t="n">
        <v>458.2400500736</v>
      </c>
      <c r="C71" s="12" t="n">
        <v>448.9161058477</v>
      </c>
      <c r="D71" s="12" t="n">
        <v>369.0176176411</v>
      </c>
      <c r="E71" s="12" t="n">
        <v>651.3618801232</v>
      </c>
      <c r="F71" s="12" t="n">
        <f aca="false">F67+1</f>
        <v>2031</v>
      </c>
      <c r="G71" s="10" t="n">
        <f aca="false">A71*[4]'inflation indexes'!i164</f>
        <v>5940.49822696432</v>
      </c>
      <c r="H71" s="12" t="n">
        <f aca="false">B71*[4]'inflation indexes'!i164</f>
        <v>424.964178184128</v>
      </c>
      <c r="I71" s="12" t="n">
        <f aca="false">D71*[4]'inflation indexes'!i164</f>
        <v>342.220782734131</v>
      </c>
      <c r="J71" s="1" t="n">
        <f aca="false">E71*[4]'inflation indexes'!i164</f>
        <v>604.062141758594</v>
      </c>
      <c r="K71" s="12" t="n">
        <f aca="false">C71*[4]'inflation indexes'!i164</f>
        <v>416.317307848902</v>
      </c>
      <c r="R71" s="12" t="n">
        <f aca="false">R67+1</f>
        <v>2031</v>
      </c>
      <c r="S71" s="9" t="n">
        <f aca="false">[4]'retirement benefit values'!p72</f>
        <v>7322.0584569229</v>
      </c>
      <c r="T71" s="12" t="n">
        <v>495.3402149607</v>
      </c>
      <c r="U71" s="12" t="n">
        <v>484.4597033538</v>
      </c>
      <c r="V71" s="12" t="n">
        <v>396.696213375</v>
      </c>
      <c r="W71" s="12" t="n">
        <v>720.1354056186</v>
      </c>
      <c r="X71" s="12" t="n">
        <f aca="false">X67+1</f>
        <v>2031</v>
      </c>
      <c r="Y71" s="1" t="n">
        <f aca="false">S71*[4]'inflation indexes'!i164</f>
        <v>6790.35486807104</v>
      </c>
      <c r="Z71" s="1" t="n">
        <f aca="false">T71*[4]'inflation indexes'!i164</f>
        <v>459.370252204088</v>
      </c>
      <c r="AA71" s="1" t="n">
        <f aca="false">V71*[4]'inflation indexes'!i164</f>
        <v>367.889450689842</v>
      </c>
      <c r="AB71" s="1" t="n">
        <f aca="false">W71*[4]'inflation indexes'!i164</f>
        <v>667.841562039043</v>
      </c>
      <c r="AC71" s="1" t="n">
        <f aca="false">U71*[4]'inflation indexes'!i164</f>
        <v>449.279847246017</v>
      </c>
      <c r="AJ71" s="12" t="n">
        <f aca="false">AJ67+1</f>
        <v>2031</v>
      </c>
      <c r="AK71" s="14" t="n">
        <f aca="false">[4]'retirement benefit values'!aj72</f>
        <v>8349.2084387953</v>
      </c>
      <c r="AL71" s="12" t="n">
        <v>528.8116069966</v>
      </c>
      <c r="AM71" s="12" t="n">
        <v>506.7943059165</v>
      </c>
      <c r="AN71" s="12" t="n">
        <v>422.8507262054</v>
      </c>
      <c r="AO71" s="12" t="n">
        <v>832.3071320133</v>
      </c>
      <c r="AP71" s="12" t="n">
        <f aca="false">AP67+1</f>
        <v>2031</v>
      </c>
      <c r="AQ71" s="1" t="n">
        <f aca="false">AK71*[4]'inflation indexes'!i164</f>
        <v>7742.91662658197</v>
      </c>
      <c r="AR71" s="1" t="n">
        <f aca="false">AL71*[4]'inflation indexes'!i164</f>
        <v>490.41106281619</v>
      </c>
      <c r="AS71" s="1" t="n">
        <f aca="false">AN71*[4]'inflation indexes'!i164</f>
        <v>392.144709585244</v>
      </c>
      <c r="AT71" s="1" t="n">
        <f aca="false">AO71*[4]'inflation indexes'!i164</f>
        <v>771.86774987479</v>
      </c>
      <c r="AU71" s="1" t="n">
        <f aca="false">AM71*[4]'inflation indexes'!i164</f>
        <v>469.99258508201</v>
      </c>
    </row>
    <row r="72" customFormat="false" ht="15" hidden="false" customHeight="false" outlineLevel="0" collapsed="false">
      <c r="A72" s="11" t="n">
        <f aca="false">[4]'retirement benefit values'!b73</f>
        <v>6414.8313033084</v>
      </c>
      <c r="B72" s="12" t="n">
        <v>570.1018715524</v>
      </c>
      <c r="C72" s="12" t="n">
        <v>569.2193515328</v>
      </c>
      <c r="D72" s="12" t="n">
        <v>484.755389077</v>
      </c>
      <c r="E72" s="12" t="n">
        <v>799.3582072647</v>
      </c>
      <c r="F72" s="12" t="n">
        <f aca="false">F68+1</f>
        <v>2032</v>
      </c>
      <c r="G72" s="10" t="n">
        <f aca="false">A72*[4]'inflation indexes'!i165</f>
        <v>5949.0075399617</v>
      </c>
      <c r="H72" s="12" t="n">
        <f aca="false">B72*[4]'inflation indexes'!i165</f>
        <v>528.702965370632</v>
      </c>
      <c r="I72" s="12" t="n">
        <f aca="false">D72*[4]'inflation indexes'!i165</f>
        <v>449.554061253152</v>
      </c>
      <c r="J72" s="1" t="n">
        <f aca="false">E72*[4]'inflation indexes'!i165</f>
        <v>741.311466709252</v>
      </c>
      <c r="K72" s="12" t="n">
        <f aca="false">C72*[4]'inflation indexes'!i165</f>
        <v>527.884531026449</v>
      </c>
      <c r="R72" s="12" t="n">
        <f aca="false">R68+1</f>
        <v>2032</v>
      </c>
      <c r="S72" s="13" t="n">
        <f aca="false">[4]'retirement benefit values'!p73</f>
        <v>7323.4692837594</v>
      </c>
      <c r="T72" s="12" t="n">
        <v>614.1006357012</v>
      </c>
      <c r="U72" s="12" t="n">
        <v>608.9430441143</v>
      </c>
      <c r="V72" s="12" t="n">
        <v>525.6644008834</v>
      </c>
      <c r="W72" s="12" t="n">
        <v>856.3677864872</v>
      </c>
      <c r="X72" s="12" t="n">
        <f aca="false">X68+1</f>
        <v>2032</v>
      </c>
      <c r="Y72" s="1" t="n">
        <f aca="false">S72*[4]'inflation indexes'!i165</f>
        <v>6791.66324534412</v>
      </c>
      <c r="Z72" s="1" t="n">
        <f aca="false">T72*[4]'inflation indexes'!i165</f>
        <v>569.50668526506</v>
      </c>
      <c r="AA72" s="1" t="n">
        <f aca="false">V72*[4]'inflation indexes'!i165</f>
        <v>487.49239636777</v>
      </c>
      <c r="AB72" s="1" t="n">
        <f aca="false">W72*[4]'inflation indexes'!i165</f>
        <v>794.181199459633</v>
      </c>
      <c r="AC72" s="1" t="n">
        <f aca="false">U72*[4]'inflation indexes'!i165</f>
        <v>564.723620865115</v>
      </c>
      <c r="AJ72" s="12" t="n">
        <f aca="false">AJ68+1</f>
        <v>2032</v>
      </c>
      <c r="AK72" s="11" t="n">
        <f aca="false">[4]'retirement benefit values'!aj73</f>
        <v>8386.2819918745</v>
      </c>
      <c r="AL72" s="12" t="n">
        <v>650.0121872714</v>
      </c>
      <c r="AM72" s="12" t="n">
        <v>636.7378163196</v>
      </c>
      <c r="AN72" s="12" t="n">
        <v>553.9155466909</v>
      </c>
      <c r="AO72" s="12" t="n">
        <v>942.230144092</v>
      </c>
      <c r="AP72" s="12" t="n">
        <f aca="false">AP68+1</f>
        <v>2032</v>
      </c>
      <c r="AQ72" s="1" t="n">
        <f aca="false">AK72*[4]'inflation indexes'!i165</f>
        <v>7777.29802125522</v>
      </c>
      <c r="AR72" s="1" t="n">
        <f aca="false">AL72*[4]'inflation indexes'!i165</f>
        <v>602.810459123098</v>
      </c>
      <c r="AS72" s="1" t="n">
        <f aca="false">AN72*[4]'inflation indexes'!i165</f>
        <v>513.69203771059</v>
      </c>
      <c r="AT72" s="1" t="n">
        <f aca="false">AO72*[4]'inflation indexes'!i165</f>
        <v>873.808517566409</v>
      </c>
      <c r="AU72" s="1" t="n">
        <f aca="false">AM72*[4]'inflation indexes'!i165</f>
        <v>590.500028942373</v>
      </c>
    </row>
    <row r="73" customFormat="false" ht="15" hidden="false" customHeight="false" outlineLevel="0" collapsed="false">
      <c r="A73" s="14" t="n">
        <f aca="false">[4]'retirement benefit values'!b74</f>
        <v>6403.7490069561</v>
      </c>
      <c r="B73" s="12" t="n">
        <v>464.9672361138</v>
      </c>
      <c r="C73" s="12" t="n">
        <v>455.7459115675</v>
      </c>
      <c r="D73" s="12" t="n">
        <v>375.7738488069</v>
      </c>
      <c r="E73" s="12" t="n">
        <v>675.1568932259</v>
      </c>
      <c r="F73" s="12" t="n">
        <f aca="false">F69+1</f>
        <v>2032</v>
      </c>
      <c r="G73" s="10" t="n">
        <f aca="false">A73*[4]'inflation indexes'!i166</f>
        <v>5938.73000319688</v>
      </c>
      <c r="H73" s="12" t="n">
        <f aca="false">B73*[4]'inflation indexes'!i166</f>
        <v>431.202858296454</v>
      </c>
      <c r="I73" s="12" t="n">
        <f aca="false">D73*[4]'inflation indexes'!i166</f>
        <v>348.486398811415</v>
      </c>
      <c r="J73" s="1" t="n">
        <f aca="false">E73*[4]'inflation indexes'!i166</f>
        <v>626.129239967154</v>
      </c>
      <c r="K73" s="12" t="n">
        <f aca="false">C73*[4]'inflation indexes'!i166</f>
        <v>422.651155740211</v>
      </c>
      <c r="R73" s="12" t="n">
        <f aca="false">R69+1</f>
        <v>2032</v>
      </c>
      <c r="S73" s="9" t="n">
        <f aca="false">[4]'retirement benefit values'!p74</f>
        <v>7341.3652236478</v>
      </c>
      <c r="T73" s="12" t="n">
        <v>492.2798737924</v>
      </c>
      <c r="U73" s="12" t="n">
        <v>479.9088593276</v>
      </c>
      <c r="V73" s="12" t="n">
        <v>395.0932691942</v>
      </c>
      <c r="W73" s="12" t="n">
        <v>717.7520920322</v>
      </c>
      <c r="X73" s="12" t="n">
        <f aca="false">X69+1</f>
        <v>2032</v>
      </c>
      <c r="Y73" s="1" t="n">
        <f aca="false">S73*[4]'inflation indexes'!i166</f>
        <v>6808.25964146071</v>
      </c>
      <c r="Z73" s="1" t="n">
        <f aca="false">T73*[4]'inflation indexes'!i166</f>
        <v>456.532142856507</v>
      </c>
      <c r="AA73" s="1" t="n">
        <f aca="false">V73*[4]'inflation indexes'!i166</f>
        <v>366.402906996511</v>
      </c>
      <c r="AB73" s="1" t="n">
        <f aca="false">W73*[4]'inflation indexes'!i166</f>
        <v>665.631316776899</v>
      </c>
      <c r="AC73" s="1" t="n">
        <f aca="false">U73*[4]'inflation indexes'!i166</f>
        <v>445.059470412243</v>
      </c>
      <c r="AJ73" s="12" t="n">
        <f aca="false">AJ69+1</f>
        <v>2032</v>
      </c>
      <c r="AK73" s="14" t="n">
        <f aca="false">[4]'retirement benefit values'!aj74</f>
        <v>8409.5660620207</v>
      </c>
      <c r="AL73" s="12" t="n">
        <v>532.3039578413</v>
      </c>
      <c r="AM73" s="12" t="n">
        <v>500.005522364</v>
      </c>
      <c r="AN73" s="12" t="n">
        <v>421.676515727</v>
      </c>
      <c r="AO73" s="12" t="n">
        <v>791.5402359043</v>
      </c>
      <c r="AP73" s="12" t="n">
        <f aca="false">AP69+1</f>
        <v>2032</v>
      </c>
      <c r="AQ73" s="1" t="n">
        <f aca="false">AK73*[4]'inflation indexes'!i166</f>
        <v>7798.89127948935</v>
      </c>
      <c r="AR73" s="1" t="n">
        <f aca="false">AL73*[4]'inflation indexes'!i166</f>
        <v>493.649810730979</v>
      </c>
      <c r="AS73" s="1" t="n">
        <f aca="false">AN73*[4]'inflation indexes'!i166</f>
        <v>391.055766375483</v>
      </c>
      <c r="AT73" s="1" t="n">
        <f aca="false">AO73*[4]'inflation indexes'!i166</f>
        <v>734.0612104872</v>
      </c>
      <c r="AU73" s="1" t="n">
        <f aca="false">AM73*[4]'inflation indexes'!i166</f>
        <v>463.696780464333</v>
      </c>
    </row>
    <row r="74" customFormat="false" ht="15" hidden="false" customHeight="false" outlineLevel="0" collapsed="false">
      <c r="A74" s="14" t="n">
        <f aca="false">[4]'retirement benefit values'!b75</f>
        <v>6370.0765338924</v>
      </c>
      <c r="B74" s="12" t="n">
        <v>472.8204648074</v>
      </c>
      <c r="C74" s="12" t="n">
        <v>460.2941451258</v>
      </c>
      <c r="D74" s="12" t="n">
        <v>375.2391234755</v>
      </c>
      <c r="E74" s="12" t="n">
        <v>679.8652503761</v>
      </c>
      <c r="F74" s="12" t="n">
        <f aca="false">F70+1</f>
        <v>2032</v>
      </c>
      <c r="G74" s="10" t="n">
        <f aca="false">A74*[4]'inflation indexes'!i167</f>
        <v>5907.50271339398</v>
      </c>
      <c r="H74" s="12" t="n">
        <f aca="false">B74*[4]'inflation indexes'!i167</f>
        <v>438.485811581161</v>
      </c>
      <c r="I74" s="12" t="n">
        <f aca="false">D74*[4]'inflation indexes'!i167</f>
        <v>347.990503459238</v>
      </c>
      <c r="J74" s="1" t="n">
        <f aca="false">E74*[4]'inflation indexes'!i167</f>
        <v>630.495691844529</v>
      </c>
      <c r="K74" s="12" t="n">
        <f aca="false">C74*[4]'inflation indexes'!i167</f>
        <v>426.869111669602</v>
      </c>
      <c r="R74" s="12" t="n">
        <f aca="false">R70+1</f>
        <v>2032</v>
      </c>
      <c r="S74" s="9" t="n">
        <f aca="false">[4]'retirement benefit values'!p75</f>
        <v>7346.6184000726</v>
      </c>
      <c r="T74" s="12" t="n">
        <v>492.5266606826</v>
      </c>
      <c r="U74" s="12" t="n">
        <v>484.5586728487</v>
      </c>
      <c r="V74" s="12" t="n">
        <v>395.8722196014</v>
      </c>
      <c r="W74" s="12" t="n">
        <v>735.7552439703</v>
      </c>
      <c r="X74" s="12" t="n">
        <f aca="false">X70+1</f>
        <v>2032</v>
      </c>
      <c r="Y74" s="1" t="n">
        <f aca="false">S74*[4]'inflation indexes'!i167</f>
        <v>6813.1313496448</v>
      </c>
      <c r="Z74" s="1" t="n">
        <f aca="false">T74*[4]'inflation indexes'!i167</f>
        <v>456.761008901637</v>
      </c>
      <c r="AA74" s="1" t="n">
        <f aca="false">V74*[4]'inflation indexes'!i167</f>
        <v>367.125292609878</v>
      </c>
      <c r="AB74" s="1" t="n">
        <f aca="false">W74*[4]'inflation indexes'!i167</f>
        <v>682.327139559892</v>
      </c>
      <c r="AC74" s="1" t="n">
        <f aca="false">U74*[4]'inflation indexes'!i167</f>
        <v>449.371629904601</v>
      </c>
      <c r="AJ74" s="12" t="n">
        <f aca="false">AJ70+1</f>
        <v>2032</v>
      </c>
      <c r="AK74" s="14" t="n">
        <f aca="false">[4]'retirement benefit values'!aj75</f>
        <v>8434.0194608028</v>
      </c>
      <c r="AL74" s="12" t="n">
        <v>514.9894047622</v>
      </c>
      <c r="AM74" s="12" t="n">
        <v>502.9454043754</v>
      </c>
      <c r="AN74" s="12" t="n">
        <v>427.5729969292</v>
      </c>
      <c r="AO74" s="12" t="n">
        <v>794.5983970002</v>
      </c>
      <c r="AP74" s="12" t="n">
        <f aca="false">AP70+1</f>
        <v>2032</v>
      </c>
      <c r="AQ74" s="1" t="n">
        <f aca="false">AK74*[4]'inflation indexes'!i167</f>
        <v>7821.56895359395</v>
      </c>
      <c r="AR74" s="1" t="n">
        <f aca="false">AL74*[4]'inflation indexes'!i167</f>
        <v>477.592583042776</v>
      </c>
      <c r="AS74" s="1" t="n">
        <f aca="false">AN74*[4]'inflation indexes'!i167</f>
        <v>396.524064678673</v>
      </c>
      <c r="AT74" s="1" t="n">
        <f aca="false">AO74*[4]'inflation indexes'!i167</f>
        <v>736.897298072004</v>
      </c>
      <c r="AU74" s="1" t="n">
        <f aca="false">AM74*[4]'inflation indexes'!i167</f>
        <v>466.423177999276</v>
      </c>
    </row>
    <row r="75" customFormat="false" ht="15" hidden="false" customHeight="false" outlineLevel="0" collapsed="false">
      <c r="A75" s="14" t="n">
        <f aca="false">[4]'retirement benefit values'!b76</f>
        <v>6375.3273088166</v>
      </c>
      <c r="B75" s="12" t="n">
        <v>468.8964158582</v>
      </c>
      <c r="C75" s="12" t="n">
        <v>452.9390076094</v>
      </c>
      <c r="D75" s="12" t="n">
        <v>369.2779434262</v>
      </c>
      <c r="E75" s="12" t="n">
        <v>656.3331321927</v>
      </c>
      <c r="F75" s="12" t="n">
        <f aca="false">F71+1</f>
        <v>2032</v>
      </c>
      <c r="G75" s="10" t="n">
        <f aca="false">A75*[4]'inflation indexes'!i168</f>
        <v>5912.37219446647</v>
      </c>
      <c r="H75" s="12" t="n">
        <f aca="false">B75*[4]'inflation indexes'!i168</f>
        <v>434.846714045746</v>
      </c>
      <c r="I75" s="12" t="n">
        <f aca="false">D75*[4]'inflation indexes'!i168</f>
        <v>342.462204524539</v>
      </c>
      <c r="J75" s="1" t="n">
        <f aca="false">E75*[4]'inflation indexes'!i168</f>
        <v>608.672397998576</v>
      </c>
      <c r="K75" s="12" t="n">
        <f aca="false">C75*[4]'inflation indexes'!i168</f>
        <v>420.048079833589</v>
      </c>
      <c r="R75" s="12" t="n">
        <f aca="false">R71+1</f>
        <v>2032</v>
      </c>
      <c r="S75" s="9" t="n">
        <f aca="false">[4]'retirement benefit values'!p76</f>
        <v>7372.2189766868</v>
      </c>
      <c r="T75" s="12" t="n">
        <v>496.2257500453</v>
      </c>
      <c r="U75" s="12" t="n">
        <v>482.8267992472</v>
      </c>
      <c r="V75" s="12" t="n">
        <v>405.2837332142</v>
      </c>
      <c r="W75" s="12" t="n">
        <v>721.9906369061</v>
      </c>
      <c r="X75" s="12" t="n">
        <f aca="false">X71+1</f>
        <v>2032</v>
      </c>
      <c r="Y75" s="1" t="n">
        <f aca="false">S75*[4]'inflation indexes'!i168</f>
        <v>6836.87289733394</v>
      </c>
      <c r="Z75" s="1" t="n">
        <f aca="false">T75*[4]'inflation indexes'!i168</f>
        <v>460.191482669255</v>
      </c>
      <c r="AA75" s="1" t="n">
        <f aca="false">V75*[4]'inflation indexes'!i168</f>
        <v>375.853373333704</v>
      </c>
      <c r="AB75" s="1" t="n">
        <f aca="false">W75*[4]'inflation indexes'!i168</f>
        <v>669.562072586533</v>
      </c>
      <c r="AC75" s="1" t="n">
        <f aca="false">U75*[4]'inflation indexes'!i168</f>
        <v>447.765519217283</v>
      </c>
      <c r="AJ75" s="12" t="n">
        <f aca="false">AJ71+1</f>
        <v>2032</v>
      </c>
      <c r="AK75" s="14" t="n">
        <f aca="false">[4]'retirement benefit values'!aj76</f>
        <v>8484.1828064758</v>
      </c>
      <c r="AL75" s="12" t="n">
        <v>517.6302026653</v>
      </c>
      <c r="AM75" s="12" t="n">
        <v>499.8771430435</v>
      </c>
      <c r="AN75" s="12" t="n">
        <v>426.5823039444</v>
      </c>
      <c r="AO75" s="12" t="n">
        <v>796.5158317121</v>
      </c>
      <c r="AP75" s="12" t="n">
        <f aca="false">AP71+1</f>
        <v>2032</v>
      </c>
      <c r="AQ75" s="1" t="n">
        <f aca="false">AK75*[4]'inflation indexes'!i168</f>
        <v>7868.0896035578</v>
      </c>
      <c r="AR75" s="1" t="n">
        <f aca="false">AL75*[4]'inflation indexes'!i168</f>
        <v>480.041614964934</v>
      </c>
      <c r="AS75" s="1" t="n">
        <f aca="false">AN75*[4]'inflation indexes'!i168</f>
        <v>395.605312531079</v>
      </c>
      <c r="AT75" s="1" t="n">
        <f aca="false">AO75*[4]'inflation indexes'!i168</f>
        <v>738.67549503762</v>
      </c>
      <c r="AU75" s="1" t="n">
        <f aca="false">AM75*[4]'inflation indexes'!i168</f>
        <v>463.577723624095</v>
      </c>
    </row>
    <row r="76" customFormat="false" ht="15" hidden="false" customHeight="false" outlineLevel="0" collapsed="false">
      <c r="A76" s="11" t="n">
        <f aca="false">[4]'retirement benefit values'!b77</f>
        <v>6374.1351212852</v>
      </c>
      <c r="B76" s="12" t="n">
        <v>570.7140813002</v>
      </c>
      <c r="C76" s="12" t="n">
        <v>572.9332096145</v>
      </c>
      <c r="D76" s="12" t="n">
        <v>483.123229168</v>
      </c>
      <c r="E76" s="12" t="n">
        <v>799.1648719569</v>
      </c>
      <c r="F76" s="12" t="n">
        <f aca="false">F72+1</f>
        <v>2033</v>
      </c>
      <c r="G76" s="10" t="n">
        <f aca="false">A76*[4]'inflation indexes'!i169</f>
        <v>5911.26657963765</v>
      </c>
      <c r="H76" s="12" t="n">
        <f aca="false">B76*[4]'inflation indexes'!i169</f>
        <v>529.270718478001</v>
      </c>
      <c r="I76" s="12" t="n">
        <f aca="false">D76*[4]'inflation indexes'!i169</f>
        <v>448.040423380858</v>
      </c>
      <c r="J76" s="1" t="n">
        <f aca="false">E76*[4]'inflation indexes'!i169</f>
        <v>741.132170769973</v>
      </c>
      <c r="K76" s="12" t="n">
        <f aca="false">C76*[4]'inflation indexes'!i169</f>
        <v>531.328701057699</v>
      </c>
      <c r="R76" s="12" t="n">
        <f aca="false">R72+1</f>
        <v>2033</v>
      </c>
      <c r="S76" s="13" t="n">
        <f aca="false">[4]'retirement benefit values'!p77</f>
        <v>7379.8372418351</v>
      </c>
      <c r="T76" s="12" t="n">
        <v>606.9204120327</v>
      </c>
      <c r="U76" s="12" t="n">
        <v>601.5077132293</v>
      </c>
      <c r="V76" s="12" t="n">
        <v>517.9364172952</v>
      </c>
      <c r="W76" s="12" t="n">
        <v>867.9944671618</v>
      </c>
      <c r="X76" s="12" t="n">
        <f aca="false">X72+1</f>
        <v>2033</v>
      </c>
      <c r="Y76" s="1" t="n">
        <f aca="false">S76*[4]'inflation indexes'!i169</f>
        <v>6843.93794934634</v>
      </c>
      <c r="Z76" s="1" t="n">
        <f aca="false">T76*[4]'inflation indexes'!i169</f>
        <v>562.847865613718</v>
      </c>
      <c r="AA76" s="1" t="n">
        <f aca="false">V76*[4]'inflation indexes'!i169</f>
        <v>480.325593304502</v>
      </c>
      <c r="AB76" s="1" t="n">
        <f aca="false">W76*[4]'inflation indexes'!i169</f>
        <v>804.96358916367</v>
      </c>
      <c r="AC76" s="1" t="n">
        <f aca="false">U76*[4]'inflation indexes'!i169</f>
        <v>557.828219036829</v>
      </c>
      <c r="AJ76" s="12" t="n">
        <f aca="false">AJ72+1</f>
        <v>2033</v>
      </c>
      <c r="AK76" s="11" t="n">
        <f aca="false">[4]'retirement benefit values'!aj77</f>
        <v>8522.6321455356</v>
      </c>
      <c r="AL76" s="12" t="n">
        <v>664.3880742792</v>
      </c>
      <c r="AM76" s="12" t="n">
        <v>650.6698475216</v>
      </c>
      <c r="AN76" s="12" t="n">
        <v>565.0351011081</v>
      </c>
      <c r="AO76" s="12" t="n">
        <v>968.1757975905</v>
      </c>
      <c r="AP76" s="12" t="n">
        <f aca="false">AP72+1</f>
        <v>2033</v>
      </c>
      <c r="AQ76" s="1" t="n">
        <f aca="false">AK76*[4]'inflation indexes'!i169</f>
        <v>7903.74687919891</v>
      </c>
      <c r="AR76" s="1" t="n">
        <f aca="false">AL76*[4]'inflation indexes'!i169</f>
        <v>616.142416918922</v>
      </c>
      <c r="AS76" s="1" t="n">
        <f aca="false">AN76*[4]'inflation indexes'!i169</f>
        <v>524.004126983276</v>
      </c>
      <c r="AT76" s="1" t="n">
        <f aca="false">AO76*[4]'inflation indexes'!i169</f>
        <v>897.87008380155</v>
      </c>
      <c r="AU76" s="1" t="n">
        <f aca="false">AM76*[4]'inflation indexes'!i169</f>
        <v>603.420362268198</v>
      </c>
    </row>
    <row r="77" customFormat="false" ht="15" hidden="false" customHeight="false" outlineLevel="0" collapsed="false">
      <c r="A77" s="14" t="n">
        <f aca="false">[4]'retirement benefit values'!b78</f>
        <v>6387.0505184766</v>
      </c>
      <c r="B77" s="12" t="n">
        <v>458.6649337004</v>
      </c>
      <c r="C77" s="12" t="n">
        <v>457.6781564459</v>
      </c>
      <c r="D77" s="12" t="n">
        <v>375.5604847062</v>
      </c>
      <c r="E77" s="12" t="n">
        <v>654.1526192774</v>
      </c>
      <c r="F77" s="12" t="n">
        <f aca="false">F73+1</f>
        <v>2033</v>
      </c>
      <c r="G77" s="10" t="n">
        <f aca="false">A77*[4]'inflation indexes'!i170</f>
        <v>5923.2441035413</v>
      </c>
      <c r="H77" s="12" t="n">
        <f aca="false">B77*[4]'inflation indexes'!i170</f>
        <v>425.358208171813</v>
      </c>
      <c r="I77" s="12" t="n">
        <f aca="false">D77*[4]'inflation indexes'!i170</f>
        <v>348.288528503716</v>
      </c>
      <c r="J77" s="1" t="n">
        <f aca="false">E77*[4]'inflation indexes'!i170</f>
        <v>606.650226695737</v>
      </c>
      <c r="K77" s="12" t="n">
        <f aca="false">C77*[4]'inflation indexes'!i170</f>
        <v>424.443087407178</v>
      </c>
      <c r="R77" s="12" t="n">
        <f aca="false">R73+1</f>
        <v>2033</v>
      </c>
      <c r="S77" s="9" t="n">
        <f aca="false">[4]'retirement benefit values'!p78</f>
        <v>7428.0964029751</v>
      </c>
      <c r="T77" s="12" t="n">
        <v>486.0584801833</v>
      </c>
      <c r="U77" s="12" t="n">
        <v>473.2104436873</v>
      </c>
      <c r="V77" s="12" t="n">
        <v>393.5405890221</v>
      </c>
      <c r="W77" s="12" t="n">
        <v>721.3384081451</v>
      </c>
      <c r="X77" s="12" t="n">
        <f aca="false">X73+1</f>
        <v>2033</v>
      </c>
      <c r="Y77" s="1" t="n">
        <f aca="false">S77*[4]'inflation indexes'!i170</f>
        <v>6888.69269033945</v>
      </c>
      <c r="Z77" s="1" t="n">
        <f aca="false">T77*[4]'inflation indexes'!i170</f>
        <v>450.762526207271</v>
      </c>
      <c r="AA77" s="1" t="n">
        <f aca="false">V77*[4]'inflation indexes'!i170</f>
        <v>364.962977306356</v>
      </c>
      <c r="AB77" s="1" t="n">
        <f aca="false">W77*[4]'inflation indexes'!i170</f>
        <v>668.95720651391</v>
      </c>
      <c r="AC77" s="1" t="n">
        <f aca="false">U77*[4]'inflation indexes'!i170</f>
        <v>438.847471488843</v>
      </c>
      <c r="AJ77" s="12" t="n">
        <f aca="false">AJ73+1</f>
        <v>2033</v>
      </c>
      <c r="AK77" s="14" t="n">
        <f aca="false">[4]'retirement benefit values'!aj78</f>
        <v>8584.3407003557</v>
      </c>
      <c r="AL77" s="12" t="n">
        <v>532.6019784341</v>
      </c>
      <c r="AM77" s="12" t="n">
        <v>504.3839635598</v>
      </c>
      <c r="AN77" s="12" t="n">
        <v>417.9467955001</v>
      </c>
      <c r="AO77" s="12" t="n">
        <v>835.6108731897</v>
      </c>
      <c r="AP77" s="12" t="n">
        <f aca="false">AP73+1</f>
        <v>2033</v>
      </c>
      <c r="AQ77" s="1" t="n">
        <f aca="false">AK77*[4]'inflation indexes'!i170</f>
        <v>7960.97436353129</v>
      </c>
      <c r="AR77" s="1" t="n">
        <f aca="false">AL77*[4]'inflation indexes'!i170</f>
        <v>493.926190057231</v>
      </c>
      <c r="AS77" s="1" t="n">
        <f aca="false">AN77*[4]'inflation indexes'!i170</f>
        <v>387.596886055383</v>
      </c>
      <c r="AT77" s="1" t="n">
        <f aca="false">AO77*[4]'inflation indexes'!i170</f>
        <v>774.93158432954</v>
      </c>
      <c r="AU77" s="1" t="n">
        <f aca="false">AM77*[4]'inflation indexes'!i170</f>
        <v>467.757273789178</v>
      </c>
    </row>
    <row r="78" customFormat="false" ht="15" hidden="false" customHeight="false" outlineLevel="0" collapsed="false">
      <c r="A78" s="14" t="n">
        <f aca="false">[4]'retirement benefit values'!b79</f>
        <v>6358.6919368263</v>
      </c>
      <c r="B78" s="12" t="n">
        <v>460.5529954568</v>
      </c>
      <c r="C78" s="12" t="n">
        <v>449.0154756219</v>
      </c>
      <c r="D78" s="12" t="n">
        <v>368.7769552817</v>
      </c>
      <c r="E78" s="12" t="n">
        <v>671.2121531922</v>
      </c>
      <c r="F78" s="12" t="n">
        <f aca="false">F74+1</f>
        <v>2033</v>
      </c>
      <c r="G78" s="10" t="n">
        <f aca="false">A78*[4]'inflation indexes'!i171</f>
        <v>5896.94482799008</v>
      </c>
      <c r="H78" s="12" t="n">
        <f aca="false">B78*[4]'inflation indexes'!i171</f>
        <v>427.10916514849</v>
      </c>
      <c r="I78" s="12" t="n">
        <f aca="false">D78*[4]'inflation indexes'!i171</f>
        <v>341.997596476697</v>
      </c>
      <c r="J78" s="1" t="n">
        <f aca="false">E78*[4]'inflation indexes'!i171</f>
        <v>622.470953865138</v>
      </c>
      <c r="K78" s="12" t="n">
        <f aca="false">C78*[4]'inflation indexes'!i171</f>
        <v>416.409461719831</v>
      </c>
      <c r="R78" s="12" t="n">
        <f aca="false">R74+1</f>
        <v>2033</v>
      </c>
      <c r="S78" s="9" t="n">
        <f aca="false">[4]'retirement benefit values'!p79</f>
        <v>7439.4113400667</v>
      </c>
      <c r="T78" s="12" t="n">
        <v>483.6474861559</v>
      </c>
      <c r="U78" s="12" t="n">
        <v>475.9152930239</v>
      </c>
      <c r="V78" s="12" t="n">
        <v>402.8553342082</v>
      </c>
      <c r="W78" s="12" t="n">
        <v>733.7544669359</v>
      </c>
      <c r="X78" s="12" t="n">
        <f aca="false">X74+1</f>
        <v>2033</v>
      </c>
      <c r="Y78" s="1" t="n">
        <f aca="false">S78*[4]'inflation indexes'!i171</f>
        <v>6899.18597424505</v>
      </c>
      <c r="Z78" s="1" t="n">
        <f aca="false">T78*[4]'inflation indexes'!i171</f>
        <v>448.526610565903</v>
      </c>
      <c r="AA78" s="1" t="n">
        <f aca="false">V78*[4]'inflation indexes'!i171</f>
        <v>373.601316605528</v>
      </c>
      <c r="AB78" s="1" t="n">
        <f aca="false">W78*[4]'inflation indexes'!i171</f>
        <v>680.471652314688</v>
      </c>
      <c r="AC78" s="1" t="n">
        <f aca="false">U78*[4]'inflation indexes'!i171</f>
        <v>441.355903641937</v>
      </c>
      <c r="AJ78" s="12" t="n">
        <f aca="false">AJ74+1</f>
        <v>2033</v>
      </c>
      <c r="AK78" s="14" t="n">
        <f aca="false">[4]'retirement benefit values'!aj79</f>
        <v>8588.2674446063</v>
      </c>
      <c r="AL78" s="12" t="n">
        <v>535.6863469221</v>
      </c>
      <c r="AM78" s="12" t="n">
        <v>508.6791531448</v>
      </c>
      <c r="AN78" s="12" t="n">
        <v>435.405602384</v>
      </c>
      <c r="AO78" s="12" t="n">
        <v>810.3900617965</v>
      </c>
      <c r="AP78" s="12" t="n">
        <f aca="false">AP74+1</f>
        <v>2033</v>
      </c>
      <c r="AQ78" s="1" t="n">
        <f aca="false">AK78*[4]'inflation indexes'!i171</f>
        <v>7964.61596064426</v>
      </c>
      <c r="AR78" s="1" t="n">
        <f aca="false">AL78*[4]'inflation indexes'!i171</f>
        <v>496.786581940284</v>
      </c>
      <c r="AS78" s="1" t="n">
        <f aca="false">AN78*[4]'inflation indexes'!i171</f>
        <v>403.787892315748</v>
      </c>
      <c r="AT78" s="1" t="n">
        <f aca="false">AO78*[4]'inflation indexes'!i171</f>
        <v>751.542224571207</v>
      </c>
      <c r="AU78" s="1" t="n">
        <f aca="false">AM78*[4]'inflation indexes'!i171</f>
        <v>471.740560958952</v>
      </c>
    </row>
    <row r="79" customFormat="false" ht="15" hidden="false" customHeight="false" outlineLevel="0" collapsed="false">
      <c r="A79" s="14" t="n">
        <f aca="false">[4]'retirement benefit values'!b80</f>
        <v>6361.8023448761</v>
      </c>
      <c r="B79" s="12" t="n">
        <v>463.2333836815</v>
      </c>
      <c r="C79" s="12" t="n">
        <v>453.0169174552</v>
      </c>
      <c r="D79" s="12" t="n">
        <v>370.7542324737</v>
      </c>
      <c r="E79" s="12" t="n">
        <v>678.3316769506</v>
      </c>
      <c r="F79" s="12" t="n">
        <f aca="false">F75+1</f>
        <v>2033</v>
      </c>
      <c r="G79" s="10" t="n">
        <f aca="false">A79*[4]'inflation indexes'!i172</f>
        <v>5899.82936852836</v>
      </c>
      <c r="H79" s="12" t="n">
        <f aca="false">B79*[4]'inflation indexes'!i172</f>
        <v>429.594912474463</v>
      </c>
      <c r="I79" s="12" t="n">
        <f aca="false">D79*[4]'inflation indexes'!i172</f>
        <v>343.831290360079</v>
      </c>
      <c r="J79" s="1" t="n">
        <f aca="false">E79*[4]'inflation indexes'!i172</f>
        <v>629.073481432436</v>
      </c>
      <c r="K79" s="12" t="n">
        <f aca="false">C79*[4]'inflation indexes'!i172</f>
        <v>420.12033212491</v>
      </c>
      <c r="R79" s="12" t="n">
        <f aca="false">R75+1</f>
        <v>2033</v>
      </c>
      <c r="S79" s="9" t="n">
        <f aca="false">[4]'retirement benefit values'!p80</f>
        <v>7437.8527545394</v>
      </c>
      <c r="T79" s="12" t="n">
        <v>487.0896026313</v>
      </c>
      <c r="U79" s="12" t="n">
        <v>470.4521435024</v>
      </c>
      <c r="V79" s="12" t="n">
        <v>392.8651761114</v>
      </c>
      <c r="W79" s="12" t="n">
        <v>735.2950086501</v>
      </c>
      <c r="X79" s="12" t="n">
        <f aca="false">X75+1</f>
        <v>2033</v>
      </c>
      <c r="Y79" s="1" t="n">
        <f aca="false">S79*[4]'inflation indexes'!i172</f>
        <v>6897.74056802699</v>
      </c>
      <c r="Z79" s="1" t="n">
        <f aca="false">T79*[4]'inflation indexes'!i172</f>
        <v>451.718771964601</v>
      </c>
      <c r="AA79" s="1" t="n">
        <f aca="false">V79*[4]'inflation indexes'!i172</f>
        <v>364.336610640054</v>
      </c>
      <c r="AB79" s="1" t="n">
        <f aca="false">W79*[4]'inflation indexes'!i172</f>
        <v>681.900325001478</v>
      </c>
      <c r="AC79" s="1" t="n">
        <f aca="false">U79*[4]'inflation indexes'!i172</f>
        <v>436.28946991069</v>
      </c>
      <c r="AJ79" s="12" t="n">
        <f aca="false">AJ75+1</f>
        <v>2033</v>
      </c>
      <c r="AK79" s="14" t="n">
        <f aca="false">[4]'retirement benefit values'!aj80</f>
        <v>8636.6202758797</v>
      </c>
      <c r="AL79" s="12" t="n">
        <v>531.3497558376</v>
      </c>
      <c r="AM79" s="12" t="n">
        <v>501.4967310446</v>
      </c>
      <c r="AN79" s="12" t="n">
        <v>427.1684439774</v>
      </c>
      <c r="AO79" s="12" t="n">
        <v>797.0540648964</v>
      </c>
      <c r="AP79" s="12" t="n">
        <f aca="false">AP75+1</f>
        <v>2033</v>
      </c>
      <c r="AQ79" s="1" t="n">
        <f aca="false">AK79*[4]'inflation indexes'!i172</f>
        <v>8009.45756975651</v>
      </c>
      <c r="AR79" s="1" t="n">
        <f aca="false">AL79*[4]'inflation indexes'!i172</f>
        <v>492.764899710524</v>
      </c>
      <c r="AS79" s="1" t="n">
        <f aca="false">AN79*[4]'inflation indexes'!i172</f>
        <v>396.148889019832</v>
      </c>
      <c r="AT79" s="1" t="n">
        <f aca="false">AO79*[4]'inflation indexes'!i172</f>
        <v>739.174643514058</v>
      </c>
      <c r="AU79" s="1" t="n">
        <f aca="false">AM79*[4]'inflation indexes'!i172</f>
        <v>465.079702518724</v>
      </c>
    </row>
    <row r="80" customFormat="false" ht="15" hidden="false" customHeight="false" outlineLevel="0" collapsed="false">
      <c r="A80" s="11" t="n">
        <f aca="false">[4]'retirement benefit values'!b81</f>
        <v>6359.3039512181</v>
      </c>
      <c r="B80" s="12" t="n">
        <v>573.8522216107</v>
      </c>
      <c r="C80" s="12" t="n">
        <v>574.1339871613</v>
      </c>
      <c r="D80" s="12" t="n">
        <v>476.3414752669</v>
      </c>
      <c r="E80" s="12" t="n">
        <v>799.0209312335</v>
      </c>
      <c r="F80" s="12" t="n">
        <f aca="false">F76+1</f>
        <v>2034</v>
      </c>
      <c r="G80" s="10" t="n">
        <f aca="false">A80*[4]'inflation indexes'!i173</f>
        <v>5897.51239992756</v>
      </c>
      <c r="H80" s="12" t="n">
        <f aca="false">B80*[4]'inflation indexes'!i173</f>
        <v>532.18097745223</v>
      </c>
      <c r="I80" s="12" t="n">
        <f aca="false">D80*[4]'inflation indexes'!i173</f>
        <v>441.751137944622</v>
      </c>
      <c r="J80" s="1" t="n">
        <f aca="false">E80*[4]'inflation indexes'!i173</f>
        <v>740.998682544277</v>
      </c>
      <c r="K80" s="12" t="n">
        <f aca="false">C80*[4]'inflation indexes'!i173</f>
        <v>532.442282123509</v>
      </c>
      <c r="R80" s="12" t="n">
        <f aca="false">R76+1</f>
        <v>2034</v>
      </c>
      <c r="S80" s="13" t="n">
        <f aca="false">[4]'retirement benefit values'!p81</f>
        <v>7428.6217146264</v>
      </c>
      <c r="T80" s="12" t="n">
        <v>605.6593806067</v>
      </c>
      <c r="U80" s="12" t="n">
        <v>611.4853654205</v>
      </c>
      <c r="V80" s="12" t="n">
        <v>534.5309564705</v>
      </c>
      <c r="W80" s="12" t="n">
        <v>860.3566117081</v>
      </c>
      <c r="X80" s="12" t="n">
        <f aca="false">X76+1</f>
        <v>2034</v>
      </c>
      <c r="Y80" s="1" t="n">
        <f aca="false">S80*[4]'inflation indexes'!i173</f>
        <v>6889.17985560174</v>
      </c>
      <c r="Z80" s="1" t="n">
        <f aca="false">T80*[4]'inflation indexes'!i173</f>
        <v>561.678406105479</v>
      </c>
      <c r="AA80" s="1" t="n">
        <f aca="false">V80*[4]'inflation indexes'!i173</f>
        <v>495.715092109425</v>
      </c>
      <c r="AB80" s="1" t="n">
        <f aca="false">W80*[4]'inflation indexes'!i173</f>
        <v>797.88036942884</v>
      </c>
      <c r="AC80" s="1" t="n">
        <f aca="false">U80*[4]'inflation indexes'!i173</f>
        <v>567.081327234071</v>
      </c>
      <c r="AJ80" s="12" t="n">
        <f aca="false">AJ76+1</f>
        <v>2034</v>
      </c>
      <c r="AK80" s="11" t="n">
        <f aca="false">[4]'retirement benefit values'!aj81</f>
        <v>8654.2464518779</v>
      </c>
      <c r="AL80" s="12" t="n">
        <v>667.7848261253</v>
      </c>
      <c r="AM80" s="12" t="n">
        <v>652.3190242434</v>
      </c>
      <c r="AN80" s="12" t="n">
        <v>576.2100589991</v>
      </c>
      <c r="AO80" s="12" t="n">
        <v>972.5095976234</v>
      </c>
      <c r="AP80" s="12" t="n">
        <f aca="false">AP76+1</f>
        <v>2034</v>
      </c>
      <c r="AQ80" s="1" t="n">
        <f aca="false">AK80*[4]'inflation indexes'!i173</f>
        <v>8025.80379134146</v>
      </c>
      <c r="AR80" s="1" t="n">
        <f aca="false">AL80*[4]'inflation indexes'!i173</f>
        <v>619.29250791717</v>
      </c>
      <c r="AS80" s="1" t="n">
        <f aca="false">AN80*[4]'inflation indexes'!i173</f>
        <v>534.367596513337</v>
      </c>
      <c r="AT80" s="1" t="n">
        <f aca="false">AO80*[4]'inflation indexes'!i173</f>
        <v>901.889177656616</v>
      </c>
      <c r="AU80" s="1" t="n">
        <f aca="false">AM80*[4]'inflation indexes'!i173</f>
        <v>604.949781248812</v>
      </c>
    </row>
    <row r="81" customFormat="false" ht="15" hidden="false" customHeight="false" outlineLevel="0" collapsed="false">
      <c r="A81" s="14" t="n">
        <f aca="false">[4]'retirement benefit values'!b82</f>
        <v>6360.8821184861</v>
      </c>
      <c r="B81" s="12" t="n">
        <v>459.6365583266</v>
      </c>
      <c r="C81" s="12" t="n">
        <v>453.2538703527</v>
      </c>
      <c r="D81" s="12" t="n">
        <v>364.6749998453</v>
      </c>
      <c r="E81" s="12" t="n">
        <v>647.2308568642</v>
      </c>
      <c r="F81" s="12" t="n">
        <f aca="false">F77+1</f>
        <v>2034</v>
      </c>
      <c r="G81" s="10" t="n">
        <f aca="false">A81*[4]'inflation indexes'!i174</f>
        <v>5898.97596592528</v>
      </c>
      <c r="H81" s="12" t="n">
        <f aca="false">B81*[4]'inflation indexes'!i174</f>
        <v>426.259276641734</v>
      </c>
      <c r="I81" s="12" t="n">
        <f aca="false">D81*[4]'inflation indexes'!i174</f>
        <v>338.193511432848</v>
      </c>
      <c r="J81" s="1" t="n">
        <f aca="false">E81*[4]'inflation indexes'!i174</f>
        <v>600.231099700969</v>
      </c>
      <c r="K81" s="12" t="n">
        <f aca="false">C81*[4]'inflation indexes'!i174</f>
        <v>420.340078289258</v>
      </c>
      <c r="R81" s="12" t="n">
        <f aca="false">R77+1</f>
        <v>2034</v>
      </c>
      <c r="S81" s="9" t="n">
        <f aca="false">[4]'retirement benefit values'!p82</f>
        <v>7431.2436169191</v>
      </c>
      <c r="T81" s="12" t="n">
        <v>491.4597195684</v>
      </c>
      <c r="U81" s="12" t="n">
        <v>482.884640288</v>
      </c>
      <c r="V81" s="12" t="n">
        <v>405.9499597215</v>
      </c>
      <c r="W81" s="12" t="n">
        <v>739.9125042537</v>
      </c>
      <c r="X81" s="12" t="n">
        <f aca="false">X77+1</f>
        <v>2034</v>
      </c>
      <c r="Y81" s="1" t="n">
        <f aca="false">S81*[4]'inflation indexes'!i174</f>
        <v>6891.61136405003</v>
      </c>
      <c r="Z81" s="1" t="n">
        <f aca="false">T81*[4]'inflation indexes'!i174</f>
        <v>455.771545510792</v>
      </c>
      <c r="AA81" s="1" t="n">
        <f aca="false">V81*[4]'inflation indexes'!i174</f>
        <v>376.471220682738</v>
      </c>
      <c r="AB81" s="1" t="n">
        <f aca="false">W81*[4]'inflation indexes'!i174</f>
        <v>686.182513396267</v>
      </c>
      <c r="AC81" s="1" t="n">
        <f aca="false">U81*[4]'inflation indexes'!i174</f>
        <v>447.819160033631</v>
      </c>
      <c r="AJ81" s="12" t="n">
        <f aca="false">AJ77+1</f>
        <v>2034</v>
      </c>
      <c r="AK81" s="14" t="n">
        <f aca="false">[4]'retirement benefit values'!aj82</f>
        <v>8652.5779929783</v>
      </c>
      <c r="AL81" s="12" t="n">
        <v>524.499529974</v>
      </c>
      <c r="AM81" s="12" t="n">
        <v>497.2561772531</v>
      </c>
      <c r="AN81" s="12" t="n">
        <v>423.4789579404</v>
      </c>
      <c r="AO81" s="12" t="n">
        <v>847.8090313831</v>
      </c>
      <c r="AP81" s="12" t="n">
        <f aca="false">AP77+1</f>
        <v>2034</v>
      </c>
      <c r="AQ81" s="1" t="n">
        <f aca="false">AK81*[4]'inflation indexes'!i174</f>
        <v>8024.25649039082</v>
      </c>
      <c r="AR81" s="1" t="n">
        <f aca="false">AL81*[4]'inflation indexes'!i174</f>
        <v>486.412114518499</v>
      </c>
      <c r="AS81" s="1" t="n">
        <f aca="false">AN81*[4]'inflation indexes'!i174</f>
        <v>392.727321216267</v>
      </c>
      <c r="AT81" s="1" t="n">
        <f aca="false">AO81*[4]'inflation indexes'!i174</f>
        <v>786.243952751256</v>
      </c>
      <c r="AU81" s="1" t="n">
        <f aca="false">AM81*[4]'inflation indexes'!i174</f>
        <v>461.147083672421</v>
      </c>
    </row>
    <row r="82" customFormat="false" ht="15" hidden="false" customHeight="false" outlineLevel="0" collapsed="false">
      <c r="A82" s="14" t="n">
        <f aca="false">[4]'retirement benefit values'!b83</f>
        <v>6334.0527303264</v>
      </c>
      <c r="B82" s="12" t="n">
        <v>466.0082994654</v>
      </c>
      <c r="C82" s="12" t="n">
        <v>455.9652179312</v>
      </c>
      <c r="D82" s="12" t="n">
        <v>366.8363534701</v>
      </c>
      <c r="E82" s="12" t="n">
        <v>666.9396041572</v>
      </c>
      <c r="F82" s="12" t="n">
        <f aca="false">F78+1</f>
        <v>2034</v>
      </c>
      <c r="G82" s="10" t="n">
        <f aca="false">A82*[4]'inflation indexes'!i175</f>
        <v>5874.0948389076</v>
      </c>
      <c r="H82" s="12" t="n">
        <f aca="false">B82*[4]'inflation indexes'!i175</f>
        <v>432.168323081951</v>
      </c>
      <c r="I82" s="12" t="n">
        <f aca="false">D82*[4]'inflation indexes'!i175</f>
        <v>340.197914729288</v>
      </c>
      <c r="J82" s="1" t="n">
        <f aca="false">E82*[4]'inflation indexes'!i175</f>
        <v>618.50866316375</v>
      </c>
      <c r="K82" s="12" t="n">
        <f aca="false">C82*[4]'inflation indexes'!i175</f>
        <v>422.854536803488</v>
      </c>
      <c r="R82" s="12" t="n">
        <f aca="false">R78+1</f>
        <v>2034</v>
      </c>
      <c r="S82" s="9" t="n">
        <f aca="false">[4]'retirement benefit values'!p83</f>
        <v>7471.3710252412</v>
      </c>
      <c r="T82" s="12" t="n">
        <v>491.7929755404</v>
      </c>
      <c r="U82" s="12" t="n">
        <v>476.0742984679</v>
      </c>
      <c r="V82" s="12" t="n">
        <v>399.6082599195</v>
      </c>
      <c r="W82" s="12" t="n">
        <v>724.452629528</v>
      </c>
      <c r="X82" s="12" t="n">
        <f aca="false">X78+1</f>
        <v>2034</v>
      </c>
      <c r="Y82" s="1" t="n">
        <f aca="false">S82*[4]'inflation indexes'!i175</f>
        <v>6928.82485313183</v>
      </c>
      <c r="Z82" s="1" t="n">
        <f aca="false">T82*[4]'inflation indexes'!i175</f>
        <v>456.080601539926</v>
      </c>
      <c r="AA82" s="1" t="n">
        <f aca="false">V82*[4]'inflation indexes'!i175</f>
        <v>370.590034077127</v>
      </c>
      <c r="AB82" s="1" t="n">
        <f aca="false">W82*[4]'inflation indexes'!i175</f>
        <v>671.845283473694</v>
      </c>
      <c r="AC82" s="1" t="n">
        <f aca="false">U82*[4]'inflation indexes'!i175</f>
        <v>441.503362638211</v>
      </c>
      <c r="AJ82" s="12" t="n">
        <f aca="false">AJ78+1</f>
        <v>2034</v>
      </c>
      <c r="AK82" s="14" t="n">
        <f aca="false">[4]'retirement benefit values'!aj83</f>
        <v>8682.9614823846</v>
      </c>
      <c r="AL82" s="12" t="n">
        <v>534.8823611743</v>
      </c>
      <c r="AM82" s="12" t="n">
        <v>498.3464394206</v>
      </c>
      <c r="AN82" s="12" t="n">
        <v>430.0369225519</v>
      </c>
      <c r="AO82" s="12" t="n">
        <v>826.0948139132</v>
      </c>
      <c r="AP82" s="12" t="n">
        <f aca="false">AP78+1</f>
        <v>2034</v>
      </c>
      <c r="AQ82" s="1" t="n">
        <f aca="false">AK82*[4]'inflation indexes'!i175</f>
        <v>8052.4336316159</v>
      </c>
      <c r="AR82" s="1" t="n">
        <f aca="false">AL82*[4]'inflation indexes'!i175</f>
        <v>496.040978969677</v>
      </c>
      <c r="AS82" s="1" t="n">
        <f aca="false">AN82*[4]'inflation indexes'!i175</f>
        <v>398.809068198529</v>
      </c>
      <c r="AT82" s="1" t="n">
        <f aca="false">AO82*[4]'inflation indexes'!i175</f>
        <v>766.106549701206</v>
      </c>
      <c r="AU82" s="1" t="n">
        <f aca="false">AM82*[4]'inflation indexes'!i175</f>
        <v>462.15817461906</v>
      </c>
    </row>
    <row r="83" customFormat="false" ht="15" hidden="false" customHeight="false" outlineLevel="0" collapsed="false">
      <c r="A83" s="14" t="n">
        <f aca="false">[4]'retirement benefit values'!b84</f>
        <v>6351.1524766054</v>
      </c>
      <c r="B83" s="12" t="n">
        <v>452.7909873915</v>
      </c>
      <c r="C83" s="12" t="n">
        <v>452.4813586003</v>
      </c>
      <c r="D83" s="12" t="n">
        <v>365.9782289435</v>
      </c>
      <c r="E83" s="12" t="n">
        <v>669.7799769403</v>
      </c>
      <c r="F83" s="12" t="n">
        <f aca="false">F79+1</f>
        <v>2034</v>
      </c>
      <c r="G83" s="10" t="n">
        <f aca="false">A83*[4]'inflation indexes'!i176</f>
        <v>5889.95285835274</v>
      </c>
      <c r="H83" s="12" t="n">
        <f aca="false">B83*[4]'inflation indexes'!i176</f>
        <v>419.910808352747</v>
      </c>
      <c r="I83" s="12" t="n">
        <f aca="false">D83*[4]'inflation indexes'!i176</f>
        <v>339.402104358354</v>
      </c>
      <c r="J83" s="1" t="n">
        <f aca="false">E83*[4]'inflation indexes'!i176</f>
        <v>621.142777500358</v>
      </c>
      <c r="K83" s="12" t="n">
        <f aca="false">C83*[4]'inflation indexes'!i176</f>
        <v>419.623663776944</v>
      </c>
      <c r="R83" s="12" t="n">
        <f aca="false">R79+1</f>
        <v>2034</v>
      </c>
      <c r="S83" s="9" t="n">
        <f aca="false">[4]'retirement benefit values'!p84</f>
        <v>7497.7369605273</v>
      </c>
      <c r="T83" s="12" t="n">
        <v>478.4263780278</v>
      </c>
      <c r="U83" s="12" t="n">
        <v>467.082378214</v>
      </c>
      <c r="V83" s="12" t="n">
        <v>392.4124375633</v>
      </c>
      <c r="W83" s="12" t="n">
        <v>720.1380142107</v>
      </c>
      <c r="X83" s="12" t="n">
        <f aca="false">X79+1</f>
        <v>2034</v>
      </c>
      <c r="Y83" s="1" t="n">
        <f aca="false">S83*[4]'inflation indexes'!i176</f>
        <v>6953.27618168575</v>
      </c>
      <c r="Z83" s="1" t="n">
        <f aca="false">T83*[4]'inflation indexes'!i176</f>
        <v>443.684641985217</v>
      </c>
      <c r="AA83" s="1" t="n">
        <f aca="false">V83*[4]'inflation indexes'!i176</f>
        <v>363.916748463025</v>
      </c>
      <c r="AB83" s="1" t="n">
        <f aca="false">W83*[4]'inflation indexes'!i176</f>
        <v>667.84398120384</v>
      </c>
      <c r="AC83" s="1" t="n">
        <f aca="false">U83*[4]'inflation indexes'!i176</f>
        <v>433.16440579587</v>
      </c>
      <c r="AJ83" s="12" t="n">
        <f aca="false">AJ79+1</f>
        <v>2034</v>
      </c>
      <c r="AK83" s="14" t="n">
        <f aca="false">[4]'retirement benefit values'!aj84</f>
        <v>8710.9868010802</v>
      </c>
      <c r="AL83" s="12" t="n">
        <v>516.2423364447</v>
      </c>
      <c r="AM83" s="12" t="n">
        <v>495.1133069494</v>
      </c>
      <c r="AN83" s="12" t="n">
        <v>415.0144464918</v>
      </c>
      <c r="AO83" s="12" t="n">
        <v>825.5994244202</v>
      </c>
      <c r="AP83" s="12" t="n">
        <f aca="false">AP79+1</f>
        <v>2034</v>
      </c>
      <c r="AQ83" s="1" t="n">
        <f aca="false">AK83*[4]'inflation indexes'!i176</f>
        <v>8078.42384466234</v>
      </c>
      <c r="AR83" s="1" t="n">
        <f aca="false">AL83*[4]'inflation indexes'!i176</f>
        <v>478.754530984011</v>
      </c>
      <c r="AS83" s="1" t="n">
        <f aca="false">AN83*[4]'inflation indexes'!i176</f>
        <v>384.877474501851</v>
      </c>
      <c r="AT83" s="1" t="n">
        <f aca="false">AO83*[4]'inflation indexes'!i176</f>
        <v>765.64713374937</v>
      </c>
      <c r="AU83" s="1" t="n">
        <f aca="false">AM83*[4]'inflation indexes'!i176</f>
        <v>459.159821499635</v>
      </c>
    </row>
    <row r="84" customFormat="false" ht="15" hidden="false" customHeight="false" outlineLevel="0" collapsed="false">
      <c r="A84" s="11" t="n">
        <f aca="false">[4]'retirement benefit values'!b85</f>
        <v>6350.4567659241</v>
      </c>
      <c r="B84" s="12" t="n">
        <v>577.8915525352</v>
      </c>
      <c r="C84" s="12" t="n">
        <v>571.0365787297</v>
      </c>
      <c r="D84" s="12" t="n">
        <v>492.2731015411</v>
      </c>
      <c r="E84" s="12" t="n">
        <v>778.8781630217</v>
      </c>
      <c r="F84" s="12" t="n">
        <f aca="false">F80+1</f>
        <v>2035</v>
      </c>
      <c r="G84" s="10" t="n">
        <f aca="false">A84*[4]'inflation indexes'!i177</f>
        <v>5889.30766787259</v>
      </c>
      <c r="H84" s="12" t="n">
        <f aca="false">B84*[4]'inflation indexes'!i177</f>
        <v>535.926985568431</v>
      </c>
      <c r="I84" s="12" t="n">
        <f aca="false">D84*[4]'inflation indexes'!i177</f>
        <v>456.525862383625</v>
      </c>
      <c r="J84" s="1" t="n">
        <f aca="false">E84*[4]'inflation indexes'!i177</f>
        <v>722.318615321637</v>
      </c>
      <c r="K84" s="12" t="n">
        <f aca="false">C84*[4]'inflation indexes'!i177</f>
        <v>529.569797214292</v>
      </c>
      <c r="R84" s="12" t="n">
        <f aca="false">R80+1</f>
        <v>2035</v>
      </c>
      <c r="S84" s="13" t="n">
        <f aca="false">[4]'retirement benefit values'!p85</f>
        <v>7495.3213320462</v>
      </c>
      <c r="T84" s="12" t="n">
        <v>601.9275723346</v>
      </c>
      <c r="U84" s="12" t="n">
        <v>596.1960011017</v>
      </c>
      <c r="V84" s="12" t="n">
        <v>518.3531684665</v>
      </c>
      <c r="W84" s="12" t="n">
        <v>876.4682868313</v>
      </c>
      <c r="X84" s="12" t="n">
        <f aca="false">X80+1</f>
        <v>2035</v>
      </c>
      <c r="Y84" s="1" t="n">
        <f aca="false">S84*[4]'inflation indexes'!i177</f>
        <v>6951.03596812933</v>
      </c>
      <c r="Z84" s="1" t="n">
        <f aca="false">T84*[4]'inflation indexes'!i177</f>
        <v>558.217589367093</v>
      </c>
      <c r="AA84" s="1" t="n">
        <f aca="false">V84*[4]'inflation indexes'!i177</f>
        <v>480.712081388619</v>
      </c>
      <c r="AB84" s="1" t="n">
        <f aca="false">W84*[4]'inflation indexes'!i177</f>
        <v>812.822068166872</v>
      </c>
      <c r="AC84" s="1" t="n">
        <f aca="false">U84*[4]'inflation indexes'!i177</f>
        <v>552.902225818442</v>
      </c>
      <c r="AJ84" s="12" t="n">
        <f aca="false">AJ80+1</f>
        <v>2035</v>
      </c>
      <c r="AK84" s="11" t="n">
        <f aca="false">[4]'retirement benefit values'!aj85</f>
        <v>8755.8412673841</v>
      </c>
      <c r="AL84" s="12" t="n">
        <v>658.7871694107</v>
      </c>
      <c r="AM84" s="12" t="n">
        <v>629.6818179106</v>
      </c>
      <c r="AN84" s="12" t="n">
        <v>550.6069962144</v>
      </c>
      <c r="AO84" s="12" t="n">
        <v>1014.0326832773</v>
      </c>
      <c r="AP84" s="12" t="n">
        <f aca="false">AP80+1</f>
        <v>2035</v>
      </c>
      <c r="AQ84" s="1" t="n">
        <f aca="false">AK84*[4]'inflation indexes'!i177</f>
        <v>8120.02112846079</v>
      </c>
      <c r="AR84" s="1" t="n">
        <f aca="false">AL84*[4]'inflation indexes'!i177</f>
        <v>610.94823117687</v>
      </c>
      <c r="AS84" s="1" t="n">
        <f aca="false">AN84*[4]'inflation indexes'!i177</f>
        <v>510.623743191155</v>
      </c>
      <c r="AT84" s="1" t="n">
        <f aca="false">AO84*[4]'inflation indexes'!i177</f>
        <v>940.396994613568</v>
      </c>
      <c r="AU84" s="1" t="n">
        <f aca="false">AM84*[4]'inflation indexes'!i177</f>
        <v>583.956413724394</v>
      </c>
    </row>
    <row r="85" customFormat="false" ht="15" hidden="false" customHeight="false" outlineLevel="0" collapsed="false">
      <c r="A85" s="14" t="n">
        <f aca="false">[4]'retirement benefit values'!b86</f>
        <v>6321.3684427366</v>
      </c>
      <c r="B85" s="12" t="n">
        <v>473.0237316611</v>
      </c>
      <c r="C85" s="12" t="n">
        <v>458.2321541176</v>
      </c>
      <c r="D85" s="12" t="n">
        <v>382.4195621594</v>
      </c>
      <c r="E85" s="12" t="n">
        <v>669.1520462408</v>
      </c>
      <c r="F85" s="12" t="n">
        <f aca="false">F81+1</f>
        <v>2035</v>
      </c>
      <c r="G85" s="10" t="n">
        <f aca="false">A85*[4]'inflation indexes'!i178</f>
        <v>5862.33164219316</v>
      </c>
      <c r="H85" s="12" t="n">
        <f aca="false">B85*[4]'inflation indexes'!i178</f>
        <v>438.674317870432</v>
      </c>
      <c r="I85" s="12" t="n">
        <f aca="false">D85*[4]'inflation indexes'!i178</f>
        <v>354.649522512276</v>
      </c>
      <c r="J85" s="1" t="n">
        <f aca="false">E85*[4]'inflation indexes'!i178</f>
        <v>620.560445044636</v>
      </c>
      <c r="K85" s="12" t="n">
        <f aca="false">C85*[4]'inflation indexes'!i178</f>
        <v>424.956855606252</v>
      </c>
      <c r="R85" s="12" t="n">
        <f aca="false">R81+1</f>
        <v>2035</v>
      </c>
      <c r="S85" s="9" t="n">
        <f aca="false">[4]'retirement benefit values'!p86</f>
        <v>7527.8037035158</v>
      </c>
      <c r="T85" s="12" t="n">
        <v>480.8036925107</v>
      </c>
      <c r="U85" s="12" t="n">
        <v>467.6987767563</v>
      </c>
      <c r="V85" s="12" t="n">
        <v>386.2655982744</v>
      </c>
      <c r="W85" s="12" t="n">
        <v>714.0669200568</v>
      </c>
      <c r="X85" s="12" t="n">
        <f aca="false">X81+1</f>
        <v>2035</v>
      </c>
      <c r="Y85" s="1" t="n">
        <f aca="false">S85*[4]'inflation indexes'!i178</f>
        <v>6981.15957756686</v>
      </c>
      <c r="Z85" s="1" t="n">
        <f aca="false">T85*[4]'inflation indexes'!i178</f>
        <v>445.88932377885</v>
      </c>
      <c r="AA85" s="1" t="n">
        <f aca="false">V85*[4]'inflation indexes'!i178</f>
        <v>358.216272246645</v>
      </c>
      <c r="AB85" s="1" t="n">
        <f aca="false">W85*[4]'inflation indexes'!i178</f>
        <v>662.213749762097</v>
      </c>
      <c r="AC85" s="1" t="n">
        <f aca="false">U85*[4]'inflation indexes'!i178</f>
        <v>433.736043521382</v>
      </c>
      <c r="AJ85" s="12" t="n">
        <f aca="false">AJ81+1</f>
        <v>2035</v>
      </c>
      <c r="AK85" s="14" t="n">
        <f aca="false">[4]'retirement benefit values'!aj86</f>
        <v>8823.8445938166</v>
      </c>
      <c r="AL85" s="12" t="n">
        <v>526.2032267045</v>
      </c>
      <c r="AM85" s="12" t="n">
        <v>492.3589201663</v>
      </c>
      <c r="AN85" s="12" t="n">
        <v>418.4547509789</v>
      </c>
      <c r="AO85" s="12" t="n">
        <v>821.8008465873</v>
      </c>
      <c r="AP85" s="12" t="n">
        <f aca="false">AP81+1</f>
        <v>2035</v>
      </c>
      <c r="AQ85" s="1" t="n">
        <f aca="false">AK85*[4]'inflation indexes'!i178</f>
        <v>8183.08627897858</v>
      </c>
      <c r="AR85" s="1" t="n">
        <f aca="false">AL85*[4]'inflation indexes'!i178</f>
        <v>487.992094445691</v>
      </c>
      <c r="AS85" s="1" t="n">
        <f aca="false">AN85*[4]'inflation indexes'!i178</f>
        <v>388.067955492826</v>
      </c>
      <c r="AT85" s="1" t="n">
        <f aca="false">AO85*[4]'inflation indexes'!i178</f>
        <v>762.124396034132</v>
      </c>
      <c r="AU85" s="1" t="n">
        <f aca="false">AM85*[4]'inflation indexes'!i178</f>
        <v>456.605449145029</v>
      </c>
    </row>
    <row r="86" customFormat="false" ht="15" hidden="false" customHeight="false" outlineLevel="0" collapsed="false">
      <c r="A86" s="14" t="n">
        <f aca="false">[4]'retirement benefit values'!b87</f>
        <v>6319.0288890967</v>
      </c>
      <c r="B86" s="12" t="n">
        <v>466.1182817192</v>
      </c>
      <c r="C86" s="12" t="n">
        <v>453.4739133334</v>
      </c>
      <c r="D86" s="12" t="n">
        <v>383.3723915729</v>
      </c>
      <c r="E86" s="12" t="n">
        <v>661.0438729048</v>
      </c>
      <c r="F86" s="12" t="n">
        <f aca="false">F82+1</f>
        <v>2035</v>
      </c>
      <c r="G86" s="10" t="n">
        <f aca="false">A86*[4]'inflation indexes'!i179</f>
        <v>5860.16197917541</v>
      </c>
      <c r="H86" s="12" t="n">
        <f aca="false">B86*[4]'inflation indexes'!i179</f>
        <v>432.270318789427</v>
      </c>
      <c r="I86" s="12" t="n">
        <f aca="false">D86*[4]'inflation indexes'!i179</f>
        <v>355.533160615477</v>
      </c>
      <c r="J86" s="1" t="n">
        <f aca="false">E86*[4]'inflation indexes'!i179</f>
        <v>613.041060351495</v>
      </c>
      <c r="K86" s="12" t="n">
        <f aca="false">C86*[4]'inflation indexes'!i179</f>
        <v>420.544142478853</v>
      </c>
      <c r="R86" s="12" t="n">
        <f aca="false">R82+1</f>
        <v>2035</v>
      </c>
      <c r="S86" s="9" t="n">
        <f aca="false">[4]'retirement benefit values'!p87</f>
        <v>7512.4984068257</v>
      </c>
      <c r="T86" s="12" t="n">
        <v>482.4262026214</v>
      </c>
      <c r="U86" s="12" t="n">
        <v>468.4322568448</v>
      </c>
      <c r="V86" s="12" t="n">
        <v>382.3652113564</v>
      </c>
      <c r="W86" s="12" t="n">
        <v>727.3258571818</v>
      </c>
      <c r="X86" s="12" t="n">
        <f aca="false">X82+1</f>
        <v>2035</v>
      </c>
      <c r="Y86" s="1" t="n">
        <f aca="false">S86*[4]'inflation indexes'!i179</f>
        <v>6966.96570073587</v>
      </c>
      <c r="Z86" s="1" t="n">
        <f aca="false">T86*[4]'inflation indexes'!i179</f>
        <v>447.394012589176</v>
      </c>
      <c r="AA86" s="1" t="n">
        <f aca="false">V86*[4]'inflation indexes'!i179</f>
        <v>354.599118484241</v>
      </c>
      <c r="AB86" s="1" t="n">
        <f aca="false">W86*[4]'inflation indexes'!i179</f>
        <v>674.509866869311</v>
      </c>
      <c r="AC86" s="1" t="n">
        <f aca="false">U86*[4]'inflation indexes'!i179</f>
        <v>434.416260719712</v>
      </c>
      <c r="AJ86" s="12" t="n">
        <f aca="false">AJ82+1</f>
        <v>2035</v>
      </c>
      <c r="AK86" s="14" t="n">
        <f aca="false">[4]'retirement benefit values'!aj87</f>
        <v>8864.4390051759</v>
      </c>
      <c r="AL86" s="12" t="n">
        <v>514.9974093509</v>
      </c>
      <c r="AM86" s="12" t="n">
        <v>487.5113782691</v>
      </c>
      <c r="AN86" s="12" t="n">
        <v>412.7202659786</v>
      </c>
      <c r="AO86" s="12" t="n">
        <v>870.4750147353</v>
      </c>
      <c r="AP86" s="12" t="n">
        <f aca="false">AP82+1</f>
        <v>2035</v>
      </c>
      <c r="AQ86" s="1" t="n">
        <f aca="false">AK86*[4]'inflation indexes'!i179</f>
        <v>8220.73285888665</v>
      </c>
      <c r="AR86" s="1" t="n">
        <f aca="false">AL86*[4]'inflation indexes'!i179</f>
        <v>477.600006364806</v>
      </c>
      <c r="AS86" s="1" t="n">
        <f aca="false">AN86*[4]'inflation indexes'!i179</f>
        <v>382.749889764896</v>
      </c>
      <c r="AT86" s="1" t="n">
        <f aca="false">AO86*[4]'inflation indexes'!i179</f>
        <v>807.264007603415</v>
      </c>
      <c r="AU86" s="1" t="n">
        <f aca="false">AM86*[4]'inflation indexes'!i179</f>
        <v>452.109919655134</v>
      </c>
    </row>
    <row r="87" customFormat="false" ht="15" hidden="false" customHeight="false" outlineLevel="0" collapsed="false">
      <c r="A87" s="14" t="n">
        <f aca="false">[4]'retirement benefit values'!b88</f>
        <v>6317.8529851746</v>
      </c>
      <c r="B87" s="12" t="n">
        <v>467.5210033506</v>
      </c>
      <c r="C87" s="12" t="n">
        <v>451.7651920881</v>
      </c>
      <c r="D87" s="12" t="n">
        <v>377.5586200806</v>
      </c>
      <c r="E87" s="12" t="n">
        <v>663.7910030084</v>
      </c>
      <c r="F87" s="12" t="n">
        <f aca="false">F83+1</f>
        <v>2035</v>
      </c>
      <c r="G87" s="10" t="n">
        <f aca="false">A87*[4]'inflation indexes'!i180</f>
        <v>5859.07146549421</v>
      </c>
      <c r="H87" s="12" t="n">
        <f aca="false">B87*[4]'inflation indexes'!i180</f>
        <v>433.57117943051</v>
      </c>
      <c r="I87" s="12" t="n">
        <f aca="false">D87*[4]'inflation indexes'!i180</f>
        <v>350.141565917504</v>
      </c>
      <c r="J87" s="1" t="n">
        <f aca="false">E87*[4]'inflation indexes'!i180</f>
        <v>615.588702982587</v>
      </c>
      <c r="K87" s="12" t="n">
        <f aca="false">C87*[4]'inflation indexes'!i180</f>
        <v>418.959502900453</v>
      </c>
      <c r="R87" s="12" t="n">
        <f aca="false">R83+1</f>
        <v>2035</v>
      </c>
      <c r="S87" s="9" t="n">
        <f aca="false">[4]'retirement benefit values'!p88</f>
        <v>7528.6762692841</v>
      </c>
      <c r="T87" s="12" t="n">
        <v>480.1497711736</v>
      </c>
      <c r="U87" s="12" t="n">
        <v>470.0194480854</v>
      </c>
      <c r="V87" s="12" t="n">
        <v>389.6587715779</v>
      </c>
      <c r="W87" s="12" t="n">
        <v>725.4994355493</v>
      </c>
      <c r="X87" s="12" t="n">
        <f aca="false">X83+1</f>
        <v>2035</v>
      </c>
      <c r="Y87" s="1" t="n">
        <f aca="false">S87*[4]'inflation indexes'!i180</f>
        <v>6981.96878050444</v>
      </c>
      <c r="Z87" s="1" t="n">
        <f aca="false">T87*[4]'inflation indexes'!i180</f>
        <v>445.282888039388</v>
      </c>
      <c r="AA87" s="1" t="n">
        <f aca="false">V87*[4]'inflation indexes'!i180</f>
        <v>361.363044564182</v>
      </c>
      <c r="AB87" s="1" t="n">
        <f aca="false">W87*[4]'inflation indexes'!i180</f>
        <v>672.816073915272</v>
      </c>
      <c r="AC87" s="1" t="n">
        <f aca="false">U87*[4]'inflation indexes'!i180</f>
        <v>435.888195399089</v>
      </c>
      <c r="AJ87" s="12" t="n">
        <f aca="false">AJ83+1</f>
        <v>2035</v>
      </c>
      <c r="AK87" s="14" t="n">
        <f aca="false">[4]'retirement benefit values'!aj88</f>
        <v>8938.2754770118</v>
      </c>
      <c r="AL87" s="12" t="n">
        <v>524.4744165324</v>
      </c>
      <c r="AM87" s="12" t="n">
        <v>489.8137247983</v>
      </c>
      <c r="AN87" s="12" t="n">
        <v>422.0734207346</v>
      </c>
      <c r="AO87" s="12" t="n">
        <v>838.1713949061</v>
      </c>
      <c r="AP87" s="12" t="n">
        <f aca="false">AP83+1</f>
        <v>2035</v>
      </c>
      <c r="AQ87" s="1" t="n">
        <f aca="false">AK87*[4]'inflation indexes'!i180</f>
        <v>8289.20757114438</v>
      </c>
      <c r="AR87" s="1" t="n">
        <f aca="false">AL87*[4]'inflation indexes'!i180</f>
        <v>486.388824731696</v>
      </c>
      <c r="AS87" s="1" t="n">
        <f aca="false">AN87*[4]'inflation indexes'!i180</f>
        <v>391.423849458454</v>
      </c>
      <c r="AT87" s="1" t="n">
        <f aca="false">AO87*[4]'inflation indexes'!i180</f>
        <v>777.306169455301</v>
      </c>
      <c r="AU87" s="1" t="n">
        <f aca="false">AM87*[4]'inflation indexes'!i180</f>
        <v>454.245077419104</v>
      </c>
    </row>
    <row r="88" customFormat="false" ht="15" hidden="false" customHeight="false" outlineLevel="0" collapsed="false">
      <c r="A88" s="11" t="n">
        <f aca="false">[4]'retirement benefit values'!b89</f>
        <v>6323.0278303572</v>
      </c>
      <c r="B88" s="12" t="n">
        <v>575.8624367344</v>
      </c>
      <c r="C88" s="12" t="n">
        <v>565.4942732039</v>
      </c>
      <c r="D88" s="12" t="n">
        <v>485.0999116071</v>
      </c>
      <c r="E88" s="12" t="n">
        <v>785.1583297631</v>
      </c>
      <c r="F88" s="12" t="n">
        <f aca="false">F84+1</f>
        <v>2036</v>
      </c>
      <c r="G88" s="10" t="n">
        <f aca="false">A88*[4]'inflation indexes'!i181</f>
        <v>5863.87053059098</v>
      </c>
      <c r="H88" s="12" t="n">
        <f aca="false">B88*[4]'inflation indexes'!i181</f>
        <v>534.045217424008</v>
      </c>
      <c r="I88" s="12" t="n">
        <f aca="false">D88*[4]'inflation indexes'!i181</f>
        <v>449.873565700322</v>
      </c>
      <c r="J88" s="1" t="n">
        <f aca="false">E88*[4]'inflation indexes'!i181</f>
        <v>728.142737193328</v>
      </c>
      <c r="K88" s="12" t="n">
        <f aca="false">C88*[4]'inflation indexes'!i181</f>
        <v>524.429955525119</v>
      </c>
      <c r="R88" s="12" t="n">
        <f aca="false">R84+1</f>
        <v>2036</v>
      </c>
      <c r="S88" s="13" t="n">
        <f aca="false">[4]'retirement benefit values'!p89</f>
        <v>7517.3956721129</v>
      </c>
      <c r="T88" s="12" t="n">
        <v>601.1590619847</v>
      </c>
      <c r="U88" s="12" t="n">
        <v>593.4786373457</v>
      </c>
      <c r="V88" s="12" t="n">
        <v>509.7151627154</v>
      </c>
      <c r="W88" s="12" t="n">
        <v>899.0576870928</v>
      </c>
      <c r="X88" s="12" t="n">
        <f aca="false">X84+1</f>
        <v>2036</v>
      </c>
      <c r="Y88" s="1" t="n">
        <f aca="false">S88*[4]'inflation indexes'!i181</f>
        <v>6971.50734286817</v>
      </c>
      <c r="Z88" s="1" t="n">
        <f aca="false">T88*[4]'inflation indexes'!i181</f>
        <v>557.504885688706</v>
      </c>
      <c r="AA88" s="1" t="n">
        <f aca="false">V88*[4]'inflation indexes'!i181</f>
        <v>472.701338952255</v>
      </c>
      <c r="AB88" s="1" t="n">
        <f aca="false">W88*[4]'inflation indexes'!i181</f>
        <v>833.771101138256</v>
      </c>
      <c r="AC88" s="1" t="n">
        <f aca="false">U88*[4]'inflation indexes'!i181</f>
        <v>550.382188001559</v>
      </c>
      <c r="AJ88" s="12" t="n">
        <f aca="false">AJ84+1</f>
        <v>2036</v>
      </c>
      <c r="AK88" s="11" t="n">
        <f aca="false">[4]'retirement benefit values'!aj89</f>
        <v>8961.7375712106</v>
      </c>
      <c r="AL88" s="12" t="n">
        <v>668.624902358</v>
      </c>
      <c r="AM88" s="12" t="n">
        <v>648.9628843694</v>
      </c>
      <c r="AN88" s="12" t="n">
        <v>579.8087812463</v>
      </c>
      <c r="AO88" s="12" t="n">
        <v>1023.032731111</v>
      </c>
      <c r="AP88" s="12" t="n">
        <f aca="false">AP84+1</f>
        <v>2036</v>
      </c>
      <c r="AQ88" s="1" t="n">
        <f aca="false">AK88*[4]'inflation indexes'!i181</f>
        <v>8310.96592591514</v>
      </c>
      <c r="AR88" s="1" t="n">
        <f aca="false">AL88*[4]'inflation indexes'!i181</f>
        <v>620.071580601419</v>
      </c>
      <c r="AS88" s="1" t="n">
        <f aca="false">AN88*[4]'inflation indexes'!i181</f>
        <v>537.704991492341</v>
      </c>
      <c r="AT88" s="1" t="n">
        <f aca="false">AO88*[4]'inflation indexes'!i181</f>
        <v>948.743488837833</v>
      </c>
      <c r="AU88" s="1" t="n">
        <f aca="false">AM88*[4]'inflation indexes'!i181</f>
        <v>601.837353116011</v>
      </c>
    </row>
    <row r="89" customFormat="false" ht="15" hidden="false" customHeight="false" outlineLevel="0" collapsed="false">
      <c r="A89" s="14" t="n">
        <f aca="false">[4]'retirement benefit values'!b90</f>
        <v>6313.7384856946</v>
      </c>
      <c r="B89" s="12" t="n">
        <v>462.7927776742</v>
      </c>
      <c r="C89" s="12" t="n">
        <v>448.7752687319</v>
      </c>
      <c r="D89" s="12" t="n">
        <v>374.3087184183</v>
      </c>
      <c r="E89" s="12" t="n">
        <v>663.6194130309</v>
      </c>
      <c r="F89" s="12" t="n">
        <f aca="false">F85+1</f>
        <v>2036</v>
      </c>
      <c r="G89" s="10" t="n">
        <f aca="false">A89*[4]'inflation indexes'!i182</f>
        <v>5855.25574731358</v>
      </c>
      <c r="H89" s="12" t="n">
        <f aca="false">B89*[4]'inflation indexes'!i182</f>
        <v>429.18630181338</v>
      </c>
      <c r="I89" s="12" t="n">
        <f aca="false">D89*[4]'inflation indexes'!i182</f>
        <v>347.127661329992</v>
      </c>
      <c r="J89" s="1" t="n">
        <f aca="false">E89*[4]'inflation indexes'!i182</f>
        <v>615.429573299877</v>
      </c>
      <c r="K89" s="12" t="n">
        <f aca="false">C89*[4]'inflation indexes'!i182</f>
        <v>416.186697857121</v>
      </c>
      <c r="R89" s="12" t="n">
        <f aca="false">R85+1</f>
        <v>2036</v>
      </c>
      <c r="S89" s="9" t="n">
        <f aca="false">[4]'retirement benefit values'!p90</f>
        <v>7538.3346500579</v>
      </c>
      <c r="T89" s="12" t="n">
        <v>479.5353498636</v>
      </c>
      <c r="U89" s="12" t="n">
        <v>461.6135661772</v>
      </c>
      <c r="V89" s="12" t="n">
        <v>377.3334772663</v>
      </c>
      <c r="W89" s="12" t="n">
        <v>747.8193253891</v>
      </c>
      <c r="X89" s="12" t="n">
        <f aca="false">X85+1</f>
        <v>2036</v>
      </c>
      <c r="Y89" s="1" t="n">
        <f aca="false">S89*[4]'inflation indexes'!i182</f>
        <v>6990.9258017152</v>
      </c>
      <c r="Z89" s="1" t="n">
        <f aca="false">T89*[4]'inflation indexes'!i182</f>
        <v>444.713083966127</v>
      </c>
      <c r="AA89" s="1" t="n">
        <f aca="false">V89*[4]'inflation indexes'!i182</f>
        <v>349.932772227302</v>
      </c>
      <c r="AB89" s="1" t="n">
        <f aca="false">W89*[4]'inflation indexes'!i182</f>
        <v>693.515167417482</v>
      </c>
      <c r="AC89" s="1" t="n">
        <f aca="false">U89*[4]'inflation indexes'!i182</f>
        <v>428.092720742395</v>
      </c>
      <c r="AJ89" s="12" t="n">
        <f aca="false">AJ85+1</f>
        <v>2036</v>
      </c>
      <c r="AK89" s="14" t="n">
        <f aca="false">[4]'retirement benefit values'!aj90</f>
        <v>9009.1801824653</v>
      </c>
      <c r="AL89" s="12" t="n">
        <v>525.7282885089</v>
      </c>
      <c r="AM89" s="12" t="n">
        <v>498.2830948743</v>
      </c>
      <c r="AN89" s="12" t="n">
        <v>430.6672472808</v>
      </c>
      <c r="AO89" s="12" t="n">
        <v>853.7643720541</v>
      </c>
      <c r="AP89" s="12" t="n">
        <f aca="false">AP85+1</f>
        <v>2036</v>
      </c>
      <c r="AQ89" s="1" t="n">
        <f aca="false">AK89*[4]'inflation indexes'!i182</f>
        <v>8354.96341216613</v>
      </c>
      <c r="AR89" s="1" t="n">
        <f aca="false">AL89*[4]'inflation indexes'!i182</f>
        <v>487.5516446859</v>
      </c>
      <c r="AS89" s="1" t="n">
        <f aca="false">AN89*[4]'inflation indexes'!i182</f>
        <v>399.39362083718</v>
      </c>
      <c r="AT89" s="1" t="n">
        <f aca="false">AO89*[4]'inflation indexes'!i182</f>
        <v>791.766836343932</v>
      </c>
      <c r="AU89" s="1" t="n">
        <f aca="false">AM89*[4]'inflation indexes'!i182</f>
        <v>462.099429943521</v>
      </c>
    </row>
    <row r="90" customFormat="false" ht="15" hidden="false" customHeight="false" outlineLevel="0" collapsed="false">
      <c r="A90" s="14" t="n">
        <f aca="false">[4]'retirement benefit values'!b91</f>
        <v>6302.9258834184</v>
      </c>
      <c r="B90" s="12" t="n">
        <v>458.3201681255</v>
      </c>
      <c r="C90" s="12" t="n">
        <v>449.4359484701</v>
      </c>
      <c r="D90" s="12" t="n">
        <v>375.7780326484</v>
      </c>
      <c r="E90" s="12" t="n">
        <v>657.7329841677</v>
      </c>
      <c r="F90" s="12" t="n">
        <f aca="false">F86+1</f>
        <v>2036</v>
      </c>
      <c r="G90" s="10" t="n">
        <f aca="false">A90*[4]'inflation indexes'!i183</f>
        <v>5845.22832033595</v>
      </c>
      <c r="H90" s="12" t="n">
        <f aca="false">B90*[4]'inflation indexes'!i183</f>
        <v>425.03847832895</v>
      </c>
      <c r="I90" s="12" t="n">
        <f aca="false">D90*[4]'inflation indexes'!i183</f>
        <v>348.490278836228</v>
      </c>
      <c r="J90" s="1" t="n">
        <f aca="false">E90*[4]'inflation indexes'!i183</f>
        <v>609.970597368185</v>
      </c>
      <c r="K90" s="12" t="n">
        <f aca="false">C90*[4]'inflation indexes'!i183</f>
        <v>416.799401225021</v>
      </c>
      <c r="R90" s="12" t="n">
        <f aca="false">R86+1</f>
        <v>2036</v>
      </c>
      <c r="S90" s="9" t="n">
        <f aca="false">[4]'retirement benefit values'!p91</f>
        <v>7553.2337412241</v>
      </c>
      <c r="T90" s="12" t="n">
        <v>486.2107307413</v>
      </c>
      <c r="U90" s="12" t="n">
        <v>464.0666525403</v>
      </c>
      <c r="V90" s="12" t="n">
        <v>382.4018658469</v>
      </c>
      <c r="W90" s="12" t="n">
        <v>753.7071314218</v>
      </c>
      <c r="X90" s="12" t="n">
        <f aca="false">X86+1</f>
        <v>2036</v>
      </c>
      <c r="Y90" s="1" t="n">
        <f aca="false">S90*[4]'inflation indexes'!i183</f>
        <v>7004.74297031955</v>
      </c>
      <c r="Z90" s="1" t="n">
        <f aca="false">T90*[4]'inflation indexes'!i183</f>
        <v>450.903720834952</v>
      </c>
      <c r="AA90" s="1" t="n">
        <f aca="false">V90*[4]'inflation indexes'!i183</f>
        <v>354.633111247269</v>
      </c>
      <c r="AB90" s="1" t="n">
        <f aca="false">W90*[4]'inflation indexes'!i183</f>
        <v>698.975420513195</v>
      </c>
      <c r="AC90" s="1" t="n">
        <f aca="false">U90*[4]'inflation indexes'!i183</f>
        <v>430.367672113716</v>
      </c>
      <c r="AJ90" s="12" t="n">
        <f aca="false">AJ86+1</f>
        <v>2036</v>
      </c>
      <c r="AK90" s="14" t="n">
        <f aca="false">[4]'retirement benefit values'!aj91</f>
        <v>9045.0602345662</v>
      </c>
      <c r="AL90" s="12" t="n">
        <v>530.894072466</v>
      </c>
      <c r="AM90" s="12" t="n">
        <v>510.1961038564</v>
      </c>
      <c r="AN90" s="12" t="n">
        <v>442.8094180671</v>
      </c>
      <c r="AO90" s="12" t="n">
        <v>888.7163098431</v>
      </c>
      <c r="AP90" s="12" t="n">
        <f aca="false">AP86+1</f>
        <v>2036</v>
      </c>
      <c r="AQ90" s="1" t="n">
        <f aca="false">AK90*[4]'inflation indexes'!i183</f>
        <v>8388.2379739418</v>
      </c>
      <c r="AR90" s="1" t="n">
        <f aca="false">AL90*[4]'inflation indexes'!i183</f>
        <v>492.342306553306</v>
      </c>
      <c r="AS90" s="1" t="n">
        <f aca="false">AN90*[4]'inflation indexes'!i183</f>
        <v>410.654067471521</v>
      </c>
      <c r="AT90" s="1" t="n">
        <f aca="false">AO90*[4]'inflation indexes'!i183</f>
        <v>824.180680389338</v>
      </c>
      <c r="AU90" s="1" t="n">
        <f aca="false">AM90*[4]'inflation indexes'!i183</f>
        <v>473.14735574347</v>
      </c>
    </row>
    <row r="91" customFormat="false" ht="15" hidden="false" customHeight="false" outlineLevel="0" collapsed="false">
      <c r="A91" s="14" t="n">
        <f aca="false">[4]'retirement benefit values'!b92</f>
        <v>6284.5380495284</v>
      </c>
      <c r="B91" s="12" t="n">
        <v>465.4488519162</v>
      </c>
      <c r="C91" s="12" t="n">
        <v>446.0927748732</v>
      </c>
      <c r="D91" s="12" t="n">
        <v>375.2360339393</v>
      </c>
      <c r="E91" s="12" t="n">
        <v>679.9934356432</v>
      </c>
      <c r="F91" s="12" t="n">
        <f aca="false">F87+1</f>
        <v>2036</v>
      </c>
      <c r="G91" s="10" t="n">
        <f aca="false">A91*[4]'inflation indexes'!i184</f>
        <v>5828.17574992794</v>
      </c>
      <c r="H91" s="12" t="n">
        <f aca="false">B91*[4]'inflation indexes'!i184</f>
        <v>431.649500757397</v>
      </c>
      <c r="I91" s="12" t="n">
        <f aca="false">D91*[4]'inflation indexes'!i184</f>
        <v>347.987638274905</v>
      </c>
      <c r="J91" s="1" t="n">
        <f aca="false">E91*[4]'inflation indexes'!i184</f>
        <v>630.61456872288</v>
      </c>
      <c r="K91" s="12" t="n">
        <f aca="false">C91*[4]'inflation indexes'!i184</f>
        <v>413.698997801302</v>
      </c>
      <c r="R91" s="12" t="n">
        <f aca="false">R87+1</f>
        <v>2036</v>
      </c>
      <c r="S91" s="9" t="n">
        <f aca="false">[4]'retirement benefit values'!p92</f>
        <v>7587.2512355563</v>
      </c>
      <c r="T91" s="12" t="n">
        <v>491.5885852968</v>
      </c>
      <c r="U91" s="12" t="n">
        <v>467.9903535609</v>
      </c>
      <c r="V91" s="12" t="n">
        <v>384.0978396029</v>
      </c>
      <c r="W91" s="12" t="n">
        <v>747.2046825749</v>
      </c>
      <c r="X91" s="12" t="n">
        <f aca="false">X87+1</f>
        <v>2036</v>
      </c>
      <c r="Y91" s="1" t="n">
        <f aca="false">S91*[4]'inflation indexes'!i184</f>
        <v>7036.29022709129</v>
      </c>
      <c r="Z91" s="1" t="n">
        <f aca="false">T91*[4]'inflation indexes'!i184</f>
        <v>455.891053437602</v>
      </c>
      <c r="AA91" s="1" t="n">
        <f aca="false">V91*[4]'inflation indexes'!i184</f>
        <v>356.205929016743</v>
      </c>
      <c r="AB91" s="1" t="n">
        <f aca="false">W91*[4]'inflation indexes'!i184</f>
        <v>692.945157924922</v>
      </c>
      <c r="AC91" s="1" t="n">
        <f aca="false">U91*[4]'inflation indexes'!i184</f>
        <v>434.006446985951</v>
      </c>
      <c r="AJ91" s="12" t="n">
        <f aca="false">AJ87+1</f>
        <v>2036</v>
      </c>
      <c r="AK91" s="14" t="n">
        <f aca="false">[4]'retirement benefit values'!aj92</f>
        <v>9058.2152865481</v>
      </c>
      <c r="AL91" s="12" t="n">
        <v>524.6605677678</v>
      </c>
      <c r="AM91" s="12" t="n">
        <v>496.0422468649</v>
      </c>
      <c r="AN91" s="12" t="n">
        <v>424.4353549287</v>
      </c>
      <c r="AO91" s="12" t="n">
        <v>867.2518802558</v>
      </c>
      <c r="AP91" s="12" t="n">
        <f aca="false">AP87+1</f>
        <v>2036</v>
      </c>
      <c r="AQ91" s="1" t="n">
        <f aca="false">AK91*[4]'inflation indexes'!i184</f>
        <v>8400.43774970029</v>
      </c>
      <c r="AR91" s="1" t="n">
        <f aca="false">AL91*[4]'inflation indexes'!i184</f>
        <v>486.561458282074</v>
      </c>
      <c r="AS91" s="1" t="n">
        <f aca="false">AN91*[4]'inflation indexes'!i184</f>
        <v>393.614267828824</v>
      </c>
      <c r="AT91" s="1" t="n">
        <f aca="false">AO91*[4]'inflation indexes'!i184</f>
        <v>804.274926454707</v>
      </c>
      <c r="AU91" s="1" t="n">
        <f aca="false">AM91*[4]'inflation indexes'!i184</f>
        <v>460.021304880909</v>
      </c>
    </row>
    <row r="92" customFormat="false" ht="15" hidden="false" customHeight="false" outlineLevel="0" collapsed="false">
      <c r="A92" s="11" t="n">
        <f aca="false">[4]'retirement benefit values'!b93</f>
        <v>6277.4408022133</v>
      </c>
      <c r="B92" s="12" t="n">
        <v>580.8986022929</v>
      </c>
      <c r="C92" s="12" t="n">
        <v>565.5199924251</v>
      </c>
      <c r="D92" s="12" t="n">
        <v>490.0338504209</v>
      </c>
      <c r="E92" s="12" t="n">
        <v>775.8726585301</v>
      </c>
      <c r="F92" s="12" t="n">
        <f aca="false">F88+1</f>
        <v>2037</v>
      </c>
      <c r="G92" s="10" t="n">
        <f aca="false">A92*[4]'inflation indexes'!i185</f>
        <v>5821.59388116255</v>
      </c>
      <c r="H92" s="12" t="n">
        <f aca="false">B92*[4]'inflation indexes'!i185</f>
        <v>538.715673350816</v>
      </c>
      <c r="I92" s="12" t="n">
        <f aca="false">D92*[4]'inflation indexes'!i185</f>
        <v>454.449218249418</v>
      </c>
      <c r="J92" s="1" t="n">
        <f aca="false">E92*[4]'inflation indexes'!i185</f>
        <v>719.531360593255</v>
      </c>
      <c r="K92" s="12" t="n">
        <f aca="false">C92*[4]'inflation indexes'!i185</f>
        <v>524.453807101818</v>
      </c>
      <c r="R92" s="12" t="n">
        <f aca="false">R88+1</f>
        <v>2037</v>
      </c>
      <c r="S92" s="13" t="n">
        <f aca="false">[4]'retirement benefit values'!p93</f>
        <v>7596.6825341732</v>
      </c>
      <c r="T92" s="12" t="n">
        <v>616.968818463</v>
      </c>
      <c r="U92" s="12" t="n">
        <v>598.1636421285</v>
      </c>
      <c r="V92" s="12" t="n">
        <v>509.8973574301</v>
      </c>
      <c r="W92" s="12" t="n">
        <v>898.7340479196</v>
      </c>
      <c r="X92" s="12" t="n">
        <f aca="false">X88+1</f>
        <v>2037</v>
      </c>
      <c r="Y92" s="1" t="n">
        <f aca="false">S92*[4]'inflation indexes'!i185</f>
        <v>7045.03665609787</v>
      </c>
      <c r="Z92" s="1" t="n">
        <f aca="false">T92*[4]'inflation indexes'!i185</f>
        <v>572.166590111995</v>
      </c>
      <c r="AA92" s="1" t="n">
        <f aca="false">V92*[4]'inflation indexes'!i185</f>
        <v>472.870303291338</v>
      </c>
      <c r="AB92" s="1" t="n">
        <f aca="false">W92*[4]'inflation indexes'!i185</f>
        <v>833.470963567904</v>
      </c>
      <c r="AC92" s="1" t="n">
        <f aca="false">U92*[4]'inflation indexes'!i185</f>
        <v>554.726983282965</v>
      </c>
      <c r="AJ92" s="12" t="n">
        <f aca="false">AJ88+1</f>
        <v>2037</v>
      </c>
      <c r="AK92" s="11" t="n">
        <f aca="false">[4]'retirement benefit values'!aj93</f>
        <v>9086.1624320144</v>
      </c>
      <c r="AL92" s="12" t="n">
        <v>675.2722239982</v>
      </c>
      <c r="AM92" s="12" t="n">
        <v>658.5017572959</v>
      </c>
      <c r="AN92" s="12" t="n">
        <v>575.24698387</v>
      </c>
      <c r="AO92" s="12" t="n">
        <v>1068.0509527593</v>
      </c>
      <c r="AP92" s="12" t="n">
        <f aca="false">AP88+1</f>
        <v>2037</v>
      </c>
      <c r="AQ92" s="1" t="n">
        <f aca="false">AK92*[4]'inflation indexes'!i185</f>
        <v>8426.35546619795</v>
      </c>
      <c r="AR92" s="1" t="n">
        <f aca="false">AL92*[4]'inflation indexes'!i185</f>
        <v>626.236195801464</v>
      </c>
      <c r="AS92" s="1" t="n">
        <f aca="false">AN92*[4]'inflation indexes'!i185</f>
        <v>533.474456704405</v>
      </c>
      <c r="AT92" s="1" t="n">
        <f aca="false">AO92*[4]'inflation indexes'!i185</f>
        <v>990.492636610944</v>
      </c>
      <c r="AU92" s="1" t="n">
        <f aca="false">AM92*[4]'inflation indexes'!i185</f>
        <v>610.683544742783</v>
      </c>
    </row>
    <row r="93" customFormat="false" ht="15" hidden="false" customHeight="false" outlineLevel="0" collapsed="false">
      <c r="A93" s="14" t="n">
        <f aca="false">[4]'retirement benefit values'!b94</f>
        <v>6275.016636591</v>
      </c>
      <c r="B93" s="12" t="n">
        <v>467.9033229904</v>
      </c>
      <c r="C93" s="12" t="n">
        <v>448.458494707</v>
      </c>
      <c r="D93" s="12" t="n">
        <v>370.5888662316</v>
      </c>
      <c r="E93" s="12" t="n">
        <v>686.3841451461</v>
      </c>
      <c r="F93" s="12" t="n">
        <f aca="false">F89+1</f>
        <v>2037</v>
      </c>
      <c r="G93" s="10" t="n">
        <f aca="false">A93*[4]'inflation indexes'!i186</f>
        <v>5819.3457504038</v>
      </c>
      <c r="H93" s="12" t="n">
        <f aca="false">B93*[4]'inflation indexes'!i186</f>
        <v>433.925736286693</v>
      </c>
      <c r="I93" s="12" t="n">
        <f aca="false">D93*[4]'inflation indexes'!i186</f>
        <v>343.677932465757</v>
      </c>
      <c r="J93" s="1" t="n">
        <f aca="false">E93*[4]'inflation indexes'!i186</f>
        <v>636.541206107538</v>
      </c>
      <c r="K93" s="12" t="n">
        <f aca="false">C93*[4]'inflation indexes'!i186</f>
        <v>415.892926910779</v>
      </c>
      <c r="R93" s="12" t="n">
        <f aca="false">R89+1</f>
        <v>2037</v>
      </c>
      <c r="S93" s="9" t="n">
        <f aca="false">[4]'retirement benefit values'!p94</f>
        <v>7617.2387159803</v>
      </c>
      <c r="T93" s="12" t="n">
        <v>498.2023176336</v>
      </c>
      <c r="U93" s="12" t="n">
        <v>473.4287205748</v>
      </c>
      <c r="V93" s="12" t="n">
        <v>394.2608903039</v>
      </c>
      <c r="W93" s="12" t="n">
        <v>779.675451245</v>
      </c>
      <c r="X93" s="12" t="n">
        <f aca="false">X89+1</f>
        <v>2037</v>
      </c>
      <c r="Y93" s="1" t="n">
        <f aca="false">S93*[4]'inflation indexes'!i186</f>
        <v>7064.10011619232</v>
      </c>
      <c r="Z93" s="1" t="n">
        <f aca="false">T93*[4]'inflation indexes'!i186</f>
        <v>462.024518478003</v>
      </c>
      <c r="AA93" s="1" t="n">
        <f aca="false">V93*[4]'inflation indexes'!i186</f>
        <v>365.630972699198</v>
      </c>
      <c r="AB93" s="1" t="n">
        <f aca="false">W93*[4]'inflation indexes'!i186</f>
        <v>723.058007119748</v>
      </c>
      <c r="AC93" s="1" t="n">
        <f aca="false">U93*[4]'inflation indexes'!i186</f>
        <v>439.049897833066</v>
      </c>
      <c r="AJ93" s="12" t="n">
        <f aca="false">AJ89+1</f>
        <v>2037</v>
      </c>
      <c r="AK93" s="14" t="n">
        <f aca="false">[4]'retirement benefit values'!aj94</f>
        <v>9106.6737530352</v>
      </c>
      <c r="AL93" s="12" t="n">
        <v>518.26404541</v>
      </c>
      <c r="AM93" s="12" t="n">
        <v>500.4836177063</v>
      </c>
      <c r="AN93" s="12" t="n">
        <v>428.7218787189</v>
      </c>
      <c r="AO93" s="12" t="n">
        <v>848.453226024</v>
      </c>
      <c r="AP93" s="12" t="n">
        <f aca="false">AP89+1</f>
        <v>2037</v>
      </c>
      <c r="AQ93" s="1" t="n">
        <f aca="false">AK93*[4]'inflation indexes'!i186</f>
        <v>8445.37732314754</v>
      </c>
      <c r="AR93" s="1" t="n">
        <f aca="false">AL93*[4]'inflation indexes'!i186</f>
        <v>480.629430152751</v>
      </c>
      <c r="AS93" s="1" t="n">
        <f aca="false">AN93*[4]'inflation indexes'!i186</f>
        <v>397.589518485061</v>
      </c>
      <c r="AT93" s="1" t="n">
        <f aca="false">AO93*[4]'inflation indexes'!i186</f>
        <v>786.841368114922</v>
      </c>
      <c r="AU93" s="1" t="n">
        <f aca="false">AM93*[4]'inflation indexes'!i186</f>
        <v>464.140158109306</v>
      </c>
    </row>
    <row r="94" customFormat="false" ht="15" hidden="false" customHeight="false" outlineLevel="0" collapsed="false">
      <c r="A94" s="14" t="n">
        <f aca="false">[4]'retirement benefit values'!b95</f>
        <v>6277.7481638456</v>
      </c>
      <c r="B94" s="12" t="n">
        <v>459.6546258415</v>
      </c>
      <c r="C94" s="12" t="n">
        <v>444.5523215494</v>
      </c>
      <c r="D94" s="12" t="n">
        <v>368.3405735428</v>
      </c>
      <c r="E94" s="12" t="n">
        <v>644.8685972895</v>
      </c>
      <c r="F94" s="12" t="n">
        <f aca="false">F90+1</f>
        <v>2037</v>
      </c>
      <c r="G94" s="10" t="n">
        <f aca="false">A94*[4]'inflation indexes'!i187</f>
        <v>5821.87892321301</v>
      </c>
      <c r="H94" s="12" t="n">
        <f aca="false">B94*[4]'inflation indexes'!i187</f>
        <v>426.276032153654</v>
      </c>
      <c r="I94" s="12" t="n">
        <f aca="false">D94*[4]'inflation indexes'!i187</f>
        <v>341.59290333166</v>
      </c>
      <c r="J94" s="1" t="n">
        <f aca="false">E94*[4]'inflation indexes'!i187</f>
        <v>598.040379578058</v>
      </c>
      <c r="K94" s="12" t="n">
        <f aca="false">C94*[4]'inflation indexes'!i187</f>
        <v>412.270407086295</v>
      </c>
      <c r="R94" s="12" t="n">
        <f aca="false">R90+1</f>
        <v>2037</v>
      </c>
      <c r="S94" s="9" t="n">
        <f aca="false">[4]'retirement benefit values'!p95</f>
        <v>7638.9457647801</v>
      </c>
      <c r="T94" s="12" t="n">
        <v>497.3434235113</v>
      </c>
      <c r="U94" s="12" t="n">
        <v>467.037528141</v>
      </c>
      <c r="V94" s="12" t="n">
        <v>386.1592311203</v>
      </c>
      <c r="W94" s="12" t="n">
        <v>767.9375539697</v>
      </c>
      <c r="X94" s="12" t="n">
        <f aca="false">X90+1</f>
        <v>2037</v>
      </c>
      <c r="Y94" s="1" t="n">
        <f aca="false">S94*[4]'inflation indexes'!i187</f>
        <v>7084.23087113731</v>
      </c>
      <c r="Z94" s="1" t="n">
        <f aca="false">T94*[4]'inflation indexes'!i187</f>
        <v>461.227994396854</v>
      </c>
      <c r="AA94" s="1" t="n">
        <f aca="false">V94*[4]'inflation indexes'!i187</f>
        <v>358.117629122325</v>
      </c>
      <c r="AB94" s="1" t="n">
        <f aca="false">W94*[4]'inflation indexes'!i187</f>
        <v>712.172476995512</v>
      </c>
      <c r="AC94" s="1" t="n">
        <f aca="false">U94*[4]'inflation indexes'!i187</f>
        <v>433.122812586348</v>
      </c>
      <c r="AJ94" s="12" t="n">
        <f aca="false">AJ90+1</f>
        <v>2037</v>
      </c>
      <c r="AK94" s="14" t="n">
        <f aca="false">[4]'retirement benefit values'!aj95</f>
        <v>9138.8593255312</v>
      </c>
      <c r="AL94" s="12" t="n">
        <v>526.9785125657</v>
      </c>
      <c r="AM94" s="12" t="n">
        <v>503.2449705895</v>
      </c>
      <c r="AN94" s="12" t="n">
        <v>435.1652724326</v>
      </c>
      <c r="AO94" s="12" t="n">
        <v>835.4741120922</v>
      </c>
      <c r="AP94" s="12" t="n">
        <f aca="false">AP90+1</f>
        <v>2037</v>
      </c>
      <c r="AQ94" s="1" t="n">
        <f aca="false">AK94*[4]'inflation indexes'!i187</f>
        <v>8475.22568616809</v>
      </c>
      <c r="AR94" s="1" t="n">
        <f aca="false">AL94*[4]'inflation indexes'!i187</f>
        <v>488.711081620229</v>
      </c>
      <c r="AS94" s="1" t="n">
        <f aca="false">AN94*[4]'inflation indexes'!i187</f>
        <v>403.565014327948</v>
      </c>
      <c r="AT94" s="1" t="n">
        <f aca="false">AO94*[4]'inflation indexes'!i187</f>
        <v>774.804754369136</v>
      </c>
      <c r="AU94" s="1" t="n">
        <f aca="false">AM94*[4]'inflation indexes'!i187</f>
        <v>466.700990708938</v>
      </c>
    </row>
    <row r="95" customFormat="false" ht="15" hidden="false" customHeight="false" outlineLevel="0" collapsed="false">
      <c r="A95" s="14" t="n">
        <f aca="false">[4]'retirement benefit values'!b96</f>
        <v>6265.9561719623</v>
      </c>
      <c r="B95" s="12" t="n">
        <v>449.0841893438</v>
      </c>
      <c r="C95" s="12" t="n">
        <v>432.5457472383</v>
      </c>
      <c r="D95" s="12" t="n">
        <v>354.9250779113</v>
      </c>
      <c r="E95" s="12" t="n">
        <v>651.6332487451</v>
      </c>
      <c r="F95" s="12" t="n">
        <f aca="false">F91+1</f>
        <v>2037</v>
      </c>
      <c r="G95" s="10" t="n">
        <f aca="false">A95*[4]'inflation indexes'!i188</f>
        <v>5810.94322665171</v>
      </c>
      <c r="H95" s="12" t="n">
        <f aca="false">B95*[4]'inflation indexes'!i188</f>
        <v>416.473185679255</v>
      </c>
      <c r="I95" s="12" t="n">
        <f aca="false">D95*[4]'inflation indexes'!i188</f>
        <v>329.151596477191</v>
      </c>
      <c r="J95" s="1" t="n">
        <f aca="false">E95*[4]'inflation indexes'!i188</f>
        <v>604.313804491636</v>
      </c>
      <c r="K95" s="12" t="n">
        <f aca="false">C95*[4]'inflation indexes'!i188</f>
        <v>401.135710361066</v>
      </c>
      <c r="R95" s="12" t="n">
        <f aca="false">R91+1</f>
        <v>2037</v>
      </c>
      <c r="S95" s="9" t="n">
        <f aca="false">[4]'retirement benefit values'!p96</f>
        <v>7630.978659917</v>
      </c>
      <c r="T95" s="12" t="n">
        <v>500.1279981962</v>
      </c>
      <c r="U95" s="12" t="n">
        <v>472.690754982</v>
      </c>
      <c r="V95" s="12" t="n">
        <v>394.0291103474</v>
      </c>
      <c r="W95" s="12" t="n">
        <v>783.0022371258</v>
      </c>
      <c r="X95" s="12" t="n">
        <f aca="false">X91+1</f>
        <v>2037</v>
      </c>
      <c r="Y95" s="1" t="n">
        <f aca="false">S95*[4]'inflation indexes'!i188</f>
        <v>7076.84231099266</v>
      </c>
      <c r="Z95" s="1" t="n">
        <f aca="false">T95*[4]'inflation indexes'!i188</f>
        <v>463.810362508002</v>
      </c>
      <c r="AA95" s="1" t="n">
        <f aca="false">V95*[4]'inflation indexes'!i188</f>
        <v>365.416023834039</v>
      </c>
      <c r="AB95" s="1" t="n">
        <f aca="false">W95*[4]'inflation indexes'!i188</f>
        <v>726.143212848932</v>
      </c>
      <c r="AC95" s="1" t="n">
        <f aca="false">U95*[4]'inflation indexes'!i188</f>
        <v>438.365520852874</v>
      </c>
      <c r="AJ95" s="12" t="n">
        <f aca="false">AJ91+1</f>
        <v>2037</v>
      </c>
      <c r="AK95" s="14" t="n">
        <f aca="false">[4]'retirement benefit values'!aj96</f>
        <v>9196.6391695986</v>
      </c>
      <c r="AL95" s="12" t="n">
        <v>526.5455789791</v>
      </c>
      <c r="AM95" s="12" t="n">
        <v>494.4138632541</v>
      </c>
      <c r="AN95" s="12" t="n">
        <v>429.5419174804</v>
      </c>
      <c r="AO95" s="12" t="n">
        <v>867.9160983242</v>
      </c>
      <c r="AP95" s="12" t="n">
        <f aca="false">AP91+1</f>
        <v>2037</v>
      </c>
      <c r="AQ95" s="1" t="n">
        <f aca="false">AK95*[4]'inflation indexes'!i188</f>
        <v>8528.80974968625</v>
      </c>
      <c r="AR95" s="1" t="n">
        <f aca="false">AL95*[4]'inflation indexes'!i188</f>
        <v>488.309586234114</v>
      </c>
      <c r="AS95" s="1" t="n">
        <f aca="false">AN95*[4]'inflation indexes'!i188</f>
        <v>398.35000875278</v>
      </c>
      <c r="AT95" s="1" t="n">
        <f aca="false">AO95*[4]'inflation indexes'!i188</f>
        <v>804.89091121101</v>
      </c>
      <c r="AU95" s="1" t="n">
        <f aca="false">AM95*[4]'inflation indexes'!i188</f>
        <v>458.511169084571</v>
      </c>
    </row>
    <row r="96" customFormat="false" ht="15" hidden="false" customHeight="false" outlineLevel="0" collapsed="false">
      <c r="A96" s="11" t="n">
        <f aca="false">[4]'retirement benefit values'!b97</f>
        <v>6275.0777681034</v>
      </c>
      <c r="B96" s="12" t="n">
        <v>569.0835229882</v>
      </c>
      <c r="C96" s="12" t="n">
        <v>560.0263470526</v>
      </c>
      <c r="D96" s="12" t="n">
        <v>472.6725757238</v>
      </c>
      <c r="E96" s="12" t="n">
        <v>803.5206461436</v>
      </c>
      <c r="F96" s="12" t="n">
        <f aca="false">F92+1</f>
        <v>2038</v>
      </c>
      <c r="G96" s="10" t="n">
        <f aca="false">A96*[4]'inflation indexes'!i189</f>
        <v>5819.40244274862</v>
      </c>
      <c r="H96" s="12" t="n">
        <f aca="false">B96*[4]'inflation indexes'!i189</f>
        <v>527.758565900047</v>
      </c>
      <c r="I96" s="12" t="n">
        <f aca="false">D96*[4]'inflation indexes'!i189</f>
        <v>438.348661712082</v>
      </c>
      <c r="J96" s="1" t="n">
        <f aca="false">E96*[4]'inflation indexes'!i189</f>
        <v>745.171643088705</v>
      </c>
      <c r="K96" s="12" t="n">
        <f aca="false">C96*[4]'inflation indexes'!i189</f>
        <v>519.359092027078</v>
      </c>
      <c r="R96" s="12" t="n">
        <f aca="false">R92+1</f>
        <v>2038</v>
      </c>
      <c r="S96" s="13" t="n">
        <f aca="false">[4]'retirement benefit values'!p97</f>
        <v>7628.1201560638</v>
      </c>
      <c r="T96" s="12" t="n">
        <v>618.4455642432</v>
      </c>
      <c r="U96" s="12" t="n">
        <v>596.945468447</v>
      </c>
      <c r="V96" s="12" t="n">
        <v>506.0971168034</v>
      </c>
      <c r="W96" s="12" t="n">
        <v>984.9792982391</v>
      </c>
      <c r="X96" s="12" t="n">
        <f aca="false">X92+1</f>
        <v>2038</v>
      </c>
      <c r="Y96" s="1" t="n">
        <f aca="false">S96*[4]'inflation indexes'!i189</f>
        <v>7074.1913822041</v>
      </c>
      <c r="Z96" s="1" t="n">
        <f aca="false">T96*[4]'inflation indexes'!i189</f>
        <v>573.536099513822</v>
      </c>
      <c r="AA96" s="1" t="n">
        <f aca="false">V96*[4]'inflation indexes'!i189</f>
        <v>469.346023528868</v>
      </c>
      <c r="AB96" s="1" t="n">
        <f aca="false">W96*[4]'inflation indexes'!i189</f>
        <v>913.453369990965</v>
      </c>
      <c r="AC96" s="1" t="n">
        <f aca="false">U96*[4]'inflation indexes'!i189</f>
        <v>553.597269332033</v>
      </c>
      <c r="AJ96" s="12" t="n">
        <f aca="false">AJ92+1</f>
        <v>2038</v>
      </c>
      <c r="AK96" s="11" t="n">
        <f aca="false">[4]'retirement benefit values'!aj97</f>
        <v>9203.9540365315</v>
      </c>
      <c r="AL96" s="12" t="n">
        <v>669.3617892299</v>
      </c>
      <c r="AM96" s="12" t="n">
        <v>650.4866996944</v>
      </c>
      <c r="AN96" s="12" t="n">
        <v>589.7321147076</v>
      </c>
      <c r="AO96" s="12" t="n">
        <v>1025.4585729207</v>
      </c>
      <c r="AP96" s="12" t="n">
        <f aca="false">AP92+1</f>
        <v>2038</v>
      </c>
      <c r="AQ96" s="1" t="n">
        <f aca="false">AK96*[4]'inflation indexes'!i189</f>
        <v>8535.59343525491</v>
      </c>
      <c r="AR96" s="1" t="n">
        <f aca="false">AL96*[4]'inflation indexes'!i189</f>
        <v>620.754957193843</v>
      </c>
      <c r="AS96" s="1" t="n">
        <f aca="false">AN96*[4]'inflation indexes'!i189</f>
        <v>546.907725405606</v>
      </c>
      <c r="AT96" s="1" t="n">
        <f aca="false">AO96*[4]'inflation indexes'!i189</f>
        <v>950.993174064818</v>
      </c>
      <c r="AU96" s="1" t="n">
        <f aca="false">AM96*[4]'inflation indexes'!i189</f>
        <v>603.250514028482</v>
      </c>
    </row>
    <row r="97" customFormat="false" ht="15" hidden="false" customHeight="false" outlineLevel="0" collapsed="false">
      <c r="A97" s="14" t="n">
        <f aca="false">[4]'retirement benefit values'!b98</f>
        <v>6251.7384678839</v>
      </c>
      <c r="B97" s="12" t="n">
        <v>467.880198759</v>
      </c>
      <c r="C97" s="12" t="n">
        <v>448.9778543719</v>
      </c>
      <c r="D97" s="12" t="n">
        <v>369.7456125353</v>
      </c>
      <c r="E97" s="12" t="n">
        <v>688.1197826515</v>
      </c>
      <c r="F97" s="12" t="n">
        <f aca="false">F93+1</f>
        <v>2038</v>
      </c>
      <c r="G97" s="10" t="n">
        <f aca="false">A97*[4]'inflation indexes'!i190</f>
        <v>5797.75796506584</v>
      </c>
      <c r="H97" s="12" t="n">
        <f aca="false">B97*[4]'inflation indexes'!i190</f>
        <v>433.904291260246</v>
      </c>
      <c r="I97" s="12" t="n">
        <f aca="false">D97*[4]'inflation indexes'!i190</f>
        <v>342.895913054771</v>
      </c>
      <c r="J97" s="1" t="n">
        <f aca="false">E97*[4]'inflation indexes'!i190</f>
        <v>638.150807376544</v>
      </c>
      <c r="K97" s="12" t="n">
        <f aca="false">C97*[4]'inflation indexes'!i190</f>
        <v>416.37457240017</v>
      </c>
      <c r="R97" s="12" t="n">
        <f aca="false">R93+1</f>
        <v>2038</v>
      </c>
      <c r="S97" s="9" t="n">
        <f aca="false">[4]'retirement benefit values'!p98</f>
        <v>7666.9609170371</v>
      </c>
      <c r="T97" s="12" t="n">
        <v>487.8052762766</v>
      </c>
      <c r="U97" s="12" t="n">
        <v>463.3704210543</v>
      </c>
      <c r="V97" s="12" t="n">
        <v>388.343743049</v>
      </c>
      <c r="W97" s="12" t="n">
        <v>754.6724631915</v>
      </c>
      <c r="X97" s="12" t="n">
        <f aca="false">X93+1</f>
        <v>2038</v>
      </c>
      <c r="Y97" s="1" t="n">
        <f aca="false">S97*[4]'inflation indexes'!i190</f>
        <v>7110.21165599818</v>
      </c>
      <c r="Z97" s="1" t="n">
        <f aca="false">T97*[4]'inflation indexes'!i190</f>
        <v>452.382475764551</v>
      </c>
      <c r="AA97" s="1" t="n">
        <f aca="false">V97*[4]'inflation indexes'!i190</f>
        <v>360.143509043481</v>
      </c>
      <c r="AB97" s="1" t="n">
        <f aca="false">W97*[4]'inflation indexes'!i190</f>
        <v>699.870653092974</v>
      </c>
      <c r="AC97" s="1" t="n">
        <f aca="false">U97*[4]'inflation indexes'!i190</f>
        <v>429.721998647972</v>
      </c>
      <c r="AJ97" s="12" t="n">
        <f aca="false">AJ93+1</f>
        <v>2038</v>
      </c>
      <c r="AK97" s="14" t="n">
        <f aca="false">[4]'retirement benefit values'!aj98</f>
        <v>9231.2502313124</v>
      </c>
      <c r="AL97" s="12" t="n">
        <v>535.6569705975</v>
      </c>
      <c r="AM97" s="12" t="n">
        <v>500.8703629095</v>
      </c>
      <c r="AN97" s="12" t="n">
        <v>438.6258765831</v>
      </c>
      <c r="AO97" s="12" t="n">
        <v>849.5001080265</v>
      </c>
      <c r="AP97" s="12" t="n">
        <f aca="false">AP93+1</f>
        <v>2038</v>
      </c>
      <c r="AQ97" s="1" t="n">
        <f aca="false">AK97*[4]'inflation indexes'!i190</f>
        <v>8560.90747094593</v>
      </c>
      <c r="AR97" s="1" t="n">
        <f aca="false">AL97*[4]'inflation indexes'!i190</f>
        <v>496.759338826899</v>
      </c>
      <c r="AS97" s="1" t="n">
        <f aca="false">AN97*[4]'inflation indexes'!i190</f>
        <v>406.774320888127</v>
      </c>
      <c r="AT97" s="1" t="n">
        <f aca="false">AO97*[4]'inflation indexes'!i190</f>
        <v>787.812229020198</v>
      </c>
      <c r="AU97" s="1" t="n">
        <f aca="false">AM97*[4]'inflation indexes'!i190</f>
        <v>464.49881915916</v>
      </c>
    </row>
    <row r="98" customFormat="false" ht="15" hidden="false" customHeight="false" outlineLevel="0" collapsed="false">
      <c r="A98" s="14" t="n">
        <f aca="false">[4]'retirement benefit values'!b99</f>
        <v>6241.4634431387</v>
      </c>
      <c r="B98" s="12" t="n">
        <v>463.1886945779</v>
      </c>
      <c r="C98" s="12" t="n">
        <v>443.7850673798</v>
      </c>
      <c r="D98" s="12" t="n">
        <v>364.6533767063</v>
      </c>
      <c r="E98" s="12" t="n">
        <v>667.810282501</v>
      </c>
      <c r="F98" s="12" t="n">
        <f aca="false">F94+1</f>
        <v>2038</v>
      </c>
      <c r="G98" s="10" t="n">
        <f aca="false">A98*[4]'inflation indexes'!i191</f>
        <v>5788.22907852272</v>
      </c>
      <c r="H98" s="12" t="n">
        <f aca="false">B98*[4]'inflation indexes'!i191</f>
        <v>429.553468545277</v>
      </c>
      <c r="I98" s="12" t="n">
        <f aca="false">D98*[4]'inflation indexes'!i191</f>
        <v>338.173458494452</v>
      </c>
      <c r="J98" s="1" t="n">
        <f aca="false">E98*[4]'inflation indexes'!i191</f>
        <v>619.316115735336</v>
      </c>
      <c r="K98" s="12" t="n">
        <f aca="false">C98*[4]'inflation indexes'!i191</f>
        <v>411.558868368564</v>
      </c>
      <c r="R98" s="12" t="n">
        <f aca="false">R94+1</f>
        <v>2038</v>
      </c>
      <c r="S98" s="9" t="n">
        <f aca="false">[4]'retirement benefit values'!p99</f>
        <v>7671.5300271726</v>
      </c>
      <c r="T98" s="12" t="n">
        <v>491.9691792353</v>
      </c>
      <c r="U98" s="12" t="n">
        <v>464.0652180762</v>
      </c>
      <c r="V98" s="12" t="n">
        <v>384.4330212608</v>
      </c>
      <c r="W98" s="12" t="n">
        <v>767.1376147344</v>
      </c>
      <c r="X98" s="12" t="n">
        <f aca="false">X94+1</f>
        <v>2038</v>
      </c>
      <c r="Y98" s="1" t="n">
        <f aca="false">S98*[4]'inflation indexes'!i191</f>
        <v>7114.44897251701</v>
      </c>
      <c r="Z98" s="1" t="n">
        <f aca="false">T98*[4]'inflation indexes'!i191</f>
        <v>456.244009907187</v>
      </c>
      <c r="AA98" s="1" t="n">
        <f aca="false">V98*[4]'inflation indexes'!i191</f>
        <v>356.516770894857</v>
      </c>
      <c r="AB98" s="1" t="n">
        <f aca="false">W98*[4]'inflation indexes'!i191</f>
        <v>711.430626693096</v>
      </c>
      <c r="AC98" s="1" t="n">
        <f aca="false">U98*[4]'inflation indexes'!i191</f>
        <v>430.366341815639</v>
      </c>
      <c r="AJ98" s="12" t="n">
        <f aca="false">AJ94+1</f>
        <v>2038</v>
      </c>
      <c r="AK98" s="14" t="n">
        <f aca="false">[4]'retirement benefit values'!aj99</f>
        <v>9309.1718634473</v>
      </c>
      <c r="AL98" s="12" t="n">
        <v>539.3504728027</v>
      </c>
      <c r="AM98" s="12" t="n">
        <v>507.7918335276</v>
      </c>
      <c r="AN98" s="12" t="n">
        <v>446.2697779266</v>
      </c>
      <c r="AO98" s="12" t="n">
        <v>884.4893089298</v>
      </c>
      <c r="AP98" s="12" t="n">
        <f aca="false">AP94+1</f>
        <v>2038</v>
      </c>
      <c r="AQ98" s="1" t="n">
        <f aca="false">AK98*[4]'inflation indexes'!i191</f>
        <v>8633.17069271726</v>
      </c>
      <c r="AR98" s="1" t="n">
        <f aca="false">AL98*[4]'inflation indexes'!i191</f>
        <v>500.184631157855</v>
      </c>
      <c r="AS98" s="1" t="n">
        <f aca="false">AN98*[4]'inflation indexes'!i191</f>
        <v>413.863147480301</v>
      </c>
      <c r="AT98" s="1" t="n">
        <f aca="false">AO98*[4]'inflation indexes'!i191</f>
        <v>820.260630256192</v>
      </c>
      <c r="AU98" s="1" t="n">
        <f aca="false">AM98*[4]'inflation indexes'!i191</f>
        <v>470.917675548021</v>
      </c>
    </row>
    <row r="99" customFormat="false" ht="15" hidden="false" customHeight="false" outlineLevel="0" collapsed="false">
      <c r="A99" s="14" t="n">
        <f aca="false">[4]'retirement benefit values'!b100</f>
        <v>6232.3250159262</v>
      </c>
      <c r="B99" s="12" t="n">
        <v>461.429297473</v>
      </c>
      <c r="C99" s="12" t="n">
        <v>439.3386498615</v>
      </c>
      <c r="D99" s="12" t="n">
        <v>366.0683235914</v>
      </c>
      <c r="E99" s="12" t="n">
        <v>649.3398692095</v>
      </c>
      <c r="F99" s="12" t="n">
        <f aca="false">F95+1</f>
        <v>2038</v>
      </c>
      <c r="G99" s="10" t="n">
        <f aca="false">A99*[4]'inflation indexes'!i192</f>
        <v>5779.75425357097</v>
      </c>
      <c r="H99" s="12" t="n">
        <f aca="false">B99*[4]'inflation indexes'!i192</f>
        <v>427.921833020047</v>
      </c>
      <c r="I99" s="12" t="n">
        <f aca="false">D99*[4]'inflation indexes'!i192</f>
        <v>339.485656631878</v>
      </c>
      <c r="J99" s="1" t="n">
        <f aca="false">E99*[4]'inflation indexes'!i192</f>
        <v>602.186962567946</v>
      </c>
      <c r="K99" s="12" t="n">
        <f aca="false">C99*[4]'inflation indexes'!i192</f>
        <v>407.435334936197</v>
      </c>
      <c r="R99" s="12" t="n">
        <f aca="false">R95+1</f>
        <v>2038</v>
      </c>
      <c r="S99" s="9" t="n">
        <f aca="false">[4]'retirement benefit values'!p100</f>
        <v>7694.399108235</v>
      </c>
      <c r="T99" s="12" t="n">
        <v>480.8764084296</v>
      </c>
      <c r="U99" s="12" t="n">
        <v>465.290791299</v>
      </c>
      <c r="V99" s="12" t="n">
        <v>380.1468656185</v>
      </c>
      <c r="W99" s="12" t="n">
        <v>768.792666716</v>
      </c>
      <c r="X99" s="12" t="n">
        <f aca="false">X95+1</f>
        <v>2038</v>
      </c>
      <c r="Y99" s="1" t="n">
        <f aca="false">S99*[4]'inflation indexes'!i192</f>
        <v>7135.65737679758</v>
      </c>
      <c r="Z99" s="1" t="n">
        <f aca="false">T99*[4]'inflation indexes'!i192</f>
        <v>445.956759309008</v>
      </c>
      <c r="AA99" s="1" t="n">
        <f aca="false">V99*[4]'inflation indexes'!i192</f>
        <v>352.541861652841</v>
      </c>
      <c r="AB99" s="1" t="n">
        <f aca="false">W99*[4]'inflation indexes'!i192</f>
        <v>712.965494291639</v>
      </c>
      <c r="AC99" s="1" t="n">
        <f aca="false">U99*[4]'inflation indexes'!i192</f>
        <v>431.502917977736</v>
      </c>
      <c r="AJ99" s="12" t="n">
        <f aca="false">AJ95+1</f>
        <v>2038</v>
      </c>
      <c r="AK99" s="14" t="n">
        <f aca="false">[4]'retirement benefit values'!aj100</f>
        <v>9363.674859325</v>
      </c>
      <c r="AL99" s="12" t="n">
        <v>524.8177928549</v>
      </c>
      <c r="AM99" s="12" t="n">
        <v>497.9527004581</v>
      </c>
      <c r="AN99" s="12" t="n">
        <v>433.5011593962</v>
      </c>
      <c r="AO99" s="12" t="n">
        <v>865.6367813965</v>
      </c>
      <c r="AP99" s="12" t="n">
        <f aca="false">AP95+1</f>
        <v>2038</v>
      </c>
      <c r="AQ99" s="1" t="n">
        <f aca="false">AK99*[4]'inflation indexes'!i192</f>
        <v>8683.71586188791</v>
      </c>
      <c r="AR99" s="1" t="n">
        <f aca="false">AL99*[4]'inflation indexes'!i192</f>
        <v>486.707266205058</v>
      </c>
      <c r="AS99" s="1" t="n">
        <f aca="false">AN99*[4]'inflation indexes'!i192</f>
        <v>402.021743658338</v>
      </c>
      <c r="AT99" s="1" t="n">
        <f aca="false">AO99*[4]'inflation indexes'!i192</f>
        <v>802.777110715297</v>
      </c>
      <c r="AU99" s="1" t="n">
        <f aca="false">AM99*[4]'inflation indexes'!i192</f>
        <v>461.7930276735</v>
      </c>
    </row>
    <row r="100" customFormat="false" ht="15" hidden="false" customHeight="false" outlineLevel="0" collapsed="false">
      <c r="A100" s="11" t="n">
        <f aca="false">[4]'retirement benefit values'!b101</f>
        <v>6202.638099496</v>
      </c>
      <c r="B100" s="12" t="n">
        <v>555.4986871685</v>
      </c>
      <c r="C100" s="12" t="n">
        <v>552.4525954421</v>
      </c>
      <c r="D100" s="12" t="n">
        <v>462.3852849794</v>
      </c>
      <c r="E100" s="12" t="n">
        <v>787.3873976914</v>
      </c>
      <c r="F100" s="12" t="n">
        <f aca="false">F96+1</f>
        <v>2039</v>
      </c>
      <c r="G100" s="10" t="n">
        <f aca="false">A100*[4]'inflation indexes'!i193</f>
        <v>5752.22310250385</v>
      </c>
      <c r="H100" s="12" t="n">
        <f aca="false">B100*[4]'inflation indexes'!i193</f>
        <v>515.160215779935</v>
      </c>
      <c r="I100" s="12" t="n">
        <f aca="false">D100*[4]'inflation indexes'!i193</f>
        <v>428.808399885921</v>
      </c>
      <c r="J100" s="1" t="n">
        <f aca="false">E100*[4]'inflation indexes'!i193</f>
        <v>730.209937605239</v>
      </c>
      <c r="K100" s="12" t="n">
        <f aca="false">C100*[4]'inflation indexes'!i193</f>
        <v>512.335321127066</v>
      </c>
      <c r="R100" s="12" t="n">
        <f aca="false">R96+1</f>
        <v>2039</v>
      </c>
      <c r="S100" s="13" t="n">
        <f aca="false">[4]'retirement benefit values'!p101</f>
        <v>7673.1548867263</v>
      </c>
      <c r="T100" s="12" t="n">
        <v>615.7885148479</v>
      </c>
      <c r="U100" s="12" t="n">
        <v>599.5704201639</v>
      </c>
      <c r="V100" s="12" t="n">
        <v>516.8161444452</v>
      </c>
      <c r="W100" s="12" t="n">
        <v>925.4391108025</v>
      </c>
      <c r="X100" s="12" t="n">
        <f aca="false">X96+1</f>
        <v>2039</v>
      </c>
      <c r="Y100" s="1" t="n">
        <f aca="false">S100*[4]'inflation indexes'!i193</f>
        <v>7115.95584016158</v>
      </c>
      <c r="Z100" s="1" t="n">
        <f aca="false">T100*[4]'inflation indexes'!i193</f>
        <v>571.071996228902</v>
      </c>
      <c r="AA100" s="1" t="n">
        <f aca="false">V100*[4]'inflation indexes'!i193</f>
        <v>479.286670951543</v>
      </c>
      <c r="AB100" s="1" t="n">
        <f aca="false">W100*[4]'inflation indexes'!i193</f>
        <v>858.236793397846</v>
      </c>
      <c r="AC100" s="1" t="n">
        <f aca="false">U100*[4]'inflation indexes'!i193</f>
        <v>556.031605765451</v>
      </c>
      <c r="AJ100" s="12" t="n">
        <f aca="false">AJ96+1</f>
        <v>2039</v>
      </c>
      <c r="AK100" s="11" t="n">
        <f aca="false">[4]'retirement benefit values'!aj101</f>
        <v>9373.487170757</v>
      </c>
      <c r="AL100" s="12" t="n">
        <v>671.9676024005</v>
      </c>
      <c r="AM100" s="12" t="n">
        <v>649.6119527184</v>
      </c>
      <c r="AN100" s="12" t="n">
        <v>582.2350300165</v>
      </c>
      <c r="AO100" s="12" t="n">
        <v>1070.1305870566</v>
      </c>
      <c r="AP100" s="12" t="n">
        <f aca="false">AP96+1</f>
        <v>2039</v>
      </c>
      <c r="AQ100" s="1" t="n">
        <f aca="false">AK100*[4]'inflation indexes'!i193</f>
        <v>8692.81563582325</v>
      </c>
      <c r="AR100" s="1" t="n">
        <f aca="false">AL100*[4]'inflation indexes'!i193</f>
        <v>623.171544858687</v>
      </c>
      <c r="AS100" s="1" t="n">
        <f aca="false">AN100*[4]'inflation indexes'!i193</f>
        <v>539.955054127706</v>
      </c>
      <c r="AT100" s="1" t="n">
        <f aca="false">AO100*[4]'inflation indexes'!i193</f>
        <v>992.421254766284</v>
      </c>
      <c r="AU100" s="1" t="n">
        <f aca="false">AM100*[4]'inflation indexes'!i193</f>
        <v>602.439288275266</v>
      </c>
    </row>
    <row r="101" customFormat="false" ht="15" hidden="false" customHeight="false" outlineLevel="0" collapsed="false">
      <c r="A101" s="14" t="n">
        <f aca="false">[4]'retirement benefit values'!b102</f>
        <v>6217.1364735456</v>
      </c>
      <c r="B101" s="12" t="n">
        <v>468.2044734456</v>
      </c>
      <c r="C101" s="12" t="n">
        <v>443.8394171483</v>
      </c>
      <c r="D101" s="12" t="n">
        <v>364.3380839912</v>
      </c>
      <c r="E101" s="12" t="n">
        <v>660.4225558343</v>
      </c>
      <c r="F101" s="12" t="n">
        <f aca="false">F97+1</f>
        <v>2039</v>
      </c>
      <c r="G101" s="10" t="n">
        <f aca="false">A101*[4]'inflation indexes'!i194</f>
        <v>5765.66865273894</v>
      </c>
      <c r="H101" s="12" t="n">
        <f aca="false">B101*[4]'inflation indexes'!i194</f>
        <v>434.205018195124</v>
      </c>
      <c r="I101" s="12" t="n">
        <f aca="false">D101*[4]'inflation indexes'!i194</f>
        <v>337.881061290108</v>
      </c>
      <c r="J101" s="1" t="n">
        <f aca="false">E101*[4]'inflation indexes'!i194</f>
        <v>612.46486126498</v>
      </c>
      <c r="K101" s="12" t="n">
        <f aca="false">C101*[4]'inflation indexes'!i194</f>
        <v>411.60927143722</v>
      </c>
      <c r="R101" s="12" t="n">
        <f aca="false">R97+1</f>
        <v>2039</v>
      </c>
      <c r="S101" s="9" t="n">
        <f aca="false">[4]'retirement benefit values'!p102</f>
        <v>7690.2210672592</v>
      </c>
      <c r="T101" s="12" t="n">
        <v>487.1041629168</v>
      </c>
      <c r="U101" s="12" t="n">
        <v>463.1219094234</v>
      </c>
      <c r="V101" s="12" t="n">
        <v>385.2893078538</v>
      </c>
      <c r="W101" s="12" t="n">
        <v>757.541784418</v>
      </c>
      <c r="X101" s="12" t="n">
        <f aca="false">X97+1</f>
        <v>2039</v>
      </c>
      <c r="Y101" s="1" t="n">
        <f aca="false">S101*[4]'inflation indexes'!i194</f>
        <v>7131.78273129373</v>
      </c>
      <c r="Z101" s="1" t="n">
        <f aca="false">T101*[4]'inflation indexes'!i194</f>
        <v>451.732274930483</v>
      </c>
      <c r="AA101" s="1" t="n">
        <f aca="false">V101*[4]'inflation indexes'!i194</f>
        <v>357.310876796831</v>
      </c>
      <c r="AB101" s="1" t="n">
        <f aca="false">W101*[4]'inflation indexes'!i194</f>
        <v>702.53161373308</v>
      </c>
      <c r="AC101" s="1" t="n">
        <f aca="false">U101*[4]'inflation indexes'!i194</f>
        <v>429.491533107089</v>
      </c>
      <c r="AJ101" s="12" t="n">
        <f aca="false">AJ97+1</f>
        <v>2039</v>
      </c>
      <c r="AK101" s="14" t="n">
        <f aca="false">[4]'retirement benefit values'!aj102</f>
        <v>9413.3761654407</v>
      </c>
      <c r="AL101" s="12" t="n">
        <v>529.1597185969</v>
      </c>
      <c r="AM101" s="12" t="n">
        <v>500.0654930489</v>
      </c>
      <c r="AN101" s="12" t="n">
        <v>427.7210914168</v>
      </c>
      <c r="AO101" s="12" t="n">
        <v>870.4477462223</v>
      </c>
      <c r="AP101" s="12" t="n">
        <f aca="false">AP97+1</f>
        <v>2039</v>
      </c>
      <c r="AQ101" s="1" t="n">
        <f aca="false">AK101*[4]'inflation indexes'!i194</f>
        <v>8729.80802407396</v>
      </c>
      <c r="AR101" s="1" t="n">
        <f aca="false">AL101*[4]'inflation indexes'!i194</f>
        <v>490.733895707191</v>
      </c>
      <c r="AS101" s="1" t="n">
        <f aca="false">AN101*[4]'inflation indexes'!i194</f>
        <v>396.661405035995</v>
      </c>
      <c r="AT101" s="1" t="n">
        <f aca="false">AO101*[4]'inflation indexes'!i194</f>
        <v>807.238719239346</v>
      </c>
      <c r="AU101" s="1" t="n">
        <f aca="false">AM101*[4]'inflation indexes'!i194</f>
        <v>463.752396277092</v>
      </c>
    </row>
    <row r="102" customFormat="false" ht="15" hidden="false" customHeight="false" outlineLevel="0" collapsed="false">
      <c r="A102" s="14" t="n">
        <f aca="false">[4]'retirement benefit values'!b103</f>
        <v>6190.9755357154</v>
      </c>
      <c r="B102" s="12" t="n">
        <v>462.2196002906</v>
      </c>
      <c r="C102" s="12" t="n">
        <v>439.5853643602</v>
      </c>
      <c r="D102" s="12" t="n">
        <v>359.1756454451</v>
      </c>
      <c r="E102" s="12" t="n">
        <v>672.4772696844</v>
      </c>
      <c r="F102" s="12" t="n">
        <f aca="false">F98+1</f>
        <v>2039</v>
      </c>
      <c r="G102" s="10" t="n">
        <f aca="false">A102*[4]'inflation indexes'!i195</f>
        <v>5741.4074354059</v>
      </c>
      <c r="H102" s="12" t="n">
        <f aca="false">B102*[4]'inflation indexes'!i195</f>
        <v>428.654746669441</v>
      </c>
      <c r="I102" s="12" t="n">
        <f aca="false">D102*[4]'inflation indexes'!i195</f>
        <v>333.093501901056</v>
      </c>
      <c r="J102" s="1" t="n">
        <f aca="false">E102*[4]'inflation indexes'!i195</f>
        <v>623.644201795625</v>
      </c>
      <c r="K102" s="12" t="n">
        <f aca="false">C102*[4]'inflation indexes'!i195</f>
        <v>407.664133846657</v>
      </c>
      <c r="R102" s="12" t="n">
        <f aca="false">R98+1</f>
        <v>2039</v>
      </c>
      <c r="S102" s="9" t="n">
        <f aca="false">[4]'retirement benefit values'!p103</f>
        <v>7719.7500043506</v>
      </c>
      <c r="T102" s="12" t="n">
        <v>480.0794886578</v>
      </c>
      <c r="U102" s="12" t="n">
        <v>466.4034878689</v>
      </c>
      <c r="V102" s="12" t="n">
        <v>380.0474452281</v>
      </c>
      <c r="W102" s="12" t="n">
        <v>777.9264713131</v>
      </c>
      <c r="X102" s="12" t="n">
        <f aca="false">X98+1</f>
        <v>2039</v>
      </c>
      <c r="Y102" s="1" t="n">
        <f aca="false">S102*[4]'inflation indexes'!i195</f>
        <v>7159.16737495743</v>
      </c>
      <c r="Z102" s="1" t="n">
        <f aca="false">T102*[4]'inflation indexes'!i195</f>
        <v>445.217709206671</v>
      </c>
      <c r="AA102" s="1" t="n">
        <f aca="false">V102*[4]'inflation indexes'!i195</f>
        <v>352.449660841292</v>
      </c>
      <c r="AB102" s="1" t="n">
        <f aca="false">W102*[4]'inflation indexes'!i195</f>
        <v>721.436032306981</v>
      </c>
      <c r="AC102" s="1" t="n">
        <f aca="false">U102*[4]'inflation indexes'!i195</f>
        <v>432.534814214916</v>
      </c>
      <c r="AJ102" s="12" t="n">
        <f aca="false">AJ98+1</f>
        <v>2039</v>
      </c>
      <c r="AK102" s="14" t="n">
        <f aca="false">[4]'retirement benefit values'!aj103</f>
        <v>9404.4842264602</v>
      </c>
      <c r="AL102" s="12" t="n">
        <v>544.8169710139</v>
      </c>
      <c r="AM102" s="12" t="n">
        <v>507.7460794941</v>
      </c>
      <c r="AN102" s="12" t="n">
        <v>432.1491325623</v>
      </c>
      <c r="AO102" s="12" t="n">
        <v>891.9303414515</v>
      </c>
      <c r="AP102" s="12" t="n">
        <f aca="false">AP98+1</f>
        <v>2039</v>
      </c>
      <c r="AQ102" s="1" t="n">
        <f aca="false">AK102*[4]'inflation indexes'!i195</f>
        <v>8721.56178819671</v>
      </c>
      <c r="AR102" s="1" t="n">
        <f aca="false">AL102*[4]'inflation indexes'!i195</f>
        <v>505.254170408067</v>
      </c>
      <c r="AS102" s="1" t="n">
        <f aca="false">AN102*[4]'inflation indexes'!i195</f>
        <v>400.767896526777</v>
      </c>
      <c r="AT102" s="1" t="n">
        <f aca="false">AO102*[4]'inflation indexes'!i195</f>
        <v>827.161319687239</v>
      </c>
      <c r="AU102" s="1" t="n">
        <f aca="false">AM102*[4]'inflation indexes'!i195</f>
        <v>470.875244020611</v>
      </c>
    </row>
    <row r="103" customFormat="false" ht="15" hidden="false" customHeight="false" outlineLevel="0" collapsed="false">
      <c r="A103" s="14" t="n">
        <f aca="false">[4]'retirement benefit values'!b104</f>
        <v>6186.8838176326</v>
      </c>
      <c r="B103" s="12" t="n">
        <v>461.4878402425</v>
      </c>
      <c r="C103" s="12" t="n">
        <v>438.0806258522</v>
      </c>
      <c r="D103" s="12" t="n">
        <v>356.3260400148</v>
      </c>
      <c r="E103" s="12" t="n">
        <v>674.4431354512</v>
      </c>
      <c r="F103" s="12" t="n">
        <f aca="false">F99+1</f>
        <v>2039</v>
      </c>
      <c r="G103" s="10" t="n">
        <f aca="false">A103*[4]'inflation indexes'!i196</f>
        <v>5737.612844313</v>
      </c>
      <c r="H103" s="12" t="n">
        <f aca="false">B103*[4]'inflation indexes'!i196</f>
        <v>427.976124607885</v>
      </c>
      <c r="I103" s="12" t="n">
        <f aca="false">D103*[4]'inflation indexes'!i196</f>
        <v>330.450825361452</v>
      </c>
      <c r="J103" s="1" t="n">
        <f aca="false">E103*[4]'inflation indexes'!i196</f>
        <v>625.467312913639</v>
      </c>
      <c r="K103" s="12" t="n">
        <f aca="false">C103*[4]'inflation indexes'!i196</f>
        <v>406.268664456037</v>
      </c>
      <c r="R103" s="12" t="n">
        <f aca="false">R99+1</f>
        <v>2039</v>
      </c>
      <c r="S103" s="9" t="n">
        <f aca="false">[4]'retirement benefit values'!p104</f>
        <v>7749.7078875407</v>
      </c>
      <c r="T103" s="12" t="n">
        <v>481.4798512943</v>
      </c>
      <c r="U103" s="12" t="n">
        <v>468.0783826739</v>
      </c>
      <c r="V103" s="12" t="n">
        <v>378.3964274305</v>
      </c>
      <c r="W103" s="12" t="n">
        <v>774.1998109521</v>
      </c>
      <c r="X103" s="12" t="n">
        <f aca="false">X99+1</f>
        <v>2039</v>
      </c>
      <c r="Y103" s="1" t="n">
        <f aca="false">S103*[4]'inflation indexes'!i196</f>
        <v>7186.94981607747</v>
      </c>
      <c r="Z103" s="1" t="n">
        <f aca="false">T103*[4]'inflation indexes'!i196</f>
        <v>446.516382155237</v>
      </c>
      <c r="AA103" s="1" t="n">
        <f aca="false">V103*[4]'inflation indexes'!i196</f>
        <v>350.918534477693</v>
      </c>
      <c r="AB103" s="1" t="n">
        <f aca="false">W103*[4]'inflation indexes'!i196</f>
        <v>717.979989655473</v>
      </c>
      <c r="AC103" s="1" t="n">
        <f aca="false">U103*[4]'inflation indexes'!i196</f>
        <v>434.088083716866</v>
      </c>
      <c r="AJ103" s="12" t="n">
        <f aca="false">AJ99+1</f>
        <v>2039</v>
      </c>
      <c r="AK103" s="14" t="n">
        <f aca="false">[4]'retirement benefit values'!aj104</f>
        <v>9448.6882680658</v>
      </c>
      <c r="AL103" s="12" t="n">
        <v>549.6378094467</v>
      </c>
      <c r="AM103" s="12" t="n">
        <v>517.8594985744</v>
      </c>
      <c r="AN103" s="12" t="n">
        <v>445.1230973678</v>
      </c>
      <c r="AO103" s="12" t="n">
        <v>892.8105867536</v>
      </c>
      <c r="AP103" s="12" t="n">
        <f aca="false">AP99+1</f>
        <v>2039</v>
      </c>
      <c r="AQ103" s="1" t="n">
        <f aca="false">AK103*[4]'inflation indexes'!i196</f>
        <v>8762.55587898018</v>
      </c>
      <c r="AR103" s="1" t="n">
        <f aca="false">AL103*[4]'inflation indexes'!i196</f>
        <v>509.724935550539</v>
      </c>
      <c r="AS103" s="1" t="n">
        <f aca="false">AN103*[4]'inflation indexes'!i196</f>
        <v>412.799735058729</v>
      </c>
      <c r="AT103" s="1" t="n">
        <f aca="false">AO103*[4]'inflation indexes'!i196</f>
        <v>827.977644496359</v>
      </c>
      <c r="AU103" s="1" t="n">
        <f aca="false">AM103*[4]'inflation indexes'!i196</f>
        <v>480.254260165972</v>
      </c>
    </row>
    <row r="104" customFormat="false" ht="15" hidden="false" customHeight="false" outlineLevel="0" collapsed="false">
      <c r="A104" s="11" t="n">
        <f aca="false">[4]'retirement benefit values'!b105</f>
        <v>6186.3782769906</v>
      </c>
      <c r="B104" s="12" t="n">
        <v>560.1931632966</v>
      </c>
      <c r="C104" s="12" t="n">
        <v>548.2376676562</v>
      </c>
      <c r="D104" s="12" t="n">
        <v>461.192326864</v>
      </c>
      <c r="E104" s="12" t="n">
        <v>795.2287027034</v>
      </c>
      <c r="F104" s="12" t="n">
        <f aca="false">F100+1</f>
        <v>2040</v>
      </c>
      <c r="G104" s="10" t="n">
        <f aca="false">A104*[4]'inflation indexes'!i197</f>
        <v>5737.14401435492</v>
      </c>
      <c r="H104" s="12" t="n">
        <f aca="false">B104*[4]'inflation indexes'!i197</f>
        <v>519.513794628974</v>
      </c>
      <c r="I104" s="12" t="n">
        <f aca="false">D104*[4]'inflation indexes'!i197</f>
        <v>427.702070430349</v>
      </c>
      <c r="J104" s="1" t="n">
        <f aca="false">E104*[4]'inflation indexes'!i197</f>
        <v>737.481833066538</v>
      </c>
      <c r="K104" s="12" t="n">
        <f aca="false">C104*[4]'inflation indexes'!i197</f>
        <v>508.426467410869</v>
      </c>
      <c r="R104" s="12" t="n">
        <f aca="false">R100+1</f>
        <v>2040</v>
      </c>
      <c r="S104" s="13" t="n">
        <f aca="false">[4]'retirement benefit values'!p105</f>
        <v>7767.375750386</v>
      </c>
      <c r="T104" s="12" t="n">
        <v>621.6641875541</v>
      </c>
      <c r="U104" s="12" t="n">
        <v>605.6458235302</v>
      </c>
      <c r="V104" s="12" t="n">
        <v>532.0303030268</v>
      </c>
      <c r="W104" s="12" t="n">
        <v>927.5555509934</v>
      </c>
      <c r="X104" s="12" t="n">
        <f aca="false">X100+1</f>
        <v>2040</v>
      </c>
      <c r="Y104" s="1" t="n">
        <f aca="false">S104*[4]'inflation indexes'!i197</f>
        <v>7203.33469734902</v>
      </c>
      <c r="Z104" s="1" t="n">
        <f aca="false">T104*[4]'inflation indexes'!i197</f>
        <v>576.520997080024</v>
      </c>
      <c r="AA104" s="1" t="n">
        <f aca="false">V104*[4]'inflation indexes'!i197</f>
        <v>493.396027821058</v>
      </c>
      <c r="AB104" s="1" t="n">
        <f aca="false">W104*[4]'inflation indexes'!i197</f>
        <v>860.199544724923</v>
      </c>
      <c r="AC104" s="1" t="n">
        <f aca="false">U104*[4]'inflation indexes'!i197</f>
        <v>561.665833498889</v>
      </c>
      <c r="AJ104" s="12" t="n">
        <f aca="false">AJ100+1</f>
        <v>2040</v>
      </c>
      <c r="AK104" s="11" t="n">
        <f aca="false">[4]'retirement benefit values'!aj105</f>
        <v>9482.0723392495</v>
      </c>
      <c r="AL104" s="12" t="n">
        <v>695.4805443006</v>
      </c>
      <c r="AM104" s="12" t="n">
        <v>675.8580445867</v>
      </c>
      <c r="AN104" s="12" t="n">
        <v>600.4532253742</v>
      </c>
      <c r="AO104" s="12" t="n">
        <v>1119.8124333026</v>
      </c>
      <c r="AP104" s="12" t="n">
        <f aca="false">AP100+1</f>
        <v>2040</v>
      </c>
      <c r="AQ104" s="1" t="n">
        <f aca="false">AK104*[4]'inflation indexes'!i197</f>
        <v>8793.51570969062</v>
      </c>
      <c r="AR104" s="1" t="n">
        <f aca="false">AL104*[4]'inflation indexes'!i197</f>
        <v>644.977054939402</v>
      </c>
      <c r="AS104" s="1" t="n">
        <f aca="false">AN104*[4]'inflation indexes'!i197</f>
        <v>556.850304590731</v>
      </c>
      <c r="AT104" s="1" t="n">
        <f aca="false">AO104*[4]'inflation indexes'!i197</f>
        <v>1038.4953701938</v>
      </c>
      <c r="AU104" s="1" t="n">
        <f aca="false">AM104*[4]'inflation indexes'!i197</f>
        <v>626.779476042716</v>
      </c>
    </row>
    <row r="105" customFormat="false" ht="15" hidden="false" customHeight="false" outlineLevel="0" collapsed="false">
      <c r="A105" s="14" t="n">
        <f aca="false">[4]'retirement benefit values'!b106</f>
        <v>6177.0431707541</v>
      </c>
      <c r="B105" s="12" t="n">
        <v>463.883568749</v>
      </c>
      <c r="C105" s="12" t="n">
        <v>442.8941193969</v>
      </c>
      <c r="D105" s="12" t="n">
        <v>350.8589610727</v>
      </c>
      <c r="E105" s="12" t="n">
        <v>685.6865552404</v>
      </c>
      <c r="F105" s="12" t="n">
        <f aca="false">F101+1</f>
        <v>2040</v>
      </c>
      <c r="G105" s="10" t="n">
        <f aca="false">A105*[4]'inflation indexes'!i198</f>
        <v>5728.48679255727</v>
      </c>
      <c r="H105" s="12" t="n">
        <f aca="false">B105*[4]'inflation indexes'!i198</f>
        <v>430.197883259826</v>
      </c>
      <c r="I105" s="12" t="n">
        <f aca="false">D105*[4]'inflation indexes'!i198</f>
        <v>325.38074755109</v>
      </c>
      <c r="J105" s="1" t="n">
        <f aca="false">E105*[4]'inflation indexes'!i198</f>
        <v>635.894272866025</v>
      </c>
      <c r="K105" s="12" t="n">
        <f aca="false">C105*[4]'inflation indexes'!i198</f>
        <v>410.73261807181</v>
      </c>
      <c r="R105" s="12" t="n">
        <f aca="false">R101+1</f>
        <v>2040</v>
      </c>
      <c r="S105" s="9" t="n">
        <f aca="false">[4]'retirement benefit values'!p106</f>
        <v>7759.4879538373</v>
      </c>
      <c r="T105" s="12" t="n">
        <v>500.1928601786</v>
      </c>
      <c r="U105" s="12" t="n">
        <v>473.5812862625</v>
      </c>
      <c r="V105" s="12" t="n">
        <v>390.1045688846</v>
      </c>
      <c r="W105" s="12" t="n">
        <v>783.0307262116</v>
      </c>
      <c r="X105" s="12" t="n">
        <f aca="false">X101+1</f>
        <v>2040</v>
      </c>
      <c r="Y105" s="1" t="n">
        <f aca="false">S105*[4]'inflation indexes'!i198</f>
        <v>7196.01968641214</v>
      </c>
      <c r="Z105" s="1" t="n">
        <f aca="false">T105*[4]'inflation indexes'!i198</f>
        <v>463.870514428467</v>
      </c>
      <c r="AA105" s="1" t="n">
        <f aca="false">V105*[4]'inflation indexes'!i198</f>
        <v>361.776469549728</v>
      </c>
      <c r="AB105" s="1" t="n">
        <f aca="false">W105*[4]'inflation indexes'!i198</f>
        <v>726.169633151855</v>
      </c>
      <c r="AC105" s="1" t="n">
        <f aca="false">U105*[4]'inflation indexes'!i198</f>
        <v>439.191384706774</v>
      </c>
      <c r="AJ105" s="12" t="n">
        <f aca="false">AJ101+1</f>
        <v>2040</v>
      </c>
      <c r="AK105" s="14" t="n">
        <f aca="false">[4]'retirement benefit values'!aj106</f>
        <v>9494.2993648243</v>
      </c>
      <c r="AL105" s="12" t="n">
        <v>530.1637939673</v>
      </c>
      <c r="AM105" s="12" t="n">
        <v>497.6266966121</v>
      </c>
      <c r="AN105" s="12" t="n">
        <v>425.6865426614</v>
      </c>
      <c r="AO105" s="12" t="n">
        <v>911.553245053</v>
      </c>
      <c r="AP105" s="12" t="n">
        <f aca="false">AP101+1</f>
        <v>2040</v>
      </c>
      <c r="AQ105" s="1" t="n">
        <f aca="false">AK105*[4]'inflation indexes'!i198</f>
        <v>8804.85484924029</v>
      </c>
      <c r="AR105" s="1" t="n">
        <f aca="false">AL105*[4]'inflation indexes'!i198</f>
        <v>491.665058455948</v>
      </c>
      <c r="AS105" s="1" t="n">
        <f aca="false">AN105*[4]'inflation indexes'!i198</f>
        <v>394.774598460107</v>
      </c>
      <c r="AT105" s="1" t="n">
        <f aca="false">AO105*[4]'inflation indexes'!i198</f>
        <v>845.359273142548</v>
      </c>
      <c r="AU105" s="1" t="n">
        <f aca="false">AM105*[4]'inflation indexes'!i198</f>
        <v>461.49069714504</v>
      </c>
    </row>
    <row r="106" customFormat="false" ht="15" hidden="false" customHeight="false" outlineLevel="0" collapsed="false">
      <c r="A106" s="14" t="n">
        <f aca="false">[4]'retirement benefit values'!b107</f>
        <v>6189.8872760167</v>
      </c>
      <c r="B106" s="12" t="n">
        <v>455.471958636</v>
      </c>
      <c r="C106" s="12" t="n">
        <v>433.721556252</v>
      </c>
      <c r="D106" s="12" t="n">
        <v>341.4927095133</v>
      </c>
      <c r="E106" s="12" t="n">
        <v>680.3897389611</v>
      </c>
      <c r="F106" s="12" t="n">
        <f aca="false">F102+1</f>
        <v>2040</v>
      </c>
      <c r="G106" s="10" t="n">
        <f aca="false">A106*[4]'inflation indexes'!i199</f>
        <v>5740.39820151542</v>
      </c>
      <c r="H106" s="12" t="n">
        <f aca="false">B106*[4]'inflation indexes'!i199</f>
        <v>422.397096361557</v>
      </c>
      <c r="I106" s="12" t="n">
        <f aca="false">D106*[4]'inflation indexes'!i199</f>
        <v>316.694642100537</v>
      </c>
      <c r="J106" s="1" t="n">
        <f aca="false">E106*[4]'inflation indexes'!i199</f>
        <v>630.982093808861</v>
      </c>
      <c r="K106" s="12" t="n">
        <f aca="false">C106*[4]'inflation indexes'!i199</f>
        <v>402.226136025798</v>
      </c>
      <c r="R106" s="12" t="n">
        <f aca="false">R102+1</f>
        <v>2040</v>
      </c>
      <c r="S106" s="9" t="n">
        <f aca="false">[4]'retirement benefit values'!p107</f>
        <v>7783.2131747351</v>
      </c>
      <c r="T106" s="12" t="n">
        <v>487.1894726727</v>
      </c>
      <c r="U106" s="12" t="n">
        <v>467.6111705987</v>
      </c>
      <c r="V106" s="12" t="n">
        <v>392.8724511152</v>
      </c>
      <c r="W106" s="12" t="n">
        <v>753.6542047926</v>
      </c>
      <c r="X106" s="12" t="n">
        <f aca="false">X102+1</f>
        <v>2040</v>
      </c>
      <c r="Y106" s="1" t="n">
        <f aca="false">S106*[4]'inflation indexes'!i199</f>
        <v>7218.02206049414</v>
      </c>
      <c r="Z106" s="1" t="n">
        <f aca="false">T106*[4]'inflation indexes'!i199</f>
        <v>451.811389774987</v>
      </c>
      <c r="AA106" s="1" t="n">
        <f aca="false">V106*[4]'inflation indexes'!i199</f>
        <v>364.343357357218</v>
      </c>
      <c r="AB106" s="1" t="n">
        <f aca="false">W106*[4]'inflation indexes'!i199</f>
        <v>698.926337240185</v>
      </c>
      <c r="AC106" s="1" t="n">
        <f aca="false">U106*[4]'inflation indexes'!i199</f>
        <v>433.654799032249</v>
      </c>
      <c r="AJ106" s="12" t="n">
        <f aca="false">AJ102+1</f>
        <v>2040</v>
      </c>
      <c r="AK106" s="14" t="n">
        <f aca="false">[4]'retirement benefit values'!aj107</f>
        <v>9568.8777616071</v>
      </c>
      <c r="AL106" s="12" t="n">
        <v>540.4539208086</v>
      </c>
      <c r="AM106" s="12" t="n">
        <v>511.4573941111</v>
      </c>
      <c r="AN106" s="12" t="n">
        <v>443.1991201706</v>
      </c>
      <c r="AO106" s="12" t="n">
        <v>955.7476335937</v>
      </c>
      <c r="AP106" s="12" t="n">
        <f aca="false">AP102+1</f>
        <v>2040</v>
      </c>
      <c r="AQ106" s="1" t="n">
        <f aca="false">AK106*[4]'inflation indexes'!i199</f>
        <v>8874.01761031716</v>
      </c>
      <c r="AR106" s="1" t="n">
        <f aca="false">AL106*[4]'inflation indexes'!i199</f>
        <v>501.207950431063</v>
      </c>
      <c r="AS106" s="1" t="n">
        <f aca="false">AN106*[4]'inflation indexes'!i199</f>
        <v>411.015470701387</v>
      </c>
      <c r="AT106" s="1" t="n">
        <f aca="false">AO106*[4]'inflation indexes'!i199</f>
        <v>886.344411834664</v>
      </c>
      <c r="AU106" s="1" t="n">
        <f aca="false">AM106*[4]'inflation indexes'!i199</f>
        <v>474.317055285128</v>
      </c>
    </row>
    <row r="107" customFormat="false" ht="15" hidden="false" customHeight="false" outlineLevel="0" collapsed="false">
      <c r="A107" s="14" t="n">
        <f aca="false">[4]'retirement benefit values'!b108</f>
        <v>6168.1269084707</v>
      </c>
      <c r="B107" s="12" t="n">
        <v>451.4480983938</v>
      </c>
      <c r="C107" s="12" t="n">
        <v>432.136438864</v>
      </c>
      <c r="D107" s="12" t="n">
        <v>344.5192786501</v>
      </c>
      <c r="E107" s="12" t="n">
        <v>682.8382742485</v>
      </c>
      <c r="F107" s="12" t="n">
        <f aca="false">F103+1</f>
        <v>2040</v>
      </c>
      <c r="G107" s="10" t="n">
        <f aca="false">A107*[4]'inflation indexes'!i200</f>
        <v>5720.21799965466</v>
      </c>
      <c r="H107" s="12" t="n">
        <f aca="false">B107*[4]'inflation indexes'!i200</f>
        <v>418.665435498043</v>
      </c>
      <c r="I107" s="12" t="n">
        <f aca="false">D107*[4]'inflation indexes'!i200</f>
        <v>319.501431829481</v>
      </c>
      <c r="J107" s="1" t="n">
        <f aca="false">E107*[4]'inflation indexes'!i200</f>
        <v>633.252824588499</v>
      </c>
      <c r="K107" s="12" t="n">
        <f aca="false">C107*[4]'inflation indexes'!i200</f>
        <v>400.756124602727</v>
      </c>
      <c r="R107" s="12" t="n">
        <f aca="false">R103+1</f>
        <v>2040</v>
      </c>
      <c r="S107" s="9" t="n">
        <f aca="false">[4]'retirement benefit values'!p108</f>
        <v>7811.3408239654</v>
      </c>
      <c r="T107" s="12" t="n">
        <v>479.8218591945</v>
      </c>
      <c r="U107" s="12" t="n">
        <v>456.1844895012</v>
      </c>
      <c r="V107" s="12" t="n">
        <v>381.8762773565</v>
      </c>
      <c r="W107" s="12" t="n">
        <v>789.8244993522</v>
      </c>
      <c r="X107" s="12" t="n">
        <f aca="false">X103+1</f>
        <v>2040</v>
      </c>
      <c r="Y107" s="1" t="n">
        <f aca="false">S107*[4]'inflation indexes'!i200</f>
        <v>7244.1071731714</v>
      </c>
      <c r="Z107" s="1" t="n">
        <f aca="false">T107*[4]'inflation indexes'!i200</f>
        <v>444.978787940122</v>
      </c>
      <c r="AA107" s="1" t="n">
        <f aca="false">V107*[4]'inflation indexes'!i200</f>
        <v>354.145689249017</v>
      </c>
      <c r="AB107" s="1" t="n">
        <f aca="false">W107*[4]'inflation indexes'!i200</f>
        <v>732.470065030301</v>
      </c>
      <c r="AC107" s="1" t="n">
        <f aca="false">U107*[4]'inflation indexes'!i200</f>
        <v>423.057885599669</v>
      </c>
      <c r="AJ107" s="12" t="n">
        <f aca="false">AJ103+1</f>
        <v>2040</v>
      </c>
      <c r="AK107" s="14" t="n">
        <f aca="false">[4]'retirement benefit values'!aj108</f>
        <v>9633.5151905379</v>
      </c>
      <c r="AL107" s="12" t="n">
        <v>525.5629612359</v>
      </c>
      <c r="AM107" s="12" t="n">
        <v>495.9147704129</v>
      </c>
      <c r="AN107" s="12" t="n">
        <v>416.744923845</v>
      </c>
      <c r="AO107" s="12" t="n">
        <v>945.32813769</v>
      </c>
      <c r="AP107" s="12" t="n">
        <f aca="false">AP103+1</f>
        <v>2040</v>
      </c>
      <c r="AQ107" s="1" t="n">
        <f aca="false">AK107*[4]'inflation indexes'!i200</f>
        <v>8933.961283641</v>
      </c>
      <c r="AR107" s="1" t="n">
        <f aca="false">AL107*[4]'inflation indexes'!i200</f>
        <v>487.398322930871</v>
      </c>
      <c r="AS107" s="1" t="n">
        <f aca="false">AN107*[4]'inflation indexes'!i200</f>
        <v>386.482290331787</v>
      </c>
      <c r="AT107" s="1" t="n">
        <f aca="false">AO107*[4]'inflation indexes'!i200</f>
        <v>876.681545149185</v>
      </c>
      <c r="AU107" s="1" t="n">
        <f aca="false">AM107*[4]'inflation indexes'!i200</f>
        <v>459.903085345857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3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50" zoomScaleNormal="50" zoomScalePageLayoutView="100" workbookViewId="0">
      <selection pane="topLeft" activeCell="O47" activeCellId="0" sqref="O47"/>
    </sheetView>
  </sheetViews>
  <sheetFormatPr defaultRowHeight="15"/>
  <cols>
    <col collapsed="false" hidden="false" max="1" min="1" style="0" width="10.6760563380282"/>
    <col collapsed="false" hidden="false" max="2" min="2" style="0" width="26.9953051643192"/>
    <col collapsed="false" hidden="false" max="1025" min="3" style="0" width="10.6760563380282"/>
  </cols>
  <sheetData>
    <row r="3" customFormat="false" ht="15" hidden="false" customHeight="false" outlineLevel="0" collapsed="false">
      <c r="A3" s="5"/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 t="s">
        <v>21</v>
      </c>
      <c r="I3" s="0" t="s">
        <v>22</v>
      </c>
      <c r="J3" s="0" t="s">
        <v>23</v>
      </c>
      <c r="K3" s="0" t="s">
        <v>24</v>
      </c>
      <c r="L3" s="0" t="s">
        <v>25</v>
      </c>
      <c r="M3" s="0" t="s">
        <v>26</v>
      </c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0" t="n">
        <f aca="false">'Child benefits values 2019 leg'!AD4</f>
        <v>2015</v>
      </c>
      <c r="B5" s="0" t="n">
        <f aca="false">'Child benefits values 2019 leg'!AG4</f>
        <v>1615.33595671099</v>
      </c>
      <c r="C5" s="0" t="n">
        <f aca="false">'Child benefits values 2017 leg'!AG4</f>
        <v>324.944233560672</v>
      </c>
      <c r="D5" s="0" t="n">
        <f aca="false">'Child benefits values 2015 mor'!AG4</f>
        <v>1616.7204404317</v>
      </c>
      <c r="E5" s="0" t="n">
        <f aca="false">'Child benefits 2015 no mor'!AG4</f>
        <v>324.944233560672</v>
      </c>
      <c r="F5" s="0" t="n">
        <f aca="false">'Child benefits values 2019 leg'!AH4</f>
        <v>3585.53070344312</v>
      </c>
      <c r="G5" s="0" t="n">
        <f aca="false">'Child benefits values 2017 leg'!AH4</f>
        <v>734.758324116925</v>
      </c>
      <c r="H5" s="0" t="n">
        <f aca="false">'Child benefits values 2015 mor'!AH4</f>
        <v>3607.91302487786</v>
      </c>
      <c r="I5" s="0" t="n">
        <f aca="false">'Child benefits 2015 no mor'!AH4</f>
        <v>734.758324116925</v>
      </c>
      <c r="J5" s="0" t="n">
        <f aca="false">'Child benefits values 2019 leg'!AI4</f>
        <v>2384.02957948845</v>
      </c>
      <c r="K5" s="0" t="n">
        <f aca="false">'Child benefits values 2017 leg'!AI4</f>
        <v>471.788389008872</v>
      </c>
      <c r="L5" s="0" t="n">
        <f aca="false">'Child benefits values 2015 mor'!AI4</f>
        <v>2379.66672058611</v>
      </c>
      <c r="M5" s="0" t="n">
        <f aca="false">'Child benefits 2015 no mor'!AI4</f>
        <v>471.788389008872</v>
      </c>
    </row>
    <row r="6" customFormat="false" ht="15" hidden="false" customHeight="false" outlineLevel="0" collapsed="false">
      <c r="A6" s="0" t="n">
        <f aca="false">'Child benefits values 2019 leg'!AD5</f>
        <v>2016</v>
      </c>
      <c r="B6" s="0" t="n">
        <f aca="false">'Child benefits values 2019 leg'!AG5</f>
        <v>2097.66423933955</v>
      </c>
      <c r="C6" s="0" t="n">
        <f aca="false">'Child benefits values 2017 leg'!AG5</f>
        <v>407.506574300343</v>
      </c>
      <c r="D6" s="0" t="n">
        <f aca="false">'Child benefits values 2015 mor'!AG5</f>
        <v>1850.00925635557</v>
      </c>
      <c r="E6" s="0" t="n">
        <f aca="false">'Child benefits 2015 no mor'!AG5</f>
        <v>367.075171920782</v>
      </c>
      <c r="F6" s="0" t="n">
        <f aca="false">'Child benefits values 2019 leg'!AH5</f>
        <v>3422.87452907375</v>
      </c>
      <c r="G6" s="0" t="n">
        <f aca="false">'Child benefits values 2017 leg'!AH5</f>
        <v>691.619924320358</v>
      </c>
      <c r="H6" s="0" t="n">
        <f aca="false">'Child benefits values 2015 mor'!AH5</f>
        <v>3416.1859077151</v>
      </c>
      <c r="I6" s="0" t="n">
        <f aca="false">'Child benefits 2015 no mor'!AH5</f>
        <v>691.009624226524</v>
      </c>
      <c r="J6" s="0" t="n">
        <f aca="false">'Child benefits values 2019 leg'!AI5</f>
        <v>2567.49192465147</v>
      </c>
      <c r="K6" s="0" t="n">
        <f aca="false">'Child benefits values 2017 leg'!AI5</f>
        <v>507.642969973769</v>
      </c>
      <c r="L6" s="0" t="n">
        <f aca="false">'Child benefits values 2015 mor'!AI5</f>
        <v>2491.92175423361</v>
      </c>
      <c r="M6" s="0" t="n">
        <f aca="false">'Child benefits 2015 no mor'!AI5</f>
        <v>494.879822229764</v>
      </c>
    </row>
    <row r="7" customFormat="false" ht="15" hidden="false" customHeight="false" outlineLevel="0" collapsed="false">
      <c r="A7" s="0" t="n">
        <f aca="false">'Child benefits values 2019 leg'!AD6</f>
        <v>2017</v>
      </c>
      <c r="B7" s="0" t="n">
        <f aca="false">'Child benefits values 2019 leg'!AG6</f>
        <v>2490.28467034532</v>
      </c>
      <c r="C7" s="0" t="n">
        <f aca="false">'Child benefits values 2017 leg'!AG6</f>
        <v>500.873436381271</v>
      </c>
      <c r="D7" s="0" t="n">
        <f aca="false">'Child benefits values 2015 mor'!AG6</f>
        <v>2317.15910084994</v>
      </c>
      <c r="E7" s="0" t="n">
        <f aca="false">'Child benefits 2015 no mor'!AG6</f>
        <v>471.898233073207</v>
      </c>
      <c r="F7" s="0" t="n">
        <f aca="false">'Child benefits values 2019 leg'!AH6</f>
        <v>3525.67398212635</v>
      </c>
      <c r="G7" s="0" t="n">
        <f aca="false">'Child benefits values 2017 leg'!AH6</f>
        <v>724.505669913243</v>
      </c>
      <c r="H7" s="0" t="n">
        <f aca="false">'Child benefits values 2015 mor'!AH6</f>
        <v>3551.27181869738</v>
      </c>
      <c r="I7" s="0" t="n">
        <f aca="false">'Child benefits 2015 no mor'!AH6</f>
        <v>723.361890659698</v>
      </c>
      <c r="J7" s="0" t="n">
        <f aca="false">'Child benefits values 2019 leg'!AI6</f>
        <v>2734.38783573162</v>
      </c>
      <c r="K7" s="0" t="n">
        <f aca="false">'Child benefits values 2017 leg'!AI6</f>
        <v>557.338649051489</v>
      </c>
      <c r="L7" s="0" t="n">
        <f aca="false">'Child benefits values 2015 mor'!AI6</f>
        <v>2670.64372521213</v>
      </c>
      <c r="M7" s="0" t="n">
        <f aca="false">'Child benefits 2015 no mor'!AI6</f>
        <v>545.065807682957</v>
      </c>
    </row>
    <row r="8" customFormat="false" ht="15" hidden="false" customHeight="false" outlineLevel="0" collapsed="false">
      <c r="A8" s="0" t="n">
        <f aca="false">'Child benefits values 2019 leg'!AD7</f>
        <v>2018</v>
      </c>
      <c r="B8" s="0" t="n">
        <f aca="false">'Child benefits values 2019 leg'!AG7</f>
        <v>2252.22299345299</v>
      </c>
      <c r="C8" s="0" t="n">
        <f aca="false">'Child benefits values 2017 leg'!AG7</f>
        <v>460.672182295368</v>
      </c>
      <c r="D8" s="0" t="n">
        <f aca="false">'Child benefits values 2015 mor'!AG7</f>
        <v>2292.08934258384</v>
      </c>
      <c r="E8" s="0" t="n">
        <f aca="false">'Child benefits 2015 no mor'!AG7</f>
        <v>432.444047528382</v>
      </c>
      <c r="F8" s="0" t="n">
        <f aca="false">'Child benefits values 2019 leg'!AH7</f>
        <v>3274.69659003115</v>
      </c>
      <c r="G8" s="0" t="n">
        <f aca="false">'Child benefits values 2017 leg'!AH7</f>
        <v>670.913606709629</v>
      </c>
      <c r="H8" s="0" t="n">
        <f aca="false">'Child benefits values 2015 mor'!AH7</f>
        <v>3514.06832274195</v>
      </c>
      <c r="I8" s="0" t="n">
        <f aca="false">'Child benefits 2015 no mor'!AH7</f>
        <v>668.165951066362</v>
      </c>
      <c r="J8" s="0" t="n">
        <f aca="false">'Child benefits values 2019 leg'!AI7</f>
        <v>2515.37149058918</v>
      </c>
      <c r="K8" s="0" t="n">
        <f aca="false">'Child benefits values 2017 leg'!AI7</f>
        <v>514.516129925359</v>
      </c>
      <c r="L8" s="0" t="n">
        <f aca="false">'Child benefits values 2015 mor'!AI7</f>
        <v>2623.35356633345</v>
      </c>
      <c r="M8" s="0" t="n">
        <f aca="false">'Child benefits 2015 no mor'!AI7</f>
        <v>502.353825138209</v>
      </c>
    </row>
    <row r="9" customFormat="false" ht="15" hidden="false" customHeight="false" outlineLevel="0" collapsed="false">
      <c r="A9" s="0" t="n">
        <f aca="false">'Child benefits values 2019 leg'!AD8</f>
        <v>2019</v>
      </c>
      <c r="B9" s="0" t="n">
        <f aca="false">'Child benefits values 2019 leg'!AG8</f>
        <v>1881.54366369364</v>
      </c>
      <c r="C9" s="0" t="n">
        <f aca="false">'Child benefits values 2017 leg'!AG8</f>
        <v>427.086091410837</v>
      </c>
      <c r="D9" s="0" t="n">
        <f aca="false">'Child benefits values 2015 mor'!AG8</f>
        <v>2166.11173297133</v>
      </c>
      <c r="E9" s="0" t="n">
        <f aca="false">'Child benefits 2015 no mor'!AG8</f>
        <v>399.452616684731</v>
      </c>
      <c r="F9" s="0" t="n">
        <f aca="false">'Child benefits values 2019 leg'!AH8</f>
        <v>3193.88488219808</v>
      </c>
      <c r="G9" s="0" t="n">
        <f aca="false">'Child benefits values 2017 leg'!AH8</f>
        <v>625.825716526643</v>
      </c>
      <c r="H9" s="0" t="n">
        <f aca="false">'Child benefits values 2015 mor'!AH8</f>
        <v>3250.44313396963</v>
      </c>
      <c r="I9" s="0" t="n">
        <f aca="false">'Child benefits 2015 no mor'!AH8</f>
        <v>637.851099122023</v>
      </c>
      <c r="J9" s="0" t="n">
        <f aca="false">'Child benefits values 2019 leg'!AI8</f>
        <v>2264.3173204628</v>
      </c>
      <c r="K9" s="0" t="n">
        <f aca="false">'Child benefits values 2017 leg'!AI8</f>
        <v>481.294283257222</v>
      </c>
      <c r="L9" s="0" t="n">
        <f aca="false">'Child benefits values 2015 mor'!AI8</f>
        <v>2463.02872747996</v>
      </c>
      <c r="M9" s="0" t="n">
        <f aca="false">'Child benefits 2015 no mor'!AI8</f>
        <v>471.900482751841</v>
      </c>
    </row>
    <row r="10" customFormat="false" ht="15" hidden="false" customHeight="false" outlineLevel="0" collapsed="false">
      <c r="A10" s="0" t="n">
        <f aca="false">'Child benefits values 2019 leg'!AD9</f>
        <v>2020</v>
      </c>
      <c r="B10" s="0" t="n">
        <f aca="false">'Child benefits values 2019 leg'!AG9</f>
        <v>1779.89285036087</v>
      </c>
      <c r="C10" s="0" t="n">
        <f aca="false">'Child benefits values 2017 leg'!AG9</f>
        <v>432.238637950472</v>
      </c>
      <c r="D10" s="0" t="n">
        <f aca="false">'Child benefits values 2015 mor'!AG9</f>
        <v>2056.29478638525</v>
      </c>
      <c r="E10" s="0" t="n">
        <f aca="false">'Child benefits 2015 no mor'!AG9</f>
        <v>401.345337807937</v>
      </c>
      <c r="F10" s="0" t="n">
        <f aca="false">'Child benefits values 2019 leg'!AH9</f>
        <v>2677.377965863</v>
      </c>
      <c r="G10" s="0" t="n">
        <f aca="false">'Child benefits values 2017 leg'!AH9</f>
        <v>650.354003003481</v>
      </c>
      <c r="H10" s="0" t="n">
        <f aca="false">'Child benefits values 2015 mor'!AH9</f>
        <v>3080.42314982073</v>
      </c>
      <c r="I10" s="0" t="n">
        <f aca="false">'Child benefits 2015 no mor'!AH9</f>
        <v>629.309774036766</v>
      </c>
      <c r="J10" s="0" t="n">
        <f aca="false">'Child benefits values 2019 leg'!AI9</f>
        <v>2024.20854614857</v>
      </c>
      <c r="K10" s="0" t="n">
        <f aca="false">'Child benefits values 2017 leg'!AI9</f>
        <v>487.717413740714</v>
      </c>
      <c r="L10" s="0" t="n">
        <f aca="false">'Child benefits values 2015 mor'!AI9</f>
        <v>2359.02508075737</v>
      </c>
      <c r="M10" s="0" t="n">
        <f aca="false">'Child benefits 2015 no mor'!AI9</f>
        <v>470.901873901174</v>
      </c>
    </row>
    <row r="11" customFormat="false" ht="15" hidden="false" customHeight="false" outlineLevel="0" collapsed="false">
      <c r="A11" s="0" t="n">
        <f aca="false">'Child benefits values 2019 leg'!AD10</f>
        <v>2021</v>
      </c>
      <c r="B11" s="0" t="n">
        <f aca="false">'Child benefits values 2019 leg'!AG10</f>
        <v>1878.45445562438</v>
      </c>
      <c r="C11" s="0" t="n">
        <f aca="false">'Child benefits values 2017 leg'!AG10</f>
        <v>436.722236110415</v>
      </c>
      <c r="D11" s="0" t="n">
        <f aca="false">'Child benefits values 2015 mor'!AG10</f>
        <v>2082.22351531067</v>
      </c>
      <c r="E11" s="0" t="n">
        <f aca="false">'Child benefits 2015 no mor'!AG10</f>
        <v>395.690468414786</v>
      </c>
      <c r="F11" s="0" t="n">
        <f aca="false">'Child benefits values 2019 leg'!AH10</f>
        <v>2824.64832928567</v>
      </c>
      <c r="G11" s="0" t="n">
        <f aca="false">'Child benefits values 2017 leg'!AH10</f>
        <v>658.867096305019</v>
      </c>
      <c r="H11" s="0" t="n">
        <f aca="false">'Child benefits values 2015 mor'!AH10</f>
        <v>3192.97811900307</v>
      </c>
      <c r="I11" s="0" t="n">
        <f aca="false">'Child benefits 2015 no mor'!AH10</f>
        <v>664.13766466099</v>
      </c>
      <c r="J11" s="0" t="n">
        <f aca="false">'Child benefits values 2019 leg'!AI10</f>
        <v>2123.38081384108</v>
      </c>
      <c r="K11" s="0" t="n">
        <f aca="false">'Child benefits values 2017 leg'!AI10</f>
        <v>492.799789373055</v>
      </c>
      <c r="L11" s="0" t="n">
        <f aca="false">'Child benefits values 2015 mor'!AI10</f>
        <v>2387.5231275097</v>
      </c>
      <c r="M11" s="0" t="n">
        <f aca="false">'Child benefits 2015 no mor'!AI10</f>
        <v>469.584861279681</v>
      </c>
    </row>
    <row r="12" customFormat="false" ht="15" hidden="false" customHeight="false" outlineLevel="0" collapsed="false">
      <c r="A12" s="0" t="n">
        <f aca="false">'Child benefits values 2019 leg'!AD11</f>
        <v>2022</v>
      </c>
      <c r="B12" s="0" t="n">
        <f aca="false">'Child benefits values 2019 leg'!AG11</f>
        <v>1968.59183306929</v>
      </c>
      <c r="C12" s="0" t="n">
        <f aca="false">'Child benefits values 2017 leg'!AG11</f>
        <v>437.456048433013</v>
      </c>
      <c r="D12" s="0" t="n">
        <f aca="false">'Child benefits values 2015 mor'!AG11</f>
        <v>2173.5150562112</v>
      </c>
      <c r="E12" s="0" t="n">
        <f aca="false">'Child benefits 2015 no mor'!AG11</f>
        <v>395.01133626354</v>
      </c>
      <c r="F12" s="0" t="n">
        <f aca="false">'Child benefits values 2019 leg'!AH11</f>
        <v>2899.06517911425</v>
      </c>
      <c r="G12" s="0" t="n">
        <f aca="false">'Child benefits values 2017 leg'!AH11</f>
        <v>666.432163791995</v>
      </c>
      <c r="H12" s="0" t="n">
        <f aca="false">'Child benefits values 2015 mor'!AH11</f>
        <v>3258.25762568132</v>
      </c>
      <c r="I12" s="0" t="n">
        <f aca="false">'Child benefits 2015 no mor'!AH11</f>
        <v>660.191268651721</v>
      </c>
      <c r="J12" s="0" t="n">
        <f aca="false">'Child benefits values 2019 leg'!AI11</f>
        <v>2215.99594708714</v>
      </c>
      <c r="K12" s="0" t="n">
        <f aca="false">'Child benefits values 2017 leg'!AI11</f>
        <v>492.790059504595</v>
      </c>
      <c r="L12" s="0" t="n">
        <f aca="false">'Child benefits values 2015 mor'!AI11</f>
        <v>2470.04777220006</v>
      </c>
      <c r="M12" s="0" t="n">
        <f aca="false">'Child benefits 2015 no mor'!AI11</f>
        <v>470.490612531999</v>
      </c>
    </row>
    <row r="13" customFormat="false" ht="15" hidden="false" customHeight="false" outlineLevel="0" collapsed="false">
      <c r="A13" s="0" t="n">
        <f aca="false">'Child benefits values 2019 leg'!AD12</f>
        <v>2023</v>
      </c>
      <c r="B13" s="0" t="n">
        <f aca="false">'Child benefits values 2019 leg'!AG12</f>
        <v>1998.42090621001</v>
      </c>
      <c r="C13" s="0" t="n">
        <f aca="false">'Child benefits values 2017 leg'!AG12</f>
        <v>429.316812105206</v>
      </c>
      <c r="D13" s="0" t="n">
        <f aca="false">'Child benefits values 2015 mor'!AG12</f>
        <v>2266.76901657319</v>
      </c>
      <c r="E13" s="0" t="n">
        <f aca="false">'Child benefits 2015 no mor'!AG12</f>
        <v>393.906433666286</v>
      </c>
      <c r="F13" s="0" t="n">
        <f aca="false">'Child benefits values 2019 leg'!AH12</f>
        <v>2976.62029916451</v>
      </c>
      <c r="G13" s="0" t="n">
        <f aca="false">'Child benefits values 2017 leg'!AH12</f>
        <v>654.832577028072</v>
      </c>
      <c r="H13" s="0" t="n">
        <f aca="false">'Child benefits values 2015 mor'!AH12</f>
        <v>3511.95167490549</v>
      </c>
      <c r="I13" s="0" t="n">
        <f aca="false">'Child benefits 2015 no mor'!AH12</f>
        <v>674.561795732923</v>
      </c>
      <c r="J13" s="0" t="n">
        <f aca="false">'Child benefits values 2019 leg'!AI12</f>
        <v>2251.29569892301</v>
      </c>
      <c r="K13" s="0" t="n">
        <f aca="false">'Child benefits values 2017 leg'!AI12</f>
        <v>486.600712299987</v>
      </c>
      <c r="L13" s="0" t="n">
        <f aca="false">'Child benefits values 2015 mor'!AI12</f>
        <v>2595.42002032983</v>
      </c>
      <c r="M13" s="0" t="n">
        <f aca="false">'Child benefits 2015 no mor'!AI12</f>
        <v>471.16158982069</v>
      </c>
    </row>
    <row r="14" customFormat="false" ht="15" hidden="false" customHeight="false" outlineLevel="0" collapsed="false">
      <c r="A14" s="0" t="n">
        <f aca="false">'Child benefits values 2019 leg'!AD13</f>
        <v>2024</v>
      </c>
      <c r="B14" s="0" t="n">
        <f aca="false">'Child benefits values 2019 leg'!AG13</f>
        <v>2063.71083322299</v>
      </c>
      <c r="C14" s="0" t="n">
        <f aca="false">'Child benefits values 2017 leg'!AG13</f>
        <v>423.10335306284</v>
      </c>
      <c r="D14" s="0" t="n">
        <f aca="false">'Child benefits values 2015 mor'!AG13</f>
        <v>2442.51190936594</v>
      </c>
      <c r="E14" s="0" t="n">
        <f aca="false">'Child benefits 2015 no mor'!AG13</f>
        <v>397.531564396798</v>
      </c>
      <c r="F14" s="0" t="n">
        <f aca="false">'Child benefits values 2019 leg'!AH13</f>
        <v>3047.92537198161</v>
      </c>
      <c r="G14" s="0" t="n">
        <f aca="false">'Child benefits values 2017 leg'!AH13</f>
        <v>669.486896752713</v>
      </c>
      <c r="H14" s="0" t="n">
        <f aca="false">'Child benefits values 2015 mor'!AH13</f>
        <v>3752.26832763654</v>
      </c>
      <c r="I14" s="0" t="n">
        <f aca="false">'Child benefits 2015 no mor'!AH13</f>
        <v>658.274102203712</v>
      </c>
      <c r="J14" s="0" t="n">
        <f aca="false">'Child benefits values 2019 leg'!AI13</f>
        <v>2309.0042326218</v>
      </c>
      <c r="K14" s="0" t="n">
        <f aca="false">'Child benefits values 2017 leg'!AI13</f>
        <v>483.44921356512</v>
      </c>
      <c r="L14" s="0" t="n">
        <f aca="false">'Child benefits values 2015 mor'!AI13</f>
        <v>2762.22753544384</v>
      </c>
      <c r="M14" s="0" t="n">
        <f aca="false">'Child benefits 2015 no mor'!AI13</f>
        <v>472.054583052306</v>
      </c>
    </row>
    <row r="15" customFormat="false" ht="15" hidden="false" customHeight="false" outlineLevel="0" collapsed="false">
      <c r="A15" s="0" t="n">
        <f aca="false">'Child benefits values 2019 leg'!AD14</f>
        <v>2025</v>
      </c>
      <c r="B15" s="0" t="n">
        <f aca="false">'Child benefits values 2019 leg'!AG14</f>
        <v>2112.63296274602</v>
      </c>
      <c r="C15" s="0" t="n">
        <f aca="false">'Child benefits values 2017 leg'!AG14</f>
        <v>430.476164084222</v>
      </c>
      <c r="D15" s="0" t="n">
        <f aca="false">'Child benefits values 2015 mor'!AG14</f>
        <v>2583.70616086391</v>
      </c>
      <c r="E15" s="0" t="n">
        <f aca="false">'Child benefits 2015 no mor'!AG14</f>
        <v>388.22449947924</v>
      </c>
      <c r="F15" s="0" t="n">
        <f aca="false">'Child benefits values 2019 leg'!AH14</f>
        <v>3114.70476881488</v>
      </c>
      <c r="G15" s="0" t="n">
        <f aca="false">'Child benefits values 2017 leg'!AH14</f>
        <v>672.912531720274</v>
      </c>
      <c r="H15" s="0" t="n">
        <f aca="false">'Child benefits values 2015 mor'!AH14</f>
        <v>3785.25149068834</v>
      </c>
      <c r="I15" s="0" t="n">
        <f aca="false">'Child benefits 2015 no mor'!AH14</f>
        <v>670.864773874147</v>
      </c>
      <c r="J15" s="0" t="n">
        <f aca="false">'Child benefits values 2019 leg'!AI14</f>
        <v>2360.74335434248</v>
      </c>
      <c r="K15" s="0" t="n">
        <f aca="false">'Child benefits values 2017 leg'!AI14</f>
        <v>490.278171833869</v>
      </c>
      <c r="L15" s="0" t="n">
        <f aca="false">'Child benefits values 2015 mor'!AI14</f>
        <v>2870.47331573892</v>
      </c>
      <c r="M15" s="0" t="n">
        <f aca="false">'Child benefits 2015 no mor'!AI14</f>
        <v>468.394730214469</v>
      </c>
    </row>
    <row r="16" customFormat="false" ht="15" hidden="false" customHeight="false" outlineLevel="0" collapsed="false">
      <c r="A16" s="0" t="n">
        <f aca="false">'Child benefits values 2019 leg'!AD15</f>
        <v>2026</v>
      </c>
      <c r="B16" s="0" t="n">
        <f aca="false">'Child benefits values 2019 leg'!AG15</f>
        <v>2149.76288844686</v>
      </c>
      <c r="C16" s="0" t="n">
        <f aca="false">'Child benefits values 2017 leg'!AG15</f>
        <v>428.324289687843</v>
      </c>
      <c r="D16" s="0" t="n">
        <f aca="false">'Child benefits values 2015 mor'!AG15</f>
        <v>2609.64094622704</v>
      </c>
      <c r="E16" s="0" t="n">
        <f aca="false">'Child benefits 2015 no mor'!AG15</f>
        <v>391.506934186717</v>
      </c>
      <c r="F16" s="0" t="n">
        <f aca="false">'Child benefits values 2019 leg'!AH15</f>
        <v>3163.6486575374</v>
      </c>
      <c r="G16" s="0" t="n">
        <f aca="false">'Child benefits values 2017 leg'!AH15</f>
        <v>676.213270882201</v>
      </c>
      <c r="H16" s="0" t="n">
        <f aca="false">'Child benefits values 2015 mor'!AH15</f>
        <v>3841.87224243256</v>
      </c>
      <c r="I16" s="0" t="n">
        <f aca="false">'Child benefits 2015 no mor'!AH15</f>
        <v>664.369766921518</v>
      </c>
      <c r="J16" s="0" t="n">
        <f aca="false">'Child benefits values 2019 leg'!AI15</f>
        <v>2398.11179059832</v>
      </c>
      <c r="K16" s="0" t="n">
        <f aca="false">'Child benefits values 2017 leg'!AI15</f>
        <v>488.927448451065</v>
      </c>
      <c r="L16" s="0" t="n">
        <f aca="false">'Child benefits values 2015 mor'!AI15</f>
        <v>2913.64528689877</v>
      </c>
      <c r="M16" s="0" t="n">
        <f aca="false">'Child benefits 2015 no mor'!AI15</f>
        <v>471.738230498485</v>
      </c>
    </row>
    <row r="17" customFormat="false" ht="15" hidden="false" customHeight="false" outlineLevel="0" collapsed="false">
      <c r="A17" s="0" t="n">
        <f aca="false">'Child benefits values 2019 leg'!AD16</f>
        <v>2027</v>
      </c>
      <c r="B17" s="0" t="n">
        <f aca="false">'Child benefits values 2019 leg'!AG16</f>
        <v>2122.08274248165</v>
      </c>
      <c r="C17" s="0" t="n">
        <f aca="false">'Child benefits values 2017 leg'!AG16</f>
        <v>433.418014243828</v>
      </c>
      <c r="D17" s="0" t="n">
        <f aca="false">'Child benefits values 2015 mor'!AG16</f>
        <v>2674.66781051349</v>
      </c>
      <c r="E17" s="0" t="n">
        <f aca="false">'Child benefits 2015 no mor'!AG16</f>
        <v>398.175817923687</v>
      </c>
      <c r="F17" s="0" t="n">
        <f aca="false">'Child benefits values 2019 leg'!AH16</f>
        <v>3162.2546129127</v>
      </c>
      <c r="G17" s="0" t="n">
        <f aca="false">'Child benefits values 2017 leg'!AH16</f>
        <v>687.95686034339</v>
      </c>
      <c r="H17" s="0" t="n">
        <f aca="false">'Child benefits values 2015 mor'!AH16</f>
        <v>4069.80699929698</v>
      </c>
      <c r="I17" s="0" t="n">
        <f aca="false">'Child benefits 2015 no mor'!AH16</f>
        <v>685.594059262789</v>
      </c>
      <c r="J17" s="0" t="n">
        <f aca="false">'Child benefits values 2019 leg'!AI16</f>
        <v>2371.3518793181</v>
      </c>
      <c r="K17" s="0" t="n">
        <f aca="false">'Child benefits values 2017 leg'!AI16</f>
        <v>495.803497927919</v>
      </c>
      <c r="L17" s="0" t="n">
        <f aca="false">'Child benefits values 2015 mor'!AI16</f>
        <v>2987.27077903994</v>
      </c>
      <c r="M17" s="0" t="n">
        <f aca="false">'Child benefits 2015 no mor'!AI16</f>
        <v>475.140507662956</v>
      </c>
    </row>
    <row r="18" customFormat="false" ht="15" hidden="false" customHeight="false" outlineLevel="0" collapsed="false">
      <c r="A18" s="0" t="n">
        <f aca="false">'Child benefits values 2019 leg'!AD17</f>
        <v>2028</v>
      </c>
      <c r="B18" s="0" t="n">
        <f aca="false">'Child benefits values 2019 leg'!AG17</f>
        <v>2161.51547785801</v>
      </c>
      <c r="C18" s="0" t="n">
        <f aca="false">'Child benefits values 2017 leg'!AG17</f>
        <v>434.682883665898</v>
      </c>
      <c r="D18" s="0" t="n">
        <f aca="false">'Child benefits values 2015 mor'!AG17</f>
        <v>2755.61904797549</v>
      </c>
      <c r="E18" s="0" t="n">
        <f aca="false">'Child benefits 2015 no mor'!AG17</f>
        <v>403.926672776903</v>
      </c>
      <c r="F18" s="0" t="n">
        <f aca="false">'Child benefits values 2019 leg'!AH17</f>
        <v>3201.35712735484</v>
      </c>
      <c r="G18" s="0" t="n">
        <f aca="false">'Child benefits values 2017 leg'!AH17</f>
        <v>685.216627882299</v>
      </c>
      <c r="H18" s="0" t="n">
        <f aca="false">'Child benefits values 2015 mor'!AH17</f>
        <v>4112.80348898513</v>
      </c>
      <c r="I18" s="0" t="n">
        <f aca="false">'Child benefits 2015 no mor'!AH17</f>
        <v>681.387803146695</v>
      </c>
      <c r="J18" s="0" t="n">
        <f aca="false">'Child benefits values 2019 leg'!AI17</f>
        <v>2393.17864182804</v>
      </c>
      <c r="K18" s="0" t="n">
        <f aca="false">'Child benefits values 2017 leg'!AI17</f>
        <v>495.181170355666</v>
      </c>
      <c r="L18" s="0" t="n">
        <f aca="false">'Child benefits values 2015 mor'!AI17</f>
        <v>3037.78487369539</v>
      </c>
      <c r="M18" s="0" t="n">
        <f aca="false">'Child benefits 2015 no mor'!AI17</f>
        <v>481.051585410138</v>
      </c>
    </row>
    <row r="19" customFormat="false" ht="15" hidden="false" customHeight="false" outlineLevel="0" collapsed="false">
      <c r="A19" s="0" t="n">
        <f aca="false">'Child benefits values 2019 leg'!AD18</f>
        <v>2029</v>
      </c>
      <c r="B19" s="0" t="n">
        <f aca="false">'Child benefits values 2019 leg'!AG18</f>
        <v>2172.61062668188</v>
      </c>
      <c r="C19" s="0" t="n">
        <f aca="false">'Child benefits values 2017 leg'!AG18</f>
        <v>435.733129782987</v>
      </c>
      <c r="D19" s="0" t="n">
        <f aca="false">'Child benefits values 2015 mor'!AG18</f>
        <v>2777.00287688442</v>
      </c>
      <c r="E19" s="0" t="n">
        <f aca="false">'Child benefits 2015 no mor'!AG18</f>
        <v>401.641626621224</v>
      </c>
      <c r="F19" s="0" t="n">
        <f aca="false">'Child benefits values 2019 leg'!AH18</f>
        <v>3248.03404028102</v>
      </c>
      <c r="G19" s="0" t="n">
        <f aca="false">'Child benefits values 2017 leg'!AH18</f>
        <v>702.632443861702</v>
      </c>
      <c r="H19" s="0" t="n">
        <f aca="false">'Child benefits values 2015 mor'!AH18</f>
        <v>4322.80097742788</v>
      </c>
      <c r="I19" s="0" t="n">
        <f aca="false">'Child benefits 2015 no mor'!AH18</f>
        <v>698.40786376313</v>
      </c>
      <c r="J19" s="0" t="n">
        <f aca="false">'Child benefits values 2019 leg'!AI18</f>
        <v>2404.64075750734</v>
      </c>
      <c r="K19" s="0" t="n">
        <f aca="false">'Child benefits values 2017 leg'!AI18</f>
        <v>497.965523865766</v>
      </c>
      <c r="L19" s="0" t="n">
        <f aca="false">'Child benefits values 2015 mor'!AI18</f>
        <v>3054.03647098881</v>
      </c>
      <c r="M19" s="0" t="n">
        <f aca="false">'Child benefits 2015 no mor'!AI18</f>
        <v>479.240777872626</v>
      </c>
    </row>
    <row r="20" customFormat="false" ht="15" hidden="false" customHeight="false" outlineLevel="0" collapsed="false">
      <c r="A20" s="0" t="n">
        <f aca="false">'Child benefits values 2019 leg'!AD19</f>
        <v>2030</v>
      </c>
      <c r="B20" s="0" t="n">
        <f aca="false">'Child benefits values 2019 leg'!AG19</f>
        <v>2151.20533863579</v>
      </c>
      <c r="C20" s="0" t="n">
        <f aca="false">'Child benefits values 2017 leg'!AG19</f>
        <v>431.559732782804</v>
      </c>
      <c r="D20" s="0" t="n">
        <f aca="false">'Child benefits values 2015 mor'!AG19</f>
        <v>2874.91881052726</v>
      </c>
      <c r="E20" s="0" t="n">
        <f aca="false">'Child benefits 2015 no mor'!AG19</f>
        <v>395.047069252137</v>
      </c>
      <c r="F20" s="0" t="n">
        <f aca="false">'Child benefits values 2019 leg'!AH19</f>
        <v>3240.43366474543</v>
      </c>
      <c r="G20" s="0" t="n">
        <f aca="false">'Child benefits values 2017 leg'!AH19</f>
        <v>706.058494558025</v>
      </c>
      <c r="H20" s="0" t="n">
        <f aca="false">'Child benefits values 2015 mor'!AH19</f>
        <v>4234.96731055539</v>
      </c>
      <c r="I20" s="0" t="n">
        <f aca="false">'Child benefits 2015 no mor'!AH19</f>
        <v>708.09443454718</v>
      </c>
      <c r="J20" s="0" t="n">
        <f aca="false">'Child benefits values 2019 leg'!AI19</f>
        <v>2396.8470088461</v>
      </c>
      <c r="K20" s="0" t="n">
        <f aca="false">'Child benefits values 2017 leg'!AI19</f>
        <v>495.065725120538</v>
      </c>
      <c r="L20" s="0" t="n">
        <f aca="false">'Child benefits values 2015 mor'!AI19</f>
        <v>3123.06369281684</v>
      </c>
      <c r="M20" s="0" t="n">
        <f aca="false">'Child benefits 2015 no mor'!AI19</f>
        <v>475.350670915393</v>
      </c>
    </row>
    <row r="21" customFormat="false" ht="15" hidden="false" customHeight="false" outlineLevel="0" collapsed="false">
      <c r="A21" s="0" t="n">
        <f aca="false">'Child benefits values 2019 leg'!AD20</f>
        <v>2031</v>
      </c>
      <c r="B21" s="0" t="n">
        <f aca="false">'Child benefits values 2019 leg'!AG20</f>
        <v>2147.51245202243</v>
      </c>
      <c r="C21" s="0" t="n">
        <f aca="false">'Child benefits values 2017 leg'!AG20</f>
        <v>436.135731096551</v>
      </c>
      <c r="D21" s="0" t="n">
        <f aca="false">'Child benefits values 2015 mor'!AG20</f>
        <v>2924.36349162551</v>
      </c>
      <c r="E21" s="0" t="n">
        <f aca="false">'Child benefits 2015 no mor'!AG20</f>
        <v>407.053533002176</v>
      </c>
      <c r="F21" s="0" t="n">
        <f aca="false">'Child benefits values 2019 leg'!AH20</f>
        <v>3237.00771181584</v>
      </c>
      <c r="G21" s="0" t="n">
        <f aca="false">'Child benefits values 2017 leg'!AH20</f>
        <v>702.37028321761</v>
      </c>
      <c r="H21" s="0" t="n">
        <f aca="false">'Child benefits values 2015 mor'!AH20</f>
        <v>4485.68346006369</v>
      </c>
      <c r="I21" s="0" t="n">
        <f aca="false">'Child benefits 2015 no mor'!AH20</f>
        <v>705.90772537947</v>
      </c>
      <c r="J21" s="0" t="n">
        <f aca="false">'Child benefits values 2019 leg'!AI20</f>
        <v>2385.51731179492</v>
      </c>
      <c r="K21" s="0" t="n">
        <f aca="false">'Child benefits values 2017 leg'!AI20</f>
        <v>494.455003341064</v>
      </c>
      <c r="L21" s="0" t="n">
        <f aca="false">'Child benefits values 2015 mor'!AI20</f>
        <v>3200.58703746338</v>
      </c>
      <c r="M21" s="0" t="n">
        <f aca="false">'Child benefits 2015 no mor'!AI20</f>
        <v>482.219664199906</v>
      </c>
    </row>
    <row r="22" customFormat="false" ht="15" hidden="false" customHeight="false" outlineLevel="0" collapsed="false">
      <c r="A22" s="0" t="n">
        <f aca="false">'Child benefits values 2019 leg'!AD21</f>
        <v>2032</v>
      </c>
      <c r="B22" s="0" t="n">
        <f aca="false">'Child benefits values 2019 leg'!AG21</f>
        <v>2101.90531291416</v>
      </c>
      <c r="C22" s="0" t="n">
        <f aca="false">'Child benefits values 2017 leg'!AG21</f>
        <v>439.615666683555</v>
      </c>
      <c r="D22" s="0" t="n">
        <f aca="false">'Child benefits values 2015 mor'!AG21</f>
        <v>2994.76577150591</v>
      </c>
      <c r="E22" s="0" t="n">
        <f aca="false">'Child benefits 2015 no mor'!AG21</f>
        <v>399.218492326966</v>
      </c>
      <c r="F22" s="0" t="n">
        <f aca="false">'Child benefits values 2019 leg'!AH21</f>
        <v>3207.48401989667</v>
      </c>
      <c r="G22" s="0" t="n">
        <f aca="false">'Child benefits values 2017 leg'!AH21</f>
        <v>703.925538003608</v>
      </c>
      <c r="H22" s="0" t="n">
        <f aca="false">'Child benefits values 2015 mor'!AH21</f>
        <v>4479.58374968346</v>
      </c>
      <c r="I22" s="0" t="n">
        <f aca="false">'Child benefits 2015 no mor'!AH21</f>
        <v>702.92543209574</v>
      </c>
      <c r="J22" s="0" t="n">
        <f aca="false">'Child benefits values 2019 leg'!AI21</f>
        <v>2351.82501786388</v>
      </c>
      <c r="K22" s="0" t="n">
        <f aca="false">'Child benefits values 2017 leg'!AI21</f>
        <v>498.346712266989</v>
      </c>
      <c r="L22" s="0" t="n">
        <f aca="false">'Child benefits values 2015 mor'!AI21</f>
        <v>3227.24423470409</v>
      </c>
      <c r="M22" s="0" t="n">
        <f aca="false">'Child benefits 2015 no mor'!AI21</f>
        <v>476.730060099811</v>
      </c>
    </row>
    <row r="23" customFormat="false" ht="15" hidden="false" customHeight="false" outlineLevel="0" collapsed="false">
      <c r="A23" s="0" t="n">
        <f aca="false">'Child benefits values 2019 leg'!AD22</f>
        <v>2033</v>
      </c>
      <c r="B23" s="0" t="n">
        <f aca="false">'Child benefits values 2019 leg'!AG22</f>
        <v>2082.59850686854</v>
      </c>
      <c r="C23" s="0" t="n">
        <f aca="false">'Child benefits values 2017 leg'!AG22</f>
        <v>443.978141821092</v>
      </c>
      <c r="D23" s="0" t="n">
        <f aca="false">'Child benefits values 2015 mor'!AG22</f>
        <v>2994.81978146825</v>
      </c>
      <c r="E23" s="0" t="n">
        <f aca="false">'Child benefits 2015 no mor'!AG22</f>
        <v>395.80662446411</v>
      </c>
      <c r="F23" s="0" t="n">
        <f aca="false">'Child benefits values 2019 leg'!AH22</f>
        <v>3327.28303911291</v>
      </c>
      <c r="G23" s="0" t="n">
        <f aca="false">'Child benefits values 2017 leg'!AH22</f>
        <v>721.415170412284</v>
      </c>
      <c r="H23" s="0" t="n">
        <f aca="false">'Child benefits values 2015 mor'!AH22</f>
        <v>4516.44278802662</v>
      </c>
      <c r="I23" s="0" t="n">
        <f aca="false">'Child benefits 2015 no mor'!AH22</f>
        <v>709.073193248436</v>
      </c>
      <c r="J23" s="0" t="n">
        <f aca="false">'Child benefits values 2019 leg'!AI22</f>
        <v>2351.31889297456</v>
      </c>
      <c r="K23" s="0" t="n">
        <f aca="false">'Child benefits values 2017 leg'!AI22</f>
        <v>502.761050593706</v>
      </c>
      <c r="L23" s="0" t="n">
        <f aca="false">'Child benefits values 2015 mor'!AI22</f>
        <v>3236.88952624165</v>
      </c>
      <c r="M23" s="0" t="n">
        <f aca="false">'Child benefits 2015 no mor'!AI22</f>
        <v>468.580266019575</v>
      </c>
    </row>
    <row r="24" customFormat="false" ht="15" hidden="false" customHeight="false" outlineLevel="0" collapsed="false">
      <c r="A24" s="0" t="n">
        <f aca="false">'Child benefits values 2019 leg'!AD23</f>
        <v>2034</v>
      </c>
      <c r="B24" s="0" t="n">
        <f aca="false">'Child benefits values 2019 leg'!AG23</f>
        <v>2132.821683445</v>
      </c>
      <c r="C24" s="0" t="n">
        <f aca="false">'Child benefits values 2017 leg'!AG23</f>
        <v>439.97977209614</v>
      </c>
      <c r="D24" s="0" t="n">
        <f aca="false">'Child benefits values 2015 mor'!AG23</f>
        <v>3095.9347526643</v>
      </c>
      <c r="E24" s="0" t="n">
        <f aca="false">'Child benefits 2015 no mor'!AG23</f>
        <v>401.673273833079</v>
      </c>
      <c r="F24" s="0" t="n">
        <f aca="false">'Child benefits values 2019 leg'!AH23</f>
        <v>3301.15220336746</v>
      </c>
      <c r="G24" s="0" t="n">
        <f aca="false">'Child benefits values 2017 leg'!AH23</f>
        <v>712.484074801582</v>
      </c>
      <c r="H24" s="0" t="n">
        <f aca="false">'Child benefits values 2015 mor'!AH23</f>
        <v>4581.32458960229</v>
      </c>
      <c r="I24" s="0" t="n">
        <f aca="false">'Child benefits 2015 no mor'!AH23</f>
        <v>705.93803687566</v>
      </c>
      <c r="J24" s="0" t="n">
        <f aca="false">'Child benefits values 2019 leg'!AI23</f>
        <v>2363.38201121437</v>
      </c>
      <c r="K24" s="0" t="n">
        <f aca="false">'Child benefits values 2017 leg'!AI23</f>
        <v>498.086810483481</v>
      </c>
      <c r="L24" s="0" t="n">
        <f aca="false">'Child benefits values 2015 mor'!AI23</f>
        <v>3309.80314229321</v>
      </c>
      <c r="M24" s="0" t="n">
        <f aca="false">'Child benefits 2015 no mor'!AI23</f>
        <v>472.392063925446</v>
      </c>
    </row>
    <row r="25" customFormat="false" ht="15" hidden="false" customHeight="false" outlineLevel="0" collapsed="false">
      <c r="A25" s="0" t="n">
        <f aca="false">'Child benefits values 2019 leg'!AD24</f>
        <v>2035</v>
      </c>
      <c r="B25" s="0" t="n">
        <f aca="false">'Child benefits values 2019 leg'!AG24</f>
        <v>2165.71437342339</v>
      </c>
      <c r="C25" s="0" t="n">
        <f aca="false">'Child benefits values 2017 leg'!AG24</f>
        <v>443.353272152251</v>
      </c>
      <c r="D25" s="0" t="n">
        <f aca="false">'Child benefits values 2015 mor'!AG24</f>
        <v>3116.22095154122</v>
      </c>
      <c r="E25" s="0" t="n">
        <f aca="false">'Child benefits 2015 no mor'!AG24</f>
        <v>388.722629170922</v>
      </c>
      <c r="F25" s="0" t="n">
        <f aca="false">'Child benefits values 2019 leg'!AH24</f>
        <v>3269.80603695781</v>
      </c>
      <c r="G25" s="0" t="n">
        <f aca="false">'Child benefits values 2017 leg'!AH24</f>
        <v>720.145345519936</v>
      </c>
      <c r="H25" s="0" t="n">
        <f aca="false">'Child benefits values 2015 mor'!AH24</f>
        <v>4554.04993548409</v>
      </c>
      <c r="I25" s="0" t="n">
        <f aca="false">'Child benefits 2015 no mor'!AH24</f>
        <v>705.590439678388</v>
      </c>
      <c r="J25" s="0" t="n">
        <f aca="false">'Child benefits values 2019 leg'!AI24</f>
        <v>2375.52808974885</v>
      </c>
      <c r="K25" s="0" t="n">
        <f aca="false">'Child benefits values 2017 leg'!AI24</f>
        <v>499.897623509941</v>
      </c>
      <c r="L25" s="0" t="n">
        <f aca="false">'Child benefits values 2015 mor'!AI24</f>
        <v>3339.00001616568</v>
      </c>
      <c r="M25" s="0" t="n">
        <f aca="false">'Child benefits 2015 no mor'!AI24</f>
        <v>464.235681364656</v>
      </c>
    </row>
    <row r="26" customFormat="false" ht="15" hidden="false" customHeight="false" outlineLevel="0" collapsed="false">
      <c r="A26" s="0" t="n">
        <f aca="false">'Child benefits values 2019 leg'!AD25</f>
        <v>2036</v>
      </c>
      <c r="B26" s="0" t="n">
        <f aca="false">'Child benefits values 2019 leg'!AG25</f>
        <v>2142.6535043263</v>
      </c>
      <c r="C26" s="0" t="n">
        <f aca="false">'Child benefits values 2017 leg'!AG25</f>
        <v>435.722814122183</v>
      </c>
      <c r="D26" s="0" t="n">
        <f aca="false">'Child benefits values 2015 mor'!AG25</f>
        <v>3174.51031360401</v>
      </c>
      <c r="E26" s="0" t="n">
        <f aca="false">'Child benefits 2015 no mor'!AG25</f>
        <v>383.368287860892</v>
      </c>
      <c r="F26" s="0" t="n">
        <f aca="false">'Child benefits values 2019 leg'!AH25</f>
        <v>3365.3090311564</v>
      </c>
      <c r="G26" s="0" t="n">
        <f aca="false">'Child benefits values 2017 leg'!AH25</f>
        <v>743.953878425223</v>
      </c>
      <c r="H26" s="0" t="n">
        <f aca="false">'Child benefits values 2015 mor'!AH25</f>
        <v>4672.09034796675</v>
      </c>
      <c r="I26" s="0" t="n">
        <f aca="false">'Child benefits 2015 no mor'!AH25</f>
        <v>729.801711748464</v>
      </c>
      <c r="J26" s="0" t="n">
        <f aca="false">'Child benefits values 2019 leg'!AI25</f>
        <v>2347.58035162072</v>
      </c>
      <c r="K26" s="0" t="n">
        <f aca="false">'Child benefits values 2017 leg'!AI25</f>
        <v>493.503484148407</v>
      </c>
      <c r="L26" s="0" t="n">
        <f aca="false">'Child benefits values 2015 mor'!AI25</f>
        <v>3389.34006371478</v>
      </c>
      <c r="M26" s="0" t="n">
        <f aca="false">'Child benefits 2015 no mor'!AI25</f>
        <v>460.712256960905</v>
      </c>
    </row>
    <row r="27" customFormat="false" ht="15" hidden="false" customHeight="false" outlineLevel="0" collapsed="false">
      <c r="A27" s="0" t="n">
        <f aca="false">'Child benefits values 2019 leg'!AD26</f>
        <v>2037</v>
      </c>
      <c r="B27" s="0" t="n">
        <f aca="false">'Child benefits values 2019 leg'!AG26</f>
        <v>2149.87059334986</v>
      </c>
      <c r="C27" s="0" t="n">
        <f aca="false">'Child benefits values 2017 leg'!AG26</f>
        <v>426.054141428771</v>
      </c>
      <c r="D27" s="0" t="n">
        <f aca="false">'Child benefits values 2015 mor'!AG26</f>
        <v>3169.4838268565</v>
      </c>
      <c r="E27" s="0" t="n">
        <f aca="false">'Child benefits 2015 no mor'!AG26</f>
        <v>390.508732236725</v>
      </c>
      <c r="F27" s="0" t="n">
        <f aca="false">'Child benefits values 2019 leg'!AH26</f>
        <v>3382.93836579409</v>
      </c>
      <c r="G27" s="0" t="n">
        <f aca="false">'Child benefits values 2017 leg'!AH26</f>
        <v>755.183607062415</v>
      </c>
      <c r="H27" s="0" t="n">
        <f aca="false">'Child benefits values 2015 mor'!AH26</f>
        <v>4854.0755681484</v>
      </c>
      <c r="I27" s="0" t="n">
        <f aca="false">'Child benefits 2015 no mor'!AH26</f>
        <v>748.711165133024</v>
      </c>
      <c r="J27" s="0" t="n">
        <f aca="false">'Child benefits values 2019 leg'!AI26</f>
        <v>2339.49851225055</v>
      </c>
      <c r="K27" s="0" t="n">
        <f aca="false">'Child benefits values 2017 leg'!AI26</f>
        <v>492.229428702938</v>
      </c>
      <c r="L27" s="0" t="n">
        <f aca="false">'Child benefits values 2015 mor'!AI26</f>
        <v>3406.00065440557</v>
      </c>
      <c r="M27" s="0" t="n">
        <f aca="false">'Child benefits 2015 no mor'!AI26</f>
        <v>466.316303638814</v>
      </c>
    </row>
    <row r="28" customFormat="false" ht="15" hidden="false" customHeight="false" outlineLevel="0" collapsed="false">
      <c r="A28" s="0" t="n">
        <f aca="false">'Child benefits values 2019 leg'!AD27</f>
        <v>2038</v>
      </c>
      <c r="B28" s="0" t="n">
        <f aca="false">'Child benefits values 2019 leg'!AG27</f>
        <v>2171.79512222444</v>
      </c>
      <c r="C28" s="0" t="n">
        <f aca="false">'Child benefits values 2017 leg'!AG27</f>
        <v>443.870599513396</v>
      </c>
      <c r="D28" s="0" t="n">
        <f aca="false">'Child benefits values 2015 mor'!AG27</f>
        <v>3201.22194619175</v>
      </c>
      <c r="E28" s="0" t="n">
        <f aca="false">'Child benefits 2015 no mor'!AG27</f>
        <v>384.637041280012</v>
      </c>
      <c r="F28" s="0" t="n">
        <f aca="false">'Child benefits values 2019 leg'!AH27</f>
        <v>3344.17227645758</v>
      </c>
      <c r="G28" s="0" t="n">
        <f aca="false">'Child benefits values 2017 leg'!AH27</f>
        <v>736.988167651006</v>
      </c>
      <c r="H28" s="0" t="n">
        <f aca="false">'Child benefits values 2015 mor'!AH27</f>
        <v>4896.65163689107</v>
      </c>
      <c r="I28" s="0" t="n">
        <f aca="false">'Child benefits 2015 no mor'!AH27</f>
        <v>759.430036017168</v>
      </c>
      <c r="J28" s="0" t="n">
        <f aca="false">'Child benefits values 2019 leg'!AI27</f>
        <v>2363.9682285031</v>
      </c>
      <c r="K28" s="0" t="n">
        <f aca="false">'Child benefits values 2017 leg'!AI27</f>
        <v>500.00204379332</v>
      </c>
      <c r="L28" s="0" t="n">
        <f aca="false">'Child benefits values 2015 mor'!AI27</f>
        <v>3426.40173493418</v>
      </c>
      <c r="M28" s="0" t="n">
        <f aca="false">'Child benefits 2015 no mor'!AI27</f>
        <v>461.297131943345</v>
      </c>
    </row>
    <row r="29" customFormat="false" ht="15" hidden="false" customHeight="false" outlineLevel="0" collapsed="false">
      <c r="A29" s="0" t="n">
        <f aca="false">'Child benefits values 2019 leg'!AD28</f>
        <v>2039</v>
      </c>
      <c r="B29" s="0" t="n">
        <f aca="false">'Child benefits values 2019 leg'!AG28</f>
        <v>2150.22437404104</v>
      </c>
      <c r="C29" s="0" t="n">
        <f aca="false">'Child benefits values 2017 leg'!AG28</f>
        <v>438.494611641435</v>
      </c>
      <c r="D29" s="0" t="n">
        <f aca="false">'Child benefits values 2015 mor'!AG28</f>
        <v>3218.88617524492</v>
      </c>
      <c r="E29" s="0" t="n">
        <f aca="false">'Child benefits 2015 no mor'!AG28</f>
        <v>384.99143576684</v>
      </c>
      <c r="F29" s="0" t="n">
        <f aca="false">'Child benefits values 2019 leg'!AH28</f>
        <v>3390.22515224179</v>
      </c>
      <c r="G29" s="0" t="n">
        <f aca="false">'Child benefits values 2017 leg'!AH28</f>
        <v>745.259038512748</v>
      </c>
      <c r="H29" s="0" t="n">
        <f aca="false">'Child benefits values 2015 mor'!AH28</f>
        <v>4937.91668558416</v>
      </c>
      <c r="I29" s="0" t="n">
        <f aca="false">'Child benefits 2015 no mor'!AH28</f>
        <v>750.046107273345</v>
      </c>
      <c r="J29" s="0" t="n">
        <f aca="false">'Child benefits values 2019 leg'!AI28</f>
        <v>2373.81377822549</v>
      </c>
      <c r="K29" s="0" t="n">
        <f aca="false">'Child benefits values 2017 leg'!AI28</f>
        <v>500.585316550831</v>
      </c>
      <c r="L29" s="0" t="n">
        <f aca="false">'Child benefits values 2015 mor'!AI28</f>
        <v>3455.87149541604</v>
      </c>
      <c r="M29" s="0" t="n">
        <f aca="false">'Child benefits 2015 no mor'!AI28</f>
        <v>463.03650920108</v>
      </c>
    </row>
    <row r="30" customFormat="false" ht="15" hidden="false" customHeight="false" outlineLevel="0" collapsed="false">
      <c r="A30" s="0" t="n">
        <f aca="false">'Child benefits values 2019 leg'!AD29</f>
        <v>2040</v>
      </c>
      <c r="B30" s="0" t="n">
        <f aca="false">'Child benefits values 2019 leg'!AG29</f>
        <v>2167.85540310873</v>
      </c>
      <c r="C30" s="0" t="n">
        <f aca="false">'Child benefits values 2017 leg'!AG29</f>
        <v>432.088085419673</v>
      </c>
      <c r="D30" s="0" t="n">
        <f aca="false">'Child benefits values 2015 mor'!AG29</f>
        <v>3230.71646292881</v>
      </c>
      <c r="E30" s="0" t="n">
        <f aca="false">'Child benefits 2015 no mor'!AG29</f>
        <v>393.415385994255</v>
      </c>
      <c r="F30" s="0" t="n">
        <f aca="false">'Child benefits values 2019 leg'!AH29</f>
        <v>3422.896231108</v>
      </c>
      <c r="G30" s="0" t="n">
        <f aca="false">'Child benefits values 2017 leg'!AH29</f>
        <v>761.828150150442</v>
      </c>
      <c r="H30" s="0" t="n">
        <f aca="false">'Child benefits values 2015 mor'!AH29</f>
        <v>4938.11914248159</v>
      </c>
      <c r="I30" s="0" t="n">
        <f aca="false">'Child benefits 2015 no mor'!AH29</f>
        <v>754.441395036816</v>
      </c>
      <c r="J30" s="0" t="n">
        <f aca="false">'Child benefits values 2019 leg'!AI29</f>
        <v>2394.7560790983</v>
      </c>
      <c r="K30" s="0" t="n">
        <f aca="false">'Child benefits values 2017 leg'!AI29</f>
        <v>490.392184735911</v>
      </c>
      <c r="L30" s="0" t="n">
        <f aca="false">'Child benefits values 2015 mor'!AI29</f>
        <v>3450.53331984406</v>
      </c>
      <c r="M30" s="0" t="n">
        <f aca="false">'Child benefits 2015 no mor'!AI29</f>
        <v>464.392475709395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2018-08-18T10:11:27Z</dcterms:created>
  <dc:creator>Leonardo Calcagno</dc:creator>
  <dc:language>fr-FR</dc:language>
  <dcterms:modified xsi:type="dcterms:W3CDTF">2020-01-19T12:03:38Z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